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mc:AlternateContent xmlns:mc="http://schemas.openxmlformats.org/markup-compatibility/2006">
    <mc:Choice Requires="x15">
      <x15ac:absPath xmlns:x15ac="http://schemas.microsoft.com/office/spreadsheetml/2010/11/ac" url="C:\Users\Joadah Consult\Documents\"/>
    </mc:Choice>
  </mc:AlternateContent>
  <xr:revisionPtr revIDLastSave="0" documentId="8_{3B7D91B7-0061-4629-8EFE-0E6F8AE24AFE}" xr6:coauthVersionLast="45" xr6:coauthVersionMax="45" xr10:uidLastSave="{00000000-0000-0000-0000-000000000000}"/>
  <bookViews>
    <workbookView xWindow="780" yWindow="780" windowWidth="11475" windowHeight="10710" tabRatio="686" xr2:uid="{00000000-000D-0000-FFFF-FFFF00000000}"/>
  </bookViews>
  <sheets>
    <sheet name="January" sheetId="4" r:id="rId1"/>
    <sheet name="February" sheetId="5" r:id="rId2"/>
    <sheet name="March" sheetId="6" r:id="rId3"/>
    <sheet name="April" sheetId="7" r:id="rId4"/>
    <sheet name="May" sheetId="8" r:id="rId5"/>
    <sheet name="June" sheetId="9" r:id="rId6"/>
    <sheet name="July" sheetId="10" r:id="rId7"/>
    <sheet name="August" sheetId="11" r:id="rId8"/>
    <sheet name="September" sheetId="12" r:id="rId9"/>
    <sheet name="October" sheetId="14" r:id="rId10"/>
    <sheet name="November" sheetId="13" r:id="rId11"/>
    <sheet name="December" sheetId="15" r:id="rId12"/>
  </sheets>
  <definedNames>
    <definedName name="CalendarYear">January!$AG$2</definedName>
    <definedName name="KeyCustom1">January!$S$12</definedName>
    <definedName name="KeyCustom1Label">January!$T$12</definedName>
    <definedName name="KeyCustom2">January!$W$12</definedName>
    <definedName name="KeyCustom2Label">January!$X$12</definedName>
    <definedName name="KeyPersonal">January!$K$12</definedName>
    <definedName name="KeyPersonalLabel">January!$L$12</definedName>
    <definedName name="KeySick">January!$O$12</definedName>
    <definedName name="KeySickLabel">January!$P$12</definedName>
    <definedName name="KeyVacation">January!$G$12</definedName>
    <definedName name="KeyVacationLabel">January!$H$12</definedName>
    <definedName name="MonthName" localSheetId="3">April!$A$2</definedName>
    <definedName name="MonthName" localSheetId="7">August!$A$2</definedName>
    <definedName name="MonthName" localSheetId="11">December!$A$2</definedName>
    <definedName name="MonthName" localSheetId="1">February!$A$2</definedName>
    <definedName name="MonthName" localSheetId="0">January!$A$2</definedName>
    <definedName name="MonthName" localSheetId="6">July!$A$2</definedName>
    <definedName name="MonthName" localSheetId="5">June!$A$2</definedName>
    <definedName name="MonthName" localSheetId="2">March!$A$2</definedName>
    <definedName name="MonthName" localSheetId="4">May!$A$2</definedName>
    <definedName name="MonthName" localSheetId="10">November!$A$2</definedName>
    <definedName name="MonthName" localSheetId="9">October!$A$2</definedName>
    <definedName name="MonthName" localSheetId="8">September!$A$2</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2" i="6" l="1"/>
  <c r="W12" i="7"/>
  <c r="W12" i="8"/>
  <c r="W12" i="9"/>
  <c r="W12" i="10"/>
  <c r="W12" i="11"/>
  <c r="W12" i="12"/>
  <c r="W12" i="14"/>
  <c r="W12" i="13"/>
  <c r="W12" i="15"/>
  <c r="W12" i="5"/>
  <c r="S12" i="6"/>
  <c r="S12" i="7"/>
  <c r="S12" i="8"/>
  <c r="S12" i="9"/>
  <c r="S12" i="10"/>
  <c r="S12" i="11"/>
  <c r="S12" i="12"/>
  <c r="S12" i="14"/>
  <c r="S12" i="13"/>
  <c r="S12" i="15"/>
  <c r="S12" i="5"/>
  <c r="X12" i="6"/>
  <c r="X12" i="7"/>
  <c r="X12" i="8"/>
  <c r="X12" i="9"/>
  <c r="X12" i="10"/>
  <c r="X12" i="11"/>
  <c r="X12" i="12"/>
  <c r="X12" i="14"/>
  <c r="X12" i="13"/>
  <c r="X12" i="15"/>
  <c r="X12" i="5"/>
  <c r="T12" i="6"/>
  <c r="T12" i="7"/>
  <c r="T12" i="8"/>
  <c r="T12" i="9"/>
  <c r="T12" i="10"/>
  <c r="T12" i="11"/>
  <c r="T12" i="12"/>
  <c r="T12" i="14"/>
  <c r="T12" i="13"/>
  <c r="T12" i="15"/>
  <c r="T12" i="5"/>
  <c r="P12" i="6"/>
  <c r="P12" i="7"/>
  <c r="P12" i="8"/>
  <c r="P12" i="9"/>
  <c r="P12" i="10"/>
  <c r="P12" i="11"/>
  <c r="P12" i="12"/>
  <c r="P12" i="14"/>
  <c r="P12" i="13"/>
  <c r="P12" i="15"/>
  <c r="P12" i="5"/>
  <c r="L12" i="6"/>
  <c r="L12" i="7"/>
  <c r="L12" i="8"/>
  <c r="L12" i="9"/>
  <c r="L12" i="10"/>
  <c r="L12" i="11"/>
  <c r="L12" i="12"/>
  <c r="L12" i="14"/>
  <c r="L12" i="13"/>
  <c r="L12" i="15"/>
  <c r="L12" i="5"/>
  <c r="H12" i="6"/>
  <c r="H12" i="7"/>
  <c r="H12" i="8"/>
  <c r="H12" i="9"/>
  <c r="H12" i="10"/>
  <c r="H12" i="11"/>
  <c r="H12" i="12"/>
  <c r="H12" i="14"/>
  <c r="H12" i="13"/>
  <c r="H12" i="15"/>
  <c r="H12" i="5"/>
  <c r="O12" i="7"/>
  <c r="O12" i="8"/>
  <c r="O12" i="9"/>
  <c r="O12" i="10"/>
  <c r="O12" i="11"/>
  <c r="O12" i="12"/>
  <c r="O12" i="14"/>
  <c r="O12" i="13"/>
  <c r="O12" i="15"/>
  <c r="O12" i="6"/>
  <c r="K12" i="7"/>
  <c r="K12" i="8"/>
  <c r="K12" i="9"/>
  <c r="K12" i="10"/>
  <c r="K12" i="11"/>
  <c r="K12" i="12"/>
  <c r="K12" i="14"/>
  <c r="K12" i="13"/>
  <c r="K12" i="15"/>
  <c r="K12" i="6"/>
  <c r="G12" i="7"/>
  <c r="G12" i="8"/>
  <c r="G12" i="9"/>
  <c r="G12" i="10"/>
  <c r="G12" i="11"/>
  <c r="G12" i="12"/>
  <c r="G12" i="14"/>
  <c r="G12" i="13"/>
  <c r="G12" i="15"/>
  <c r="G12" i="6"/>
  <c r="G12" i="5"/>
  <c r="K12" i="5"/>
  <c r="O12" i="5"/>
  <c r="A10" i="15"/>
  <c r="A10" i="13"/>
  <c r="A10" i="14"/>
  <c r="A10" i="12"/>
  <c r="A10" i="11"/>
  <c r="A10" i="10"/>
  <c r="A10" i="9"/>
  <c r="A10" i="8"/>
  <c r="A10" i="7"/>
  <c r="A10" i="6"/>
  <c r="A10" i="5"/>
  <c r="A10" i="4"/>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D3" i="15"/>
  <c r="C3" i="15"/>
  <c r="B3" i="15"/>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B3" i="13"/>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B12" i="15"/>
  <c r="AD10" i="15"/>
  <c r="AC10" i="15"/>
  <c r="AB10" i="15"/>
  <c r="AA10" i="15"/>
  <c r="Z10" i="15"/>
  <c r="Y10" i="15"/>
  <c r="X10" i="15"/>
  <c r="W10" i="15"/>
  <c r="V10" i="15"/>
  <c r="U10" i="15"/>
  <c r="T10" i="15"/>
  <c r="S10" i="15"/>
  <c r="R10" i="15"/>
  <c r="Q10" i="15"/>
  <c r="P10" i="15"/>
  <c r="O10" i="15"/>
  <c r="N10" i="15"/>
  <c r="M10" i="15"/>
  <c r="L10" i="15"/>
  <c r="K10" i="15"/>
  <c r="J10" i="15"/>
  <c r="I10" i="15"/>
  <c r="H10" i="15"/>
  <c r="G10" i="15"/>
  <c r="F10" i="15"/>
  <c r="E10" i="15"/>
  <c r="D10" i="15"/>
  <c r="C10" i="15"/>
  <c r="B10" i="15"/>
  <c r="AG9" i="15"/>
  <c r="AG8" i="15"/>
  <c r="AG7" i="15"/>
  <c r="AG6" i="15"/>
  <c r="AG5" i="15"/>
  <c r="AG2" i="15"/>
  <c r="B12"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G9" i="14"/>
  <c r="AG8" i="14"/>
  <c r="AG7" i="14"/>
  <c r="AG6" i="14"/>
  <c r="AG5" i="14"/>
  <c r="AG2" i="14"/>
  <c r="B12"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G9" i="13"/>
  <c r="AG8" i="13"/>
  <c r="AG7" i="13"/>
  <c r="AG6" i="13"/>
  <c r="AG5" i="13"/>
  <c r="AG2" i="13"/>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F3" i="11"/>
  <c r="AE3" i="11"/>
  <c r="AD3" i="11"/>
  <c r="AC3" i="11"/>
  <c r="AB3" i="11"/>
  <c r="AA3" i="11"/>
  <c r="Z3" i="11"/>
  <c r="Y3" i="11"/>
  <c r="X3" i="11"/>
  <c r="W3" i="11"/>
  <c r="V3" i="11"/>
  <c r="U3" i="11"/>
  <c r="T3" i="11"/>
  <c r="S3" i="11"/>
  <c r="R3" i="11"/>
  <c r="Q3" i="11"/>
  <c r="P3" i="11"/>
  <c r="O3" i="11"/>
  <c r="N3" i="11"/>
  <c r="M3" i="11"/>
  <c r="L3" i="11"/>
  <c r="K3" i="11"/>
  <c r="J3" i="11"/>
  <c r="I3" i="11"/>
  <c r="H3" i="11"/>
  <c r="G3" i="11"/>
  <c r="F3" i="11"/>
  <c r="E3" i="11"/>
  <c r="D3" i="11"/>
  <c r="C3" i="11"/>
  <c r="B3" i="11"/>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B12" i="12"/>
  <c r="AD10" i="12"/>
  <c r="AC10" i="12"/>
  <c r="AB10" i="12"/>
  <c r="AA10"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AG9" i="12"/>
  <c r="AG8" i="12"/>
  <c r="AG7" i="12"/>
  <c r="AG6" i="12"/>
  <c r="AG5" i="12"/>
  <c r="AG2" i="12"/>
  <c r="B12" i="11"/>
  <c r="AD10" i="11"/>
  <c r="AC10" i="11"/>
  <c r="AB10" i="11"/>
  <c r="AA10" i="11"/>
  <c r="Z10" i="11"/>
  <c r="Y10" i="11"/>
  <c r="X10" i="11"/>
  <c r="W10" i="11"/>
  <c r="V10" i="11"/>
  <c r="U10" i="11"/>
  <c r="T10" i="11"/>
  <c r="S10" i="11"/>
  <c r="R10" i="11"/>
  <c r="Q10" i="11"/>
  <c r="P10" i="11"/>
  <c r="O10" i="11"/>
  <c r="N10" i="11"/>
  <c r="M10" i="11"/>
  <c r="L10" i="11"/>
  <c r="K10" i="11"/>
  <c r="J10" i="11"/>
  <c r="I10" i="11"/>
  <c r="H10" i="11"/>
  <c r="G10" i="11"/>
  <c r="F10" i="11"/>
  <c r="E10" i="11"/>
  <c r="D10" i="11"/>
  <c r="C10" i="11"/>
  <c r="B10" i="11"/>
  <c r="AG9" i="11"/>
  <c r="AG8" i="11"/>
  <c r="AG7" i="11"/>
  <c r="AG6" i="11"/>
  <c r="AG5" i="11"/>
  <c r="AG2" i="11"/>
  <c r="B12"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B10" i="10"/>
  <c r="AG9" i="10"/>
  <c r="AG8" i="10"/>
  <c r="AG7" i="10"/>
  <c r="AG6" i="10"/>
  <c r="AG5" i="10"/>
  <c r="AG2" i="10"/>
  <c r="AE3" i="9"/>
  <c r="AD3" i="9"/>
  <c r="AC3" i="9"/>
  <c r="AB3" i="9"/>
  <c r="AA3" i="9"/>
  <c r="Z3" i="9"/>
  <c r="Y3" i="9"/>
  <c r="X3" i="9"/>
  <c r="W3" i="9"/>
  <c r="V3" i="9"/>
  <c r="U3" i="9"/>
  <c r="T3" i="9"/>
  <c r="S3" i="9"/>
  <c r="R3" i="9"/>
  <c r="Q3" i="9"/>
  <c r="P3" i="9"/>
  <c r="O3" i="9"/>
  <c r="N3" i="9"/>
  <c r="M3" i="9"/>
  <c r="L3" i="9"/>
  <c r="K3" i="9"/>
  <c r="J3" i="9"/>
  <c r="I3" i="9"/>
  <c r="H3" i="9"/>
  <c r="G3" i="9"/>
  <c r="F3" i="9"/>
  <c r="E3" i="9"/>
  <c r="D3" i="9"/>
  <c r="C3" i="9"/>
  <c r="B3" i="9"/>
  <c r="AF3" i="8"/>
  <c r="AE3" i="8"/>
  <c r="AD3" i="8"/>
  <c r="AC3" i="8"/>
  <c r="AB3" i="8"/>
  <c r="AA3" i="8"/>
  <c r="Z3" i="8"/>
  <c r="Y3" i="8"/>
  <c r="X3" i="8"/>
  <c r="W3" i="8"/>
  <c r="V3" i="8"/>
  <c r="U3" i="8"/>
  <c r="T3" i="8"/>
  <c r="S3" i="8"/>
  <c r="R3" i="8"/>
  <c r="Q3" i="8"/>
  <c r="P3" i="8"/>
  <c r="O3" i="8"/>
  <c r="N3" i="8"/>
  <c r="M3" i="8"/>
  <c r="L3" i="8"/>
  <c r="K3" i="8"/>
  <c r="J3" i="8"/>
  <c r="I3" i="8"/>
  <c r="H3" i="8"/>
  <c r="G3" i="8"/>
  <c r="F3" i="8"/>
  <c r="E3" i="8"/>
  <c r="D3" i="8"/>
  <c r="C3" i="8"/>
  <c r="B3" i="8"/>
  <c r="B12" i="9"/>
  <c r="AD10" i="9"/>
  <c r="AC10" i="9"/>
  <c r="AB10" i="9"/>
  <c r="AA10" i="9"/>
  <c r="Z10" i="9"/>
  <c r="Y10" i="9"/>
  <c r="X10" i="9"/>
  <c r="W10" i="9"/>
  <c r="V10" i="9"/>
  <c r="U10" i="9"/>
  <c r="T10" i="9"/>
  <c r="S10" i="9"/>
  <c r="R10" i="9"/>
  <c r="Q10" i="9"/>
  <c r="P10" i="9"/>
  <c r="O10" i="9"/>
  <c r="N10" i="9"/>
  <c r="M10" i="9"/>
  <c r="L10" i="9"/>
  <c r="K10" i="9"/>
  <c r="J10" i="9"/>
  <c r="I10" i="9"/>
  <c r="H10" i="9"/>
  <c r="G10" i="9"/>
  <c r="F10" i="9"/>
  <c r="E10" i="9"/>
  <c r="D10" i="9"/>
  <c r="C10" i="9"/>
  <c r="B10" i="9"/>
  <c r="AG9" i="9"/>
  <c r="AG8" i="9"/>
  <c r="AG7" i="9"/>
  <c r="AG6" i="9"/>
  <c r="AG5" i="9"/>
  <c r="AG2" i="9"/>
  <c r="B12" i="8"/>
  <c r="AD10" i="8"/>
  <c r="AC10" i="8"/>
  <c r="AB10" i="8"/>
  <c r="AA10" i="8"/>
  <c r="Z10" i="8"/>
  <c r="Y10" i="8"/>
  <c r="X10" i="8"/>
  <c r="W10" i="8"/>
  <c r="V10" i="8"/>
  <c r="U10" i="8"/>
  <c r="T10" i="8"/>
  <c r="S10" i="8"/>
  <c r="R10" i="8"/>
  <c r="Q10" i="8"/>
  <c r="P10" i="8"/>
  <c r="O10" i="8"/>
  <c r="N10" i="8"/>
  <c r="M10" i="8"/>
  <c r="L10" i="8"/>
  <c r="K10" i="8"/>
  <c r="J10" i="8"/>
  <c r="I10" i="8"/>
  <c r="H10" i="8"/>
  <c r="G10" i="8"/>
  <c r="F10" i="8"/>
  <c r="E10" i="8"/>
  <c r="D10" i="8"/>
  <c r="C10" i="8"/>
  <c r="B10" i="8"/>
  <c r="AG9" i="8"/>
  <c r="AG8" i="8"/>
  <c r="AG7" i="8"/>
  <c r="AG6" i="8"/>
  <c r="AG5" i="8"/>
  <c r="AG2" i="8"/>
  <c r="AE3" i="7"/>
  <c r="AD3" i="7"/>
  <c r="AC3" i="7"/>
  <c r="AB3" i="7"/>
  <c r="AA3" i="7"/>
  <c r="Z3" i="7"/>
  <c r="Y3" i="7"/>
  <c r="X3" i="7"/>
  <c r="W3" i="7"/>
  <c r="V3" i="7"/>
  <c r="U3" i="7"/>
  <c r="T3" i="7"/>
  <c r="S3" i="7"/>
  <c r="R3" i="7"/>
  <c r="Q3" i="7"/>
  <c r="P3" i="7"/>
  <c r="O3" i="7"/>
  <c r="N3" i="7"/>
  <c r="M3" i="7"/>
  <c r="L3" i="7"/>
  <c r="K3" i="7"/>
  <c r="J3" i="7"/>
  <c r="I3" i="7"/>
  <c r="H3" i="7"/>
  <c r="G3" i="7"/>
  <c r="F3" i="7"/>
  <c r="E3" i="7"/>
  <c r="D3" i="7"/>
  <c r="C3" i="7"/>
  <c r="B3" i="7"/>
  <c r="B12" i="7"/>
  <c r="AD10" i="7"/>
  <c r="AC10" i="7"/>
  <c r="AB10" i="7"/>
  <c r="AA10" i="7"/>
  <c r="Z10" i="7"/>
  <c r="Y10" i="7"/>
  <c r="X10" i="7"/>
  <c r="W10" i="7"/>
  <c r="V10" i="7"/>
  <c r="U10" i="7"/>
  <c r="T10" i="7"/>
  <c r="S10" i="7"/>
  <c r="R10" i="7"/>
  <c r="Q10" i="7"/>
  <c r="P10" i="7"/>
  <c r="O10" i="7"/>
  <c r="N10" i="7"/>
  <c r="M10" i="7"/>
  <c r="L10" i="7"/>
  <c r="K10" i="7"/>
  <c r="J10" i="7"/>
  <c r="I10" i="7"/>
  <c r="H10" i="7"/>
  <c r="G10" i="7"/>
  <c r="F10" i="7"/>
  <c r="E10" i="7"/>
  <c r="D10" i="7"/>
  <c r="C10" i="7"/>
  <c r="B10" i="7"/>
  <c r="AG9" i="7"/>
  <c r="AG8" i="7"/>
  <c r="AG7" i="7"/>
  <c r="AG6" i="7"/>
  <c r="AG5" i="7"/>
  <c r="AG2" i="7"/>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B3" i="6"/>
  <c r="B12" i="6"/>
  <c r="AD10" i="6"/>
  <c r="AC10" i="6"/>
  <c r="AB10" i="6"/>
  <c r="AA10" i="6"/>
  <c r="Z10" i="6"/>
  <c r="Y10" i="6"/>
  <c r="X10" i="6"/>
  <c r="W10" i="6"/>
  <c r="V10" i="6"/>
  <c r="U10" i="6"/>
  <c r="T10" i="6"/>
  <c r="S10" i="6"/>
  <c r="R10" i="6"/>
  <c r="Q10" i="6"/>
  <c r="P10" i="6"/>
  <c r="O10" i="6"/>
  <c r="N10" i="6"/>
  <c r="M10" i="6"/>
  <c r="L10" i="6"/>
  <c r="K10" i="6"/>
  <c r="J10" i="6"/>
  <c r="I10" i="6"/>
  <c r="H10" i="6"/>
  <c r="G10" i="6"/>
  <c r="F10" i="6"/>
  <c r="E10" i="6"/>
  <c r="D10" i="6"/>
  <c r="C10" i="6"/>
  <c r="B10" i="6"/>
  <c r="AG9" i="6"/>
  <c r="AG8" i="6"/>
  <c r="AG7" i="6"/>
  <c r="AG6" i="6"/>
  <c r="AG5" i="6"/>
  <c r="AG2" i="6"/>
  <c r="AG10" i="6"/>
  <c r="AG10" i="12"/>
  <c r="AG10" i="14"/>
  <c r="AG10" i="9"/>
  <c r="AG10" i="10"/>
  <c r="AG10" i="7"/>
  <c r="AG10" i="8"/>
  <c r="AG10" i="11"/>
  <c r="AG10" i="13"/>
  <c r="AG10" i="15"/>
  <c r="AG9" i="5"/>
  <c r="AG8" i="5"/>
  <c r="AG7" i="5"/>
  <c r="B12" i="5"/>
  <c r="AG2" i="5"/>
  <c r="AG9" i="4"/>
  <c r="AG8" i="4"/>
  <c r="AG7" i="4"/>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B10" i="5"/>
  <c r="AG6" i="5"/>
  <c r="AG5" i="5"/>
  <c r="AD3" i="5"/>
  <c r="AC3" i="5"/>
  <c r="AB3" i="5"/>
  <c r="AA3" i="5"/>
  <c r="Z3" i="5"/>
  <c r="Y3" i="5"/>
  <c r="X3" i="5"/>
  <c r="W3" i="5"/>
  <c r="V3" i="5"/>
  <c r="U3" i="5"/>
  <c r="T3" i="5"/>
  <c r="S3" i="5"/>
  <c r="R3" i="5"/>
  <c r="Q3" i="5"/>
  <c r="P3" i="5"/>
  <c r="O3" i="5"/>
  <c r="N3" i="5"/>
  <c r="M3" i="5"/>
  <c r="L3" i="5"/>
  <c r="K3" i="5"/>
  <c r="J3" i="5"/>
  <c r="I3" i="5"/>
  <c r="H3" i="5"/>
  <c r="G3" i="5"/>
  <c r="F3" i="5"/>
  <c r="E3" i="5"/>
  <c r="D3" i="5"/>
  <c r="C3" i="5"/>
  <c r="B3" i="5"/>
  <c r="AG10" i="5"/>
  <c r="AG5" i="4"/>
  <c r="AG6"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C10" i="4"/>
  <c r="B10" i="4"/>
  <c r="AG10" i="4"/>
  <c r="AD3" i="4"/>
  <c r="Z3" i="4"/>
  <c r="V3" i="4"/>
  <c r="N3" i="4"/>
  <c r="F3" i="4"/>
  <c r="AC3" i="4"/>
  <c r="Y3" i="4"/>
  <c r="Q3" i="4"/>
  <c r="M3" i="4"/>
  <c r="E3" i="4"/>
  <c r="L3" i="4"/>
  <c r="AF3" i="4"/>
  <c r="AB3" i="4"/>
  <c r="X3" i="4"/>
  <c r="R3" i="4"/>
  <c r="J3" i="4"/>
  <c r="D3" i="4"/>
  <c r="AE3" i="4"/>
  <c r="AA3" i="4"/>
  <c r="W3" i="4"/>
  <c r="S3" i="4"/>
  <c r="O3" i="4"/>
  <c r="K3" i="4"/>
  <c r="G3" i="4"/>
  <c r="C3" i="4"/>
  <c r="P3" i="4"/>
  <c r="H3" i="4"/>
  <c r="B3" i="4"/>
  <c r="U3" i="4"/>
  <c r="I3" i="4"/>
  <c r="T3" i="4"/>
</calcChain>
</file>

<file path=xl/sharedStrings.xml><?xml version="1.0" encoding="utf-8"?>
<sst xmlns="http://schemas.openxmlformats.org/spreadsheetml/2006/main" count="547" uniqueCount="65">
  <si>
    <t>Employee Absence Schedule</t>
  </si>
  <si>
    <t>Dates of Absence</t>
  </si>
  <si>
    <t>Employee Name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</si>
  <si>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</si>
  <si>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</si>
  <si>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</si>
  <si>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</si>
  <si>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</si>
  <si>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</si>
  <si>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</si>
  <si>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</si>
  <si>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</si>
  <si>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</si>
  <si>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</si>
  <si>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</si>
  <si>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</si>
  <si>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</si>
  <si>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</si>
  <si>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</si>
  <si>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</si>
  <si>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</si>
  <si>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</si>
  <si>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</si>
  <si>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</si>
  <si>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</si>
  <si>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</si>
  <si>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</si>
  <si>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</si>
  <si>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</si>
  <si>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</si>
  <si>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</si>
  <si>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</si>
  <si>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</si>
  <si>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</si>
  <si>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Days</t>
  </si>
  <si>
    <t>Employee 1</t>
  </si>
  <si>
    <t>S</t>
  </si>
  <si>
    <t>V</t>
  </si>
  <si>
    <t>Employee 2</t>
  </si>
  <si>
    <t xml:space="preserve"> </t>
  </si>
  <si>
    <t xml:space="preserve">  </t>
  </si>
  <si>
    <t>P</t>
  </si>
  <si>
    <t>January</t>
  </si>
  <si>
    <t>Vacation</t>
  </si>
  <si>
    <t>Personal</t>
  </si>
  <si>
    <t>Sick</t>
  </si>
  <si>
    <t>Custom 1</t>
  </si>
  <si>
    <t>Custom 2</t>
  </si>
  <si>
    <t>Color Key</t>
  </si>
  <si>
    <t>February</t>
  </si>
  <si>
    <t>Employee 3</t>
  </si>
  <si>
    <t>Employee 4</t>
  </si>
  <si>
    <t>Employee 5</t>
  </si>
  <si>
    <t>March</t>
  </si>
  <si>
    <t>April</t>
  </si>
  <si>
    <t>May</t>
  </si>
  <si>
    <t>June</t>
  </si>
  <si>
    <t>July</t>
  </si>
  <si>
    <t>August</t>
  </si>
  <si>
    <t>September</t>
  </si>
  <si>
    <t>October</t>
  </si>
  <si>
    <t>November</t>
  </si>
  <si>
    <t>December</t>
  </si>
  <si>
    <t>2014 Employee Attendance Tracking Calendar</t>
  </si>
  <si>
    <t>2015 Employee Attendance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</si>
</sst>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0"/>
      <name val="Century Gothic"/>
      <family val="2"/>
    </font>
    <font>
      <b/>
      <sz val="12"/>
      <name val="Arial"/>
      <family val="2"/>
    </font>
    <font>
      <b/>
      <sz val="10"/>
      <name val="Century Gothic"/>
      <family val="2"/>
    </font>
    <font>
      <sz val="9"/>
      <name val="Century Gothic"/>
      <family val="2"/>
    </font>
    <font>
      <b/>
      <sz val="13"/>
      <color theme="3"/>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b/>
      <sz val="12"/>
      <name val="Calibri"/>
      <family val="2"/>
      <scheme val="major"/>
    </font>
    <font>
      <b/>
      <sz val="26"/>
      <color theme="3"/>
      <name val="Calibri"/>
      <family val="2"/>
      <scheme val="major"/>
    </font>
    <font>
      <sz val="9"/>
      <name val="Calibri"/>
      <family val="2"/>
      <scheme val="minor"/>
    </font>
    <font>
      <sz val="18"/>
      <color theme="3"/>
      <name val="Calibri"/>
      <family val="2"/>
      <scheme val="minor"/>
    </font>
    <font>
      <sz val="11"/>
      <color theme="1"/>
      <name val="Calibri"/>
      <family val="2"/>
      <scheme val="major"/>
    </font>
    <font>
      <sz val="10"/>
      <name val="Calibri"/>
      <family val="2"/>
      <scheme val="major"/>
    </font>
    <font>
      <b/>
      <sz val="18"/>
      <color theme="4" tint="-0.249977111117893"/>
      <name val="Calibri"/>
      <family val="2"/>
      <scheme val="major"/>
    </font>
    <font>
      <b/>
      <sz val="16"/>
      <color theme="4" tint="-0.249977111117893"/>
      <name val="Calibri"/>
      <family val="2"/>
      <scheme val="major"/>
    </font>
    <font>
      <b/>
      <sz val="18"/>
      <color theme="4" tint="-0.249977111117893"/>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6" tint="0.79998168889431442"/>
        <bgColor indexed="64"/>
      </patternFill>
    </fill>
    <fill>
      <patternFill patternType="solid">
        <fgColor theme="6" tint="0.59999389629810485"/>
        <bgColor indexed="64"/>
      </patternFill>
    </fill>
  </fills>
  <borders count="4">
    <border>
      <left/>
      <right/>
      <top/>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style="thin">
        <color theme="0" tint="-0.24994659260841701"/>
      </left>
      <right/>
      <top/>
      <bottom/>
      <diagonal/>
    </border>
  </borders>
  <cellStyleXfs count="5">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2">
    <xf numFmtId="0" fontId="0" fillId="0" borderId="0" xfId="0"/>
    <xf numFmtId="0" fontId="1" fillId="0" borderId="0" xfId="0" applyFont="1" applyFill="1" applyAlignment="1">
      <alignment vertical="center"/>
    </xf>
    <xf numFmtId="0" fontId="1" fillId="0"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4" fillId="0" borderId="0" xfId="0" applyFont="1" applyAlignment="1">
      <alignment horizontal="center"/>
    </xf>
    <xf numFmtId="0" fontId="4" fillId="0" borderId="0" xfId="0" applyFont="1"/>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vertical="center"/>
    </xf>
    <xf numFmtId="164" fontId="0" fillId="0" borderId="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indent="2"/>
    </xf>
    <xf numFmtId="0" fontId="1" fillId="0" borderId="0" xfId="0" applyFont="1" applyAlignment="1">
      <alignment horizontal="center"/>
    </xf>
    <xf numFmtId="0" fontId="1" fillId="0" borderId="0" xfId="0" applyFont="1"/>
    <xf numFmtId="0" fontId="0" fillId="0" borderId="0" xfId="0" applyNumberFormat="1" applyFont="1" applyFill="1" applyBorder="1" applyAlignment="1">
      <alignment horizontal="center" vertical="center"/>
    </xf>
    <xf numFmtId="49" fontId="1" fillId="0" borderId="0" xfId="0" applyNumberFormat="1" applyFont="1"/>
    <xf numFmtId="0" fontId="0" fillId="0" borderId="0" xfId="0" applyBorder="1" applyAlignment="1">
      <alignment vertical="top"/>
    </xf>
    <xf numFmtId="0" fontId="1" fillId="0" borderId="0" xfId="0" applyFont="1" applyFill="1" applyAlignment="1">
      <alignment vertical="top"/>
    </xf>
    <xf numFmtId="0" fontId="2" fillId="0" borderId="0" xfId="0" applyFont="1" applyBorder="1" applyAlignment="1">
      <alignment vertical="top"/>
    </xf>
    <xf numFmtId="164" fontId="7" fillId="5" borderId="0" xfId="0" applyNumberFormat="1" applyFont="1" applyFill="1" applyBorder="1" applyAlignment="1">
      <alignment horizontal="center" vertical="center"/>
    </xf>
    <xf numFmtId="164" fontId="7" fillId="6" borderId="0" xfId="0" applyNumberFormat="1" applyFont="1" applyFill="1" applyBorder="1" applyAlignment="1">
      <alignment horizontal="center" vertical="center"/>
    </xf>
    <xf numFmtId="164" fontId="7" fillId="7" borderId="0" xfId="0" applyNumberFormat="1" applyFont="1" applyFill="1" applyBorder="1" applyAlignment="1">
      <alignment horizontal="center" vertical="center"/>
    </xf>
    <xf numFmtId="164" fontId="7" fillId="8" borderId="0" xfId="0" applyNumberFormat="1" applyFont="1" applyFill="1" applyBorder="1" applyAlignment="1">
      <alignment horizontal="center" vertical="center"/>
    </xf>
    <xf numFmtId="164" fontId="7" fillId="4" borderId="0" xfId="0" applyNumberFormat="1" applyFont="1" applyFill="1" applyBorder="1" applyAlignment="1">
      <alignment horizontal="center" vertical="center"/>
    </xf>
    <xf numFmtId="49" fontId="10" fillId="0" borderId="0" xfId="1" applyNumberFormat="1" applyFill="1" applyBorder="1" applyAlignment="1">
      <alignment vertical="top"/>
    </xf>
    <xf numFmtId="0" fontId="11" fillId="3" borderId="2" xfId="0" applyFont="1" applyFill="1" applyBorder="1" applyAlignment="1">
      <alignment horizontal="center"/>
    </xf>
    <xf numFmtId="0" fontId="11" fillId="3" borderId="1" xfId="0" applyFont="1" applyFill="1" applyBorder="1" applyAlignment="1">
      <alignment horizontal="center"/>
    </xf>
    <xf numFmtId="0" fontId="11" fillId="3" borderId="3" xfId="0" applyFont="1" applyFill="1" applyBorder="1" applyAlignment="1">
      <alignment horizontal="center"/>
    </xf>
    <xf numFmtId="49" fontId="10" fillId="0" borderId="0" xfId="1" applyNumberFormat="1" applyFont="1" applyFill="1" applyBorder="1" applyAlignment="1">
      <alignment vertical="top"/>
    </xf>
    <xf numFmtId="0" fontId="13" fillId="0" borderId="0" xfId="0" applyFont="1" applyBorder="1" applyAlignment="1">
      <alignment vertical="top"/>
    </xf>
    <xf numFmtId="0" fontId="14" fillId="0" borderId="0" xfId="0" applyFont="1" applyFill="1" applyAlignment="1">
      <alignment vertical="top"/>
    </xf>
    <xf numFmtId="0" fontId="9" fillId="0" borderId="0" xfId="0" applyFont="1" applyBorder="1" applyAlignment="1">
      <alignment vertical="top"/>
    </xf>
    <xf numFmtId="0" fontId="13" fillId="0" borderId="0" xfId="0" applyFont="1"/>
    <xf numFmtId="0" fontId="14" fillId="0" borderId="0" xfId="0" applyFont="1" applyFill="1" applyAlignment="1">
      <alignment horizontal="center" vertical="center"/>
    </xf>
    <xf numFmtId="0" fontId="14" fillId="0" borderId="0" xfId="0" applyFont="1" applyFill="1" applyAlignment="1">
      <alignment vertical="center"/>
    </xf>
    <xf numFmtId="49" fontId="0" fillId="0" borderId="0" xfId="0" applyNumberFormat="1" applyFont="1" applyFill="1" applyBorder="1" applyAlignment="1">
      <alignment horizontal="left" vertical="center" indent="1"/>
    </xf>
    <xf numFmtId="0" fontId="0" fillId="0" borderId="0" xfId="0" applyFont="1" applyFill="1" applyBorder="1" applyAlignment="1">
      <alignment horizontal="left" vertical="center" indent="1"/>
    </xf>
    <xf numFmtId="164" fontId="0" fillId="9" borderId="0" xfId="0" applyNumberFormat="1" applyFont="1" applyFill="1" applyBorder="1" applyAlignment="1">
      <alignment horizontal="left" vertical="center"/>
    </xf>
    <xf numFmtId="0" fontId="1" fillId="9" borderId="0" xfId="0" applyFont="1" applyFill="1" applyAlignment="1">
      <alignment vertical="center"/>
    </xf>
    <xf numFmtId="164" fontId="0" fillId="9" borderId="0" xfId="0" applyNumberFormat="1" applyFont="1" applyFill="1" applyBorder="1" applyAlignment="1">
      <alignment horizontal="center" vertical="center"/>
    </xf>
    <xf numFmtId="164" fontId="8" fillId="10" borderId="0" xfId="0" applyNumberFormat="1" applyFont="1" applyFill="1" applyBorder="1" applyAlignment="1">
      <alignment vertical="center"/>
    </xf>
    <xf numFmtId="164" fontId="0" fillId="10" borderId="0" xfId="0" applyNumberFormat="1" applyFont="1" applyFill="1" applyBorder="1" applyAlignment="1">
      <alignment horizontal="center" vertical="center"/>
    </xf>
    <xf numFmtId="49" fontId="0" fillId="0" borderId="0" xfId="0" applyNumberFormat="1" applyFont="1" applyFill="1" applyBorder="1" applyAlignment="1">
      <alignment horizontal="left" vertical="center" wrapText="1" indent="2"/>
    </xf>
    <xf numFmtId="0" fontId="0" fillId="0" borderId="0" xfId="0" applyFont="1" applyFill="1" applyBorder="1" applyAlignment="1">
      <alignment horizontal="center" vertical="center"/>
    </xf>
    <xf numFmtId="0" fontId="16" fillId="2" borderId="0" xfId="0" applyFont="1" applyFill="1" applyBorder="1" applyAlignment="1">
      <alignment horizontal="center" vertical="center"/>
    </xf>
    <xf numFmtId="0" fontId="0" fillId="0" borderId="0" xfId="0" applyFont="1" applyFill="1" applyBorder="1" applyAlignment="1">
      <alignment horizontal="center" vertical="center"/>
    </xf>
    <xf numFmtId="17" fontId="15" fillId="2" borderId="0" xfId="0" applyNumberFormat="1" applyFont="1" applyFill="1" applyBorder="1" applyAlignment="1">
      <alignment horizontal="left" vertical="center" indent="1"/>
    </xf>
    <xf numFmtId="0" fontId="17" fillId="2" borderId="0" xfId="2" applyFont="1" applyFill="1" applyBorder="1" applyAlignment="1">
      <alignment horizontal="right" vertical="center" indent="1"/>
    </xf>
    <xf numFmtId="49" fontId="1" fillId="0" borderId="0" xfId="0" applyNumberFormat="1" applyFont="1" applyAlignment="1">
      <alignment horizontal="center"/>
    </xf>
  </cellXfs>
  <cellStyles count="5">
    <cellStyle name="Heading 1" xfId="2" builtinId="16" customBuiltin="1"/>
    <cellStyle name="Heading 2" xfId="3" builtinId="17" customBuiltin="1"/>
    <cellStyle name="Heading 3" xfId="4" builtinId="18" customBuiltin="1"/>
    <cellStyle name="Normal" xfId="0" builtinId="0"/>
    <cellStyle name="Title" xfId="1" builtinId="15" customBuiltin="1"/>
  </cellStyles>
  <dxfs count="855">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border>
        <vertical/>
        <horizontal/>
      </border>
    </dxf>
    <dxf>
      <font>
        <color theme="3"/>
      </font>
      <border>
        <vertical/>
        <horizontal/>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s>
  <tableStyles count="1" defaultTableStyle="TableStyleMedium2" defaultPivotStyle="PivotStyleLight16">
    <tableStyle name="Employee Absence Table" pivot="0" count="13" xr9:uid="{00000000-0011-0000-FFFF-FFFF00000000}">
      <tableStyleElement type="wholeTable" dxfId="854"/>
      <tableStyleElement type="headerRow" dxfId="853"/>
      <tableStyleElement type="totalRow" dxfId="852"/>
      <tableStyleElement type="firstColumn" dxfId="851"/>
      <tableStyleElement type="lastColumn" dxfId="850"/>
      <tableStyleElement type="firstRowStripe" dxfId="849"/>
      <tableStyleElement type="secondRowStripe" dxfId="848"/>
      <tableStyleElement type="firstColumnStripe" dxfId="847"/>
      <tableStyleElement type="secondColumnStripe" dxfId="846"/>
      <tableStyleElement type="firstHeaderCell" dxfId="845"/>
      <tableStyleElement type="lastHeaderCell" dxfId="844"/>
      <tableStyleElement type="firstTotalCell" dxfId="843"/>
      <tableStyleElement type="lastTotalCell" dxfId="8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114301</xdr:colOff>
      <xdr:row>12</xdr:row>
      <xdr:rowOff>80961</xdr:rowOff>
    </xdr:from>
    <xdr:to>
      <xdr:col>26</xdr:col>
      <xdr:colOff>190501</xdr:colOff>
      <xdr:row>22</xdr:row>
      <xdr:rowOff>76201</xdr:rowOff>
    </xdr:to>
    <xdr:grpSp>
      <xdr:nvGrpSpPr>
        <xdr:cNvPr id="6" name="How to use the Color Key group"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 title="How to use the Color Key group">
          <a:extLst>
            <a:ext uri="{FF2B5EF4-FFF2-40B4-BE49-F238E27FC236}">
              <a16:creationId xmlns:a16="http://schemas.microsoft.com/office/drawing/2014/main" id="{00000000-0008-0000-0000-000006000000}"/>
            </a:ext>
          </a:extLst>
        </xdr:cNvPr>
        <xdr:cNvGrpSpPr/>
      </xdr:nvGrpSpPr>
      <xdr:grpSpPr>
        <a:xfrm>
          <a:off x="2807278" y="3016393"/>
          <a:ext cx="5713268" cy="1900240"/>
          <a:chOff x="3629025" y="2986088"/>
          <a:chExt cx="6705600" cy="1810111"/>
        </a:xfrm>
      </xdr:grpSpPr>
      <xdr:sp macro="" textlink="">
        <xdr:nvSpPr>
          <xdr:cNvPr id="4" name="Note text"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10;" title="How to use the Color Key">
            <a:extLst>
              <a:ext uri="{FF2B5EF4-FFF2-40B4-BE49-F238E27FC236}">
                <a16:creationId xmlns:a16="http://schemas.microsoft.com/office/drawing/2014/main" id="{00000000-0008-0000-0000-000004000000}"/>
              </a:ext>
            </a:extLst>
          </xdr:cNvPr>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2"/>
                </a:solidFill>
              </a:rPr>
              <a:t>Customize</a:t>
            </a:r>
            <a:r>
              <a:rPr lang="en-US" sz="1000" baseline="0">
                <a:solidFill>
                  <a:schemeClr val="tx2"/>
                </a:solidFill>
              </a:rPr>
              <a:t>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a:t>
            </a:r>
          </a:p>
          <a:p>
            <a:endParaRPr lang="en-US" sz="1000" baseline="0">
              <a:solidFill>
                <a:schemeClr val="tx2"/>
              </a:solidFill>
            </a:endParaRPr>
          </a:p>
          <a:p>
            <a:r>
              <a:rPr lang="en-US" sz="1000" baseline="0">
                <a:solidFill>
                  <a:schemeClr val="tx2"/>
                </a:solidFill>
              </a:rPr>
              <a:t>Notes in this workbook do not print. To delete any note in this workbook, click the edge to select it and then press the Delete key.</a:t>
            </a:r>
          </a:p>
          <a:p>
            <a:endParaRPr lang="en-US" sz="1000">
              <a:solidFill>
                <a:schemeClr val="tx2"/>
              </a:solidFill>
            </a:endParaRPr>
          </a:p>
        </xdr:txBody>
      </xdr:sp>
      <xdr:sp macro="" textlink="">
        <xdr:nvSpPr>
          <xdr:cNvPr id="5" name="Callout brace" title="Data entry note bracket">
            <a:extLst>
              <a:ext uri="{FF2B5EF4-FFF2-40B4-BE49-F238E27FC236}">
                <a16:creationId xmlns:a16="http://schemas.microsoft.com/office/drawing/2014/main" id="{00000000-0008-0000-0000-000005000000}"/>
              </a:ext>
            </a:extLst>
          </xdr:cNvPr>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twoCellAnchor>
    <xdr:from>
      <xdr:col>32</xdr:col>
      <xdr:colOff>180975</xdr:colOff>
      <xdr:row>0</xdr:row>
      <xdr:rowOff>609600</xdr:rowOff>
    </xdr:from>
    <xdr:to>
      <xdr:col>33</xdr:col>
      <xdr:colOff>104775</xdr:colOff>
      <xdr:row>1</xdr:row>
      <xdr:rowOff>171451</xdr:rowOff>
    </xdr:to>
    <xdr:sp macro="" textlink="">
      <xdr:nvSpPr>
        <xdr:cNvPr id="3" name="Data Entry Note" descr="Enter Year: Type year in cell AG2" title="Data Entry Tip">
          <a:extLst>
            <a:ext uri="{FF2B5EF4-FFF2-40B4-BE49-F238E27FC236}">
              <a16:creationId xmlns:a16="http://schemas.microsoft.com/office/drawing/2014/main" id="{00000000-0008-0000-0000-000003000000}"/>
            </a:ext>
          </a:extLst>
        </xdr:cNvPr>
        <xdr:cNvSpPr txBox="1"/>
      </xdr:nvSpPr>
      <xdr:spPr>
        <a:xfrm>
          <a:off x="10067925" y="609600"/>
          <a:ext cx="8286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1">
                  <a:lumMod val="75000"/>
                </a:schemeClr>
              </a:solidFill>
            </a:rPr>
            <a:t>Enter Year:</a:t>
          </a:r>
        </a:p>
      </xdr:txBody>
    </xdr:sp>
    <xdr:clientData fPrintsWithSheet="0"/>
  </xdr:twoCellAnchor>
  <xdr:twoCellAnchor>
    <xdr:from>
      <xdr:col>33</xdr:col>
      <xdr:colOff>85725</xdr:colOff>
      <xdr:row>7</xdr:row>
      <xdr:rowOff>152400</xdr:rowOff>
    </xdr:from>
    <xdr:to>
      <xdr:col>36</xdr:col>
      <xdr:colOff>200025</xdr:colOff>
      <xdr:row>12</xdr:row>
      <xdr:rowOff>74820</xdr:rowOff>
    </xdr:to>
    <xdr:grpSp>
      <xdr:nvGrpSpPr>
        <xdr:cNvPr id="12" name="Group 11">
          <a:extLst>
            <a:ext uri="{FF2B5EF4-FFF2-40B4-BE49-F238E27FC236}">
              <a16:creationId xmlns:a16="http://schemas.microsoft.com/office/drawing/2014/main" id="{00000000-0008-0000-0000-00000C000000}"/>
            </a:ext>
          </a:extLst>
        </xdr:cNvPr>
        <xdr:cNvGrpSpPr/>
      </xdr:nvGrpSpPr>
      <xdr:grpSpPr>
        <a:xfrm>
          <a:off x="10935566" y="2135332"/>
          <a:ext cx="1932709" cy="874920"/>
          <a:chOff x="10877550" y="2152650"/>
          <a:chExt cx="1943100" cy="874920"/>
        </a:xfrm>
      </xdr:grpSpPr>
      <xdr:sp macro="" textlink="">
        <xdr:nvSpPr>
          <xdr:cNvPr id="8" name="TextBox 7" descr="To add a new employee, select the Total Days cell for the last employee and then press the Tab key. " title="Tip">
            <a:extLst>
              <a:ext uri="{FF2B5EF4-FFF2-40B4-BE49-F238E27FC236}">
                <a16:creationId xmlns:a16="http://schemas.microsoft.com/office/drawing/2014/main" id="{00000000-0008-0000-0000-000008000000}"/>
              </a:ext>
            </a:extLst>
          </xdr:cNvPr>
          <xdr:cNvSpPr txBox="1"/>
        </xdr:nvSpPr>
        <xdr:spPr>
          <a:xfrm>
            <a:off x="11191876" y="2152650"/>
            <a:ext cx="1628774" cy="874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tx2"/>
                </a:solidFill>
                <a:effectLst/>
                <a:latin typeface="+mn-lt"/>
                <a:ea typeface="+mn-ea"/>
                <a:cs typeface="+mn-cs"/>
              </a:rPr>
              <a:t>To add a new employee, select the Total</a:t>
            </a:r>
            <a:r>
              <a:rPr lang="en-US" sz="1000" baseline="0">
                <a:solidFill>
                  <a:schemeClr val="tx2"/>
                </a:solidFill>
                <a:effectLst/>
                <a:latin typeface="+mn-lt"/>
                <a:ea typeface="+mn-ea"/>
                <a:cs typeface="+mn-cs"/>
              </a:rPr>
              <a:t> Days cell for the last employee and then </a:t>
            </a:r>
            <a:r>
              <a:rPr lang="en-US" sz="1000">
                <a:solidFill>
                  <a:schemeClr val="tx2"/>
                </a:solidFill>
                <a:effectLst/>
                <a:latin typeface="+mn-lt"/>
                <a:ea typeface="+mn-ea"/>
                <a:cs typeface="+mn-cs"/>
              </a:rPr>
              <a:t>press the Tab key</a:t>
            </a:r>
            <a:r>
              <a:rPr lang="en-US" sz="1000" baseline="0">
                <a:solidFill>
                  <a:schemeClr val="tx2"/>
                </a:solidFill>
                <a:effectLst/>
                <a:latin typeface="+mn-lt"/>
                <a:ea typeface="+mn-ea"/>
                <a:cs typeface="+mn-cs"/>
              </a:rPr>
              <a:t>. </a:t>
            </a:r>
            <a:endParaRPr lang="en-US" sz="1000">
              <a:solidFill>
                <a:schemeClr val="tx2"/>
              </a:solidFill>
              <a:effectLst/>
            </a:endParaRPr>
          </a:p>
          <a:p>
            <a:endParaRPr lang="en-US" sz="1000">
              <a:solidFill>
                <a:schemeClr val="tx2"/>
              </a:solidFill>
            </a:endParaRPr>
          </a:p>
        </xdr:txBody>
      </xdr:sp>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a:off x="10877550" y="2286000"/>
            <a:ext cx="342900" cy="0"/>
          </a:xfrm>
          <a:prstGeom prst="straightConnector1">
            <a:avLst/>
          </a:prstGeom>
          <a:ln>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January" displayName="tblJanuary" ref="A4:AG10" totalsRowCount="1">
  <tableColumns count="33">
    <tableColumn id="1" xr3:uid="{00000000-0010-0000-0000-000001000000}" name="Employee Name" totalsRowFunction="custom" dataDxfId="836" totalsRowDxfId="835">
      <totalsRowFormula>MonthName&amp;" Total"</totalsRowFormula>
    </tableColumn>
    <tableColumn id="2" xr3:uid="{00000000-0010-0000-0000-000002000000}" name="1" totalsRowFunction="count" dataDxfId="834" totalsRowDxfId="833"/>
    <tableColumn id="3" xr3:uid="{00000000-0010-0000-0000-000003000000}" name="2" totalsRowFunction="count" dataDxfId="832" totalsRowDxfId="831"/>
    <tableColumn id="4" xr3:uid="{00000000-0010-0000-0000-000004000000}" name="3" totalsRowFunction="count" dataDxfId="830" totalsRowDxfId="829"/>
    <tableColumn id="5" xr3:uid="{00000000-0010-0000-0000-000005000000}" name="4" totalsRowFunction="count" dataDxfId="828" totalsRowDxfId="827"/>
    <tableColumn id="6" xr3:uid="{00000000-0010-0000-0000-000006000000}" name="5" totalsRowFunction="count" dataDxfId="826" totalsRowDxfId="825"/>
    <tableColumn id="7" xr3:uid="{00000000-0010-0000-0000-000007000000}" name="6" totalsRowFunction="count" dataDxfId="824" totalsRowDxfId="823"/>
    <tableColumn id="8" xr3:uid="{00000000-0010-0000-0000-000008000000}" name="7" totalsRowFunction="count" dataDxfId="822" totalsRowDxfId="821"/>
    <tableColumn id="9" xr3:uid="{00000000-0010-0000-0000-000009000000}" name="8" totalsRowFunction="count" dataDxfId="820" totalsRowDxfId="819"/>
    <tableColumn id="10" xr3:uid="{00000000-0010-0000-0000-00000A000000}" name="9" totalsRowFunction="count" dataDxfId="818" totalsRowDxfId="817"/>
    <tableColumn id="11" xr3:uid="{00000000-0010-0000-0000-00000B000000}" name="10" totalsRowFunction="count" dataDxfId="816" totalsRowDxfId="815"/>
    <tableColumn id="12" xr3:uid="{00000000-0010-0000-0000-00000C000000}" name="11" totalsRowFunction="count" dataDxfId="814" totalsRowDxfId="813"/>
    <tableColumn id="13" xr3:uid="{00000000-0010-0000-0000-00000D000000}" name="12" totalsRowFunction="count" dataDxfId="812" totalsRowDxfId="811"/>
    <tableColumn id="14" xr3:uid="{00000000-0010-0000-0000-00000E000000}" name="13" totalsRowFunction="count" dataDxfId="810" totalsRowDxfId="809"/>
    <tableColumn id="15" xr3:uid="{00000000-0010-0000-0000-00000F000000}" name="14" totalsRowFunction="count" dataDxfId="808" totalsRowDxfId="807"/>
    <tableColumn id="16" xr3:uid="{00000000-0010-0000-0000-000010000000}" name="15" totalsRowFunction="count" dataDxfId="806" totalsRowDxfId="805"/>
    <tableColumn id="17" xr3:uid="{00000000-0010-0000-0000-000011000000}" name="16" totalsRowFunction="count" dataDxfId="804" totalsRowDxfId="803"/>
    <tableColumn id="18" xr3:uid="{00000000-0010-0000-0000-000012000000}" name="17" totalsRowFunction="count" dataDxfId="802" totalsRowDxfId="801"/>
    <tableColumn id="19" xr3:uid="{00000000-0010-0000-0000-000013000000}" name="18" totalsRowFunction="count" dataDxfId="800" totalsRowDxfId="799"/>
    <tableColumn id="20" xr3:uid="{00000000-0010-0000-0000-000014000000}" name="19" totalsRowFunction="count" dataDxfId="798" totalsRowDxfId="797"/>
    <tableColumn id="21" xr3:uid="{00000000-0010-0000-0000-000015000000}" name="20" totalsRowFunction="count" dataDxfId="796" totalsRowDxfId="795"/>
    <tableColumn id="22" xr3:uid="{00000000-0010-0000-0000-000016000000}" name="21" totalsRowFunction="count" dataDxfId="794" totalsRowDxfId="793"/>
    <tableColumn id="23" xr3:uid="{00000000-0010-0000-0000-000017000000}" name="22" totalsRowFunction="count" dataDxfId="792" totalsRowDxfId="791"/>
    <tableColumn id="24" xr3:uid="{00000000-0010-0000-0000-000018000000}" name="23" totalsRowFunction="count" dataDxfId="790" totalsRowDxfId="789"/>
    <tableColumn id="25" xr3:uid="{00000000-0010-0000-0000-000019000000}" name="24" totalsRowFunction="count" dataDxfId="788" totalsRowDxfId="787"/>
    <tableColumn id="26" xr3:uid="{00000000-0010-0000-0000-00001A000000}" name="25" totalsRowFunction="count" dataDxfId="786" totalsRowDxfId="785"/>
    <tableColumn id="27" xr3:uid="{00000000-0010-0000-0000-00001B000000}" name="26" totalsRowFunction="count" dataDxfId="784" totalsRowDxfId="783"/>
    <tableColumn id="28" xr3:uid="{00000000-0010-0000-0000-00001C000000}" name="27" totalsRowFunction="count" dataDxfId="782" totalsRowDxfId="781"/>
    <tableColumn id="29" xr3:uid="{00000000-0010-0000-0000-00001D000000}" name="28" totalsRowFunction="count" dataDxfId="780" totalsRowDxfId="779"/>
    <tableColumn id="30" xr3:uid="{00000000-0010-0000-0000-00001E000000}" name="29" totalsRowFunction="count" dataDxfId="778" totalsRowDxfId="777"/>
    <tableColumn id="31" xr3:uid="{00000000-0010-0000-0000-00001F000000}" name="30" totalsRowFunction="count" dataDxfId="776" totalsRowDxfId="775"/>
    <tableColumn id="32" xr3:uid="{00000000-0010-0000-0000-000020000000}" name="31" totalsRowFunction="count" dataDxfId="774" totalsRowDxfId="773"/>
    <tableColumn id="33" xr3:uid="{00000000-0010-0000-0000-000021000000}" name="Total Days" totalsRowFunction="sum" totalsRowDxfId="772">
      <calculatedColumnFormula>COUNTA(tblJanuary[[#This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anuary Employee Absence Schedule" altTextSummary="Provides a list of names and calendar dates to record employee absences and specific absence type, such as V=Vacation, S=Sick, P=Personal and two placeholders for custom entrie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blOctober" displayName="tblOctober" ref="A4:AG10" totalsRowCount="1">
  <tableColumns count="33">
    <tableColumn id="1" xr3:uid="{00000000-0010-0000-0900-000001000000}" name="Employee Name" totalsRowFunction="custom" dataDxfId="204" totalsRowDxfId="203">
      <totalsRowFormula>MonthName&amp;" Total"</totalsRowFormula>
    </tableColumn>
    <tableColumn id="2" xr3:uid="{00000000-0010-0000-0900-000002000000}" name="1" totalsRowFunction="count" dataDxfId="202" totalsRowDxfId="201"/>
    <tableColumn id="3" xr3:uid="{00000000-0010-0000-0900-000003000000}" name="2" totalsRowFunction="count" dataDxfId="200" totalsRowDxfId="199"/>
    <tableColumn id="4" xr3:uid="{00000000-0010-0000-0900-000004000000}" name="3" totalsRowFunction="count" dataDxfId="198" totalsRowDxfId="197"/>
    <tableColumn id="5" xr3:uid="{00000000-0010-0000-0900-000005000000}" name="4" totalsRowFunction="count" dataDxfId="196" totalsRowDxfId="195"/>
    <tableColumn id="6" xr3:uid="{00000000-0010-0000-0900-000006000000}" name="5" totalsRowFunction="count" dataDxfId="194" totalsRowDxfId="193"/>
    <tableColumn id="7" xr3:uid="{00000000-0010-0000-0900-000007000000}" name="6" totalsRowFunction="count" dataDxfId="192" totalsRowDxfId="191"/>
    <tableColumn id="8" xr3:uid="{00000000-0010-0000-0900-000008000000}" name="7" totalsRowFunction="count" dataDxfId="190" totalsRowDxfId="189"/>
    <tableColumn id="9" xr3:uid="{00000000-0010-0000-0900-000009000000}" name="8" totalsRowFunction="count" dataDxfId="188" totalsRowDxfId="187"/>
    <tableColumn id="10" xr3:uid="{00000000-0010-0000-0900-00000A000000}" name="9" totalsRowFunction="count" dataDxfId="186" totalsRowDxfId="185"/>
    <tableColumn id="11" xr3:uid="{00000000-0010-0000-0900-00000B000000}" name="10" totalsRowFunction="count" dataDxfId="184" totalsRowDxfId="183"/>
    <tableColumn id="12" xr3:uid="{00000000-0010-0000-0900-00000C000000}" name="11" totalsRowFunction="count" dataDxfId="182" totalsRowDxfId="181"/>
    <tableColumn id="13" xr3:uid="{00000000-0010-0000-0900-00000D000000}" name="12" totalsRowFunction="count" dataDxfId="180" totalsRowDxfId="179"/>
    <tableColumn id="14" xr3:uid="{00000000-0010-0000-0900-00000E000000}" name="13" totalsRowFunction="count" dataDxfId="178" totalsRowDxfId="177"/>
    <tableColumn id="15" xr3:uid="{00000000-0010-0000-0900-00000F000000}" name="14" totalsRowFunction="count" dataDxfId="176" totalsRowDxfId="175"/>
    <tableColumn id="16" xr3:uid="{00000000-0010-0000-0900-000010000000}" name="15" totalsRowFunction="count" dataDxfId="174" totalsRowDxfId="173"/>
    <tableColumn id="17" xr3:uid="{00000000-0010-0000-0900-000011000000}" name="16" totalsRowFunction="count" dataDxfId="172" totalsRowDxfId="171"/>
    <tableColumn id="18" xr3:uid="{00000000-0010-0000-0900-000012000000}" name="17" totalsRowFunction="count" dataDxfId="170" totalsRowDxfId="169"/>
    <tableColumn id="19" xr3:uid="{00000000-0010-0000-0900-000013000000}" name="18" totalsRowFunction="count" dataDxfId="168" totalsRowDxfId="167"/>
    <tableColumn id="20" xr3:uid="{00000000-0010-0000-0900-000014000000}" name="19" totalsRowFunction="count" dataDxfId="166" totalsRowDxfId="165"/>
    <tableColumn id="21" xr3:uid="{00000000-0010-0000-0900-000015000000}" name="20" totalsRowFunction="count" dataDxfId="164" totalsRowDxfId="163"/>
    <tableColumn id="22" xr3:uid="{00000000-0010-0000-0900-000016000000}" name="21" totalsRowFunction="count" dataDxfId="162" totalsRowDxfId="161"/>
    <tableColumn id="23" xr3:uid="{00000000-0010-0000-0900-000017000000}" name="22" totalsRowFunction="count" dataDxfId="160" totalsRowDxfId="159"/>
    <tableColumn id="24" xr3:uid="{00000000-0010-0000-0900-000018000000}" name="23" totalsRowFunction="count" dataDxfId="158" totalsRowDxfId="157"/>
    <tableColumn id="25" xr3:uid="{00000000-0010-0000-0900-000019000000}" name="24" totalsRowFunction="count" dataDxfId="156" totalsRowDxfId="155"/>
    <tableColumn id="26" xr3:uid="{00000000-0010-0000-0900-00001A000000}" name="25" totalsRowFunction="count" dataDxfId="154" totalsRowDxfId="153"/>
    <tableColumn id="27" xr3:uid="{00000000-0010-0000-0900-00001B000000}" name="26" totalsRowFunction="count" dataDxfId="152" totalsRowDxfId="151"/>
    <tableColumn id="28" xr3:uid="{00000000-0010-0000-0900-00001C000000}" name="27" totalsRowFunction="count" dataDxfId="150" totalsRowDxfId="149"/>
    <tableColumn id="29" xr3:uid="{00000000-0010-0000-0900-00001D000000}" name="28" totalsRowFunction="count" dataDxfId="148" totalsRowDxfId="147"/>
    <tableColumn id="30" xr3:uid="{00000000-0010-0000-0900-00001E000000}" name="29" totalsRowFunction="count" dataDxfId="146" totalsRowDxfId="145"/>
    <tableColumn id="31" xr3:uid="{00000000-0010-0000-0900-00001F000000}" name="30" dataDxfId="144" totalsRowDxfId="143"/>
    <tableColumn id="32" xr3:uid="{00000000-0010-0000-0900-000020000000}" name="31" dataDxfId="142" totalsRowDxfId="141"/>
    <tableColumn id="33" xr3:uid="{00000000-0010-0000-0900-000021000000}" name="Total Days" totalsRowFunction="sum" totalsRowDxfId="140">
      <calculatedColumnFormula>COUNTA(tblOctober[[#This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October Employee Absence Schedule" altTextSummary="Provides a list of names and calendar dates to record employee absences and specific absence type, such as V=Vacation, S=Sick, P=Personal and two placeholders for custom entri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tblNovember" displayName="tblNovember" ref="A4:AG10" totalsRowCount="1">
  <tableColumns count="33">
    <tableColumn id="1" xr3:uid="{00000000-0010-0000-0A00-000001000000}" name="Employee Name" totalsRowFunction="custom" dataDxfId="134" totalsRowDxfId="133">
      <totalsRowFormula>MonthName&amp;" Total"</totalsRowFormula>
    </tableColumn>
    <tableColumn id="2" xr3:uid="{00000000-0010-0000-0A00-000002000000}" name="1" totalsRowFunction="count" dataDxfId="132" totalsRowDxfId="131"/>
    <tableColumn id="3" xr3:uid="{00000000-0010-0000-0A00-000003000000}" name="2" totalsRowFunction="count" dataDxfId="130" totalsRowDxfId="129"/>
    <tableColumn id="4" xr3:uid="{00000000-0010-0000-0A00-000004000000}" name="3" totalsRowFunction="count" dataDxfId="128" totalsRowDxfId="127"/>
    <tableColumn id="5" xr3:uid="{00000000-0010-0000-0A00-000005000000}" name="4" totalsRowFunction="count" dataDxfId="126" totalsRowDxfId="125"/>
    <tableColumn id="6" xr3:uid="{00000000-0010-0000-0A00-000006000000}" name="5" totalsRowFunction="count" dataDxfId="124" totalsRowDxfId="123"/>
    <tableColumn id="7" xr3:uid="{00000000-0010-0000-0A00-000007000000}" name="6" totalsRowFunction="count" dataDxfId="122" totalsRowDxfId="121"/>
    <tableColumn id="8" xr3:uid="{00000000-0010-0000-0A00-000008000000}" name="7" totalsRowFunction="count" dataDxfId="120" totalsRowDxfId="119"/>
    <tableColumn id="9" xr3:uid="{00000000-0010-0000-0A00-000009000000}" name="8" totalsRowFunction="count" dataDxfId="118" totalsRowDxfId="117"/>
    <tableColumn id="10" xr3:uid="{00000000-0010-0000-0A00-00000A000000}" name="9" totalsRowFunction="count" dataDxfId="116" totalsRowDxfId="115"/>
    <tableColumn id="11" xr3:uid="{00000000-0010-0000-0A00-00000B000000}" name="10" totalsRowFunction="count" dataDxfId="114" totalsRowDxfId="113"/>
    <tableColumn id="12" xr3:uid="{00000000-0010-0000-0A00-00000C000000}" name="11" totalsRowFunction="count" dataDxfId="112" totalsRowDxfId="111"/>
    <tableColumn id="13" xr3:uid="{00000000-0010-0000-0A00-00000D000000}" name="12" totalsRowFunction="count" dataDxfId="110" totalsRowDxfId="109"/>
    <tableColumn id="14" xr3:uid="{00000000-0010-0000-0A00-00000E000000}" name="13" totalsRowFunction="count" dataDxfId="108" totalsRowDxfId="107"/>
    <tableColumn id="15" xr3:uid="{00000000-0010-0000-0A00-00000F000000}" name="14" totalsRowFunction="count" dataDxfId="106" totalsRowDxfId="105"/>
    <tableColumn id="16" xr3:uid="{00000000-0010-0000-0A00-000010000000}" name="15" totalsRowFunction="count" dataDxfId="104" totalsRowDxfId="103"/>
    <tableColumn id="17" xr3:uid="{00000000-0010-0000-0A00-000011000000}" name="16" totalsRowFunction="count" dataDxfId="102" totalsRowDxfId="101"/>
    <tableColumn id="18" xr3:uid="{00000000-0010-0000-0A00-000012000000}" name="17" totalsRowFunction="count" dataDxfId="100" totalsRowDxfId="99"/>
    <tableColumn id="19" xr3:uid="{00000000-0010-0000-0A00-000013000000}" name="18" totalsRowFunction="count" dataDxfId="98" totalsRowDxfId="97"/>
    <tableColumn id="20" xr3:uid="{00000000-0010-0000-0A00-000014000000}" name="19" totalsRowFunction="count" dataDxfId="96" totalsRowDxfId="95"/>
    <tableColumn id="21" xr3:uid="{00000000-0010-0000-0A00-000015000000}" name="20" totalsRowFunction="count" dataDxfId="94" totalsRowDxfId="93"/>
    <tableColumn id="22" xr3:uid="{00000000-0010-0000-0A00-000016000000}" name="21" totalsRowFunction="count" dataDxfId="92" totalsRowDxfId="91"/>
    <tableColumn id="23" xr3:uid="{00000000-0010-0000-0A00-000017000000}" name="22" totalsRowFunction="count" dataDxfId="90" totalsRowDxfId="89"/>
    <tableColumn id="24" xr3:uid="{00000000-0010-0000-0A00-000018000000}" name="23" totalsRowFunction="count" dataDxfId="88" totalsRowDxfId="87"/>
    <tableColumn id="25" xr3:uid="{00000000-0010-0000-0A00-000019000000}" name="24" totalsRowFunction="count" dataDxfId="86" totalsRowDxfId="85"/>
    <tableColumn id="26" xr3:uid="{00000000-0010-0000-0A00-00001A000000}" name="25" totalsRowFunction="count" dataDxfId="84" totalsRowDxfId="83"/>
    <tableColumn id="27" xr3:uid="{00000000-0010-0000-0A00-00001B000000}" name="26" totalsRowFunction="count" dataDxfId="82" totalsRowDxfId="81"/>
    <tableColumn id="28" xr3:uid="{00000000-0010-0000-0A00-00001C000000}" name="27" totalsRowFunction="count" dataDxfId="80" totalsRowDxfId="79"/>
    <tableColumn id="29" xr3:uid="{00000000-0010-0000-0A00-00001D000000}" name="28" totalsRowFunction="count" dataDxfId="78" totalsRowDxfId="77"/>
    <tableColumn id="30" xr3:uid="{00000000-0010-0000-0A00-00001E000000}" name="29" totalsRowFunction="count" dataDxfId="76" totalsRowDxfId="75"/>
    <tableColumn id="31" xr3:uid="{00000000-0010-0000-0A00-00001F000000}" name="30" dataDxfId="74" totalsRowDxfId="73"/>
    <tableColumn id="32" xr3:uid="{00000000-0010-0000-0A00-000020000000}" name=" " dataDxfId="72" totalsRowDxfId="71"/>
    <tableColumn id="33" xr3:uid="{00000000-0010-0000-0A00-000021000000}" name="Total Days" totalsRowFunction="sum" totalsRowDxfId="70">
      <calculatedColumnFormula>COUNTA(tblNovember[[#This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November Employee Absence Schedule" altTextSummary="Provides a list of names and calendar dates to record employee absences and specific absence type, such as V=Vacation, S=Sick, P=Personal and two placeholders for custom entrie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blDecember" displayName="tblDecember" ref="A4:AG10" totalsRowCount="1">
  <tableColumns count="33">
    <tableColumn id="1" xr3:uid="{00000000-0010-0000-0B00-000001000000}" name="Employee Name" totalsRowFunction="custom" dataDxfId="64" totalsRowDxfId="63">
      <totalsRowFormula>MonthName&amp;" Total"</totalsRowFormula>
    </tableColumn>
    <tableColumn id="2" xr3:uid="{00000000-0010-0000-0B00-000002000000}" name="1" totalsRowFunction="count" dataDxfId="62" totalsRowDxfId="61"/>
    <tableColumn id="3" xr3:uid="{00000000-0010-0000-0B00-000003000000}" name="2" totalsRowFunction="count" dataDxfId="60" totalsRowDxfId="59"/>
    <tableColumn id="4" xr3:uid="{00000000-0010-0000-0B00-000004000000}" name="3" totalsRowFunction="count" dataDxfId="58" totalsRowDxfId="57"/>
    <tableColumn id="5" xr3:uid="{00000000-0010-0000-0B00-000005000000}" name="4" totalsRowFunction="count" dataDxfId="56" totalsRowDxfId="55"/>
    <tableColumn id="6" xr3:uid="{00000000-0010-0000-0B00-000006000000}" name="5" totalsRowFunction="count" dataDxfId="54" totalsRowDxfId="53"/>
    <tableColumn id="7" xr3:uid="{00000000-0010-0000-0B00-000007000000}" name="6" totalsRowFunction="count" dataDxfId="52" totalsRowDxfId="51"/>
    <tableColumn id="8" xr3:uid="{00000000-0010-0000-0B00-000008000000}" name="7" totalsRowFunction="count" dataDxfId="50" totalsRowDxfId="49"/>
    <tableColumn id="9" xr3:uid="{00000000-0010-0000-0B00-000009000000}" name="8" totalsRowFunction="count" dataDxfId="48" totalsRowDxfId="47"/>
    <tableColumn id="10" xr3:uid="{00000000-0010-0000-0B00-00000A000000}" name="9" totalsRowFunction="count" dataDxfId="46" totalsRowDxfId="45"/>
    <tableColumn id="11" xr3:uid="{00000000-0010-0000-0B00-00000B000000}" name="10" totalsRowFunction="count" dataDxfId="44" totalsRowDxfId="43"/>
    <tableColumn id="12" xr3:uid="{00000000-0010-0000-0B00-00000C000000}" name="11" totalsRowFunction="count" dataDxfId="42" totalsRowDxfId="41"/>
    <tableColumn id="13" xr3:uid="{00000000-0010-0000-0B00-00000D000000}" name="12" totalsRowFunction="count" dataDxfId="40" totalsRowDxfId="39"/>
    <tableColumn id="14" xr3:uid="{00000000-0010-0000-0B00-00000E000000}" name="13" totalsRowFunction="count" dataDxfId="38" totalsRowDxfId="37"/>
    <tableColumn id="15" xr3:uid="{00000000-0010-0000-0B00-00000F000000}" name="14" totalsRowFunction="count" dataDxfId="36" totalsRowDxfId="35"/>
    <tableColumn id="16" xr3:uid="{00000000-0010-0000-0B00-000010000000}" name="15" totalsRowFunction="count" dataDxfId="34" totalsRowDxfId="33"/>
    <tableColumn id="17" xr3:uid="{00000000-0010-0000-0B00-000011000000}" name="16" totalsRowFunction="count" dataDxfId="32" totalsRowDxfId="31"/>
    <tableColumn id="18" xr3:uid="{00000000-0010-0000-0B00-000012000000}" name="17" totalsRowFunction="count" dataDxfId="30" totalsRowDxfId="29"/>
    <tableColumn id="19" xr3:uid="{00000000-0010-0000-0B00-000013000000}" name="18" totalsRowFunction="count" dataDxfId="28" totalsRowDxfId="27"/>
    <tableColumn id="20" xr3:uid="{00000000-0010-0000-0B00-000014000000}" name="19" totalsRowFunction="count" dataDxfId="26" totalsRowDxfId="25"/>
    <tableColumn id="21" xr3:uid="{00000000-0010-0000-0B00-000015000000}" name="20" totalsRowFunction="count" dataDxfId="24" totalsRowDxfId="23"/>
    <tableColumn id="22" xr3:uid="{00000000-0010-0000-0B00-000016000000}" name="21" totalsRowFunction="count" dataDxfId="22" totalsRowDxfId="21"/>
    <tableColumn id="23" xr3:uid="{00000000-0010-0000-0B00-000017000000}" name="22" totalsRowFunction="count" dataDxfId="20" totalsRowDxfId="19"/>
    <tableColumn id="24" xr3:uid="{00000000-0010-0000-0B00-000018000000}" name="23" totalsRowFunction="count" dataDxfId="18" totalsRowDxfId="17"/>
    <tableColumn id="25" xr3:uid="{00000000-0010-0000-0B00-000019000000}" name="24" totalsRowFunction="count" dataDxfId="16" totalsRowDxfId="15"/>
    <tableColumn id="26" xr3:uid="{00000000-0010-0000-0B00-00001A000000}" name="25" totalsRowFunction="count" dataDxfId="14" totalsRowDxfId="13"/>
    <tableColumn id="27" xr3:uid="{00000000-0010-0000-0B00-00001B000000}" name="26" totalsRowFunction="count" dataDxfId="12" totalsRowDxfId="11"/>
    <tableColumn id="28" xr3:uid="{00000000-0010-0000-0B00-00001C000000}" name="27" totalsRowFunction="count" dataDxfId="10" totalsRowDxfId="9"/>
    <tableColumn id="29" xr3:uid="{00000000-0010-0000-0B00-00001D000000}" name="28" totalsRowFunction="count" dataDxfId="8" totalsRowDxfId="7"/>
    <tableColumn id="30" xr3:uid="{00000000-0010-0000-0B00-00001E000000}" name="29" totalsRowFunction="count" dataDxfId="6" totalsRowDxfId="5"/>
    <tableColumn id="31" xr3:uid="{00000000-0010-0000-0B00-00001F000000}" name="30" dataDxfId="4" totalsRowDxfId="3"/>
    <tableColumn id="32" xr3:uid="{00000000-0010-0000-0B00-000020000000}" name="31" dataDxfId="2" totalsRowDxfId="1"/>
    <tableColumn id="33" xr3:uid="{00000000-0010-0000-0B00-000021000000}" name="Total Days" totalsRowFunction="sum" totalsRowDxfId="0">
      <calculatedColumnFormula>COUNTA(tblDecember[[#This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December Employee Absence Schedule" altTextSummary="Provides a list of names and calendar dates to record employee absences and specific absence type, such as V=Vacation, S=Sick, P=Personal and two placeholders for custom entri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February" displayName="tblFebruary" ref="A4:AG10" totalsRowCount="1">
  <tableColumns count="33">
    <tableColumn id="1" xr3:uid="{00000000-0010-0000-0100-000001000000}" name="Employee Name" totalsRowFunction="custom" dataDxfId="764" totalsRowDxfId="763">
      <totalsRowFormula>MonthName&amp;" Total"</totalsRowFormula>
    </tableColumn>
    <tableColumn id="2" xr3:uid="{00000000-0010-0000-0100-000002000000}" name="1" totalsRowFunction="count" dataDxfId="762" totalsRowDxfId="761"/>
    <tableColumn id="3" xr3:uid="{00000000-0010-0000-0100-000003000000}" name="2" totalsRowFunction="count" dataDxfId="760" totalsRowDxfId="759"/>
    <tableColumn id="4" xr3:uid="{00000000-0010-0000-0100-000004000000}" name="3" totalsRowFunction="count" dataDxfId="758" totalsRowDxfId="757"/>
    <tableColumn id="5" xr3:uid="{00000000-0010-0000-0100-000005000000}" name="4" totalsRowFunction="count" dataDxfId="756" totalsRowDxfId="755"/>
    <tableColumn id="6" xr3:uid="{00000000-0010-0000-0100-000006000000}" name="5" totalsRowFunction="count" dataDxfId="754" totalsRowDxfId="753"/>
    <tableColumn id="7" xr3:uid="{00000000-0010-0000-0100-000007000000}" name="6" totalsRowFunction="count" dataDxfId="752" totalsRowDxfId="751"/>
    <tableColumn id="8" xr3:uid="{00000000-0010-0000-0100-000008000000}" name="7" totalsRowFunction="count" dataDxfId="750" totalsRowDxfId="749"/>
    <tableColumn id="9" xr3:uid="{00000000-0010-0000-0100-000009000000}" name="8" totalsRowFunction="count" dataDxfId="748" totalsRowDxfId="747"/>
    <tableColumn id="10" xr3:uid="{00000000-0010-0000-0100-00000A000000}" name="9" totalsRowFunction="count" dataDxfId="746" totalsRowDxfId="745"/>
    <tableColumn id="11" xr3:uid="{00000000-0010-0000-0100-00000B000000}" name="10" totalsRowFunction="count" dataDxfId="744" totalsRowDxfId="743"/>
    <tableColumn id="12" xr3:uid="{00000000-0010-0000-0100-00000C000000}" name="11" totalsRowFunction="count" dataDxfId="742" totalsRowDxfId="741"/>
    <tableColumn id="13" xr3:uid="{00000000-0010-0000-0100-00000D000000}" name="12" totalsRowFunction="count" dataDxfId="740" totalsRowDxfId="739"/>
    <tableColumn id="14" xr3:uid="{00000000-0010-0000-0100-00000E000000}" name="13" totalsRowFunction="count" dataDxfId="738" totalsRowDxfId="737"/>
    <tableColumn id="15" xr3:uid="{00000000-0010-0000-0100-00000F000000}" name="14" totalsRowFunction="count" dataDxfId="736" totalsRowDxfId="735"/>
    <tableColumn id="16" xr3:uid="{00000000-0010-0000-0100-000010000000}" name="15" totalsRowFunction="count" dataDxfId="734" totalsRowDxfId="733"/>
    <tableColumn id="17" xr3:uid="{00000000-0010-0000-0100-000011000000}" name="16" totalsRowFunction="count" dataDxfId="732" totalsRowDxfId="731"/>
    <tableColumn id="18" xr3:uid="{00000000-0010-0000-0100-000012000000}" name="17" totalsRowFunction="count" dataDxfId="730" totalsRowDxfId="729"/>
    <tableColumn id="19" xr3:uid="{00000000-0010-0000-0100-000013000000}" name="18" totalsRowFunction="count" dataDxfId="728" totalsRowDxfId="727"/>
    <tableColumn id="20" xr3:uid="{00000000-0010-0000-0100-000014000000}" name="19" totalsRowFunction="count" dataDxfId="726" totalsRowDxfId="725"/>
    <tableColumn id="21" xr3:uid="{00000000-0010-0000-0100-000015000000}" name="20" totalsRowFunction="count" dataDxfId="724" totalsRowDxfId="723"/>
    <tableColumn id="22" xr3:uid="{00000000-0010-0000-0100-000016000000}" name="21" totalsRowFunction="count" dataDxfId="722" totalsRowDxfId="721"/>
    <tableColumn id="23" xr3:uid="{00000000-0010-0000-0100-000017000000}" name="22" totalsRowFunction="count" dataDxfId="720" totalsRowDxfId="719"/>
    <tableColumn id="24" xr3:uid="{00000000-0010-0000-0100-000018000000}" name="23" totalsRowFunction="count" dataDxfId="718" totalsRowDxfId="717"/>
    <tableColumn id="25" xr3:uid="{00000000-0010-0000-0100-000019000000}" name="24" totalsRowFunction="count" dataDxfId="716" totalsRowDxfId="715"/>
    <tableColumn id="26" xr3:uid="{00000000-0010-0000-0100-00001A000000}" name="25" totalsRowFunction="count" dataDxfId="714" totalsRowDxfId="713"/>
    <tableColumn id="27" xr3:uid="{00000000-0010-0000-0100-00001B000000}" name="26" totalsRowFunction="count" dataDxfId="712" totalsRowDxfId="711"/>
    <tableColumn id="28" xr3:uid="{00000000-0010-0000-0100-00001C000000}" name="27" totalsRowFunction="count" dataDxfId="710" totalsRowDxfId="709"/>
    <tableColumn id="29" xr3:uid="{00000000-0010-0000-0100-00001D000000}" name="28" totalsRowFunction="count" dataDxfId="708" totalsRowDxfId="707"/>
    <tableColumn id="30" xr3:uid="{00000000-0010-0000-0100-00001E000000}" name="29" totalsRowFunction="count" dataDxfId="706" totalsRowDxfId="705"/>
    <tableColumn id="31" xr3:uid="{00000000-0010-0000-0100-00001F000000}" name=" " dataDxfId="704" totalsRowDxfId="703"/>
    <tableColumn id="32" xr3:uid="{00000000-0010-0000-0100-000020000000}" name="  " dataDxfId="702" totalsRowDxfId="701"/>
    <tableColumn id="33" xr3:uid="{00000000-0010-0000-0100-000021000000}" name="Total Days" totalsRowFunction="sum" totalsRowDxfId="700">
      <calculatedColumnFormula>COUNTA(tblFebruary[[#This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February Employee Absence Schedule" altTextSummary="Provides a list of names and calendar dates to record employee absences and specific absence type, such as V=Vacation, S=Sick, P=Personal and two placeholders for custom entri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blMarch" displayName="tblMarch" ref="A4:AG10" totalsRowCount="1">
  <tableColumns count="33">
    <tableColumn id="1" xr3:uid="{00000000-0010-0000-0200-000001000000}" name="Employee Name" totalsRowFunction="custom" dataDxfId="694" totalsRowDxfId="693">
      <totalsRowFormula>MonthName&amp;" Total"</totalsRowFormula>
    </tableColumn>
    <tableColumn id="2" xr3:uid="{00000000-0010-0000-0200-000002000000}" name="1" totalsRowFunction="count" dataDxfId="692" totalsRowDxfId="691"/>
    <tableColumn id="3" xr3:uid="{00000000-0010-0000-0200-000003000000}" name="2" totalsRowFunction="count" dataDxfId="690" totalsRowDxfId="689"/>
    <tableColumn id="4" xr3:uid="{00000000-0010-0000-0200-000004000000}" name="3" totalsRowFunction="count" dataDxfId="688" totalsRowDxfId="687"/>
    <tableColumn id="5" xr3:uid="{00000000-0010-0000-0200-000005000000}" name="4" totalsRowFunction="count" dataDxfId="686" totalsRowDxfId="685"/>
    <tableColumn id="6" xr3:uid="{00000000-0010-0000-0200-000006000000}" name="5" totalsRowFunction="count" dataDxfId="684" totalsRowDxfId="683"/>
    <tableColumn id="7" xr3:uid="{00000000-0010-0000-0200-000007000000}" name="6" totalsRowFunction="count" dataDxfId="682" totalsRowDxfId="681"/>
    <tableColumn id="8" xr3:uid="{00000000-0010-0000-0200-000008000000}" name="7" totalsRowFunction="count" dataDxfId="680" totalsRowDxfId="679"/>
    <tableColumn id="9" xr3:uid="{00000000-0010-0000-0200-000009000000}" name="8" totalsRowFunction="count" dataDxfId="678" totalsRowDxfId="677"/>
    <tableColumn id="10" xr3:uid="{00000000-0010-0000-0200-00000A000000}" name="9" totalsRowFunction="count" dataDxfId="676" totalsRowDxfId="675"/>
    <tableColumn id="11" xr3:uid="{00000000-0010-0000-0200-00000B000000}" name="10" totalsRowFunction="count" dataDxfId="674" totalsRowDxfId="673"/>
    <tableColumn id="12" xr3:uid="{00000000-0010-0000-0200-00000C000000}" name="11" totalsRowFunction="count" dataDxfId="672" totalsRowDxfId="671"/>
    <tableColumn id="13" xr3:uid="{00000000-0010-0000-0200-00000D000000}" name="12" totalsRowFunction="count" dataDxfId="670" totalsRowDxfId="669"/>
    <tableColumn id="14" xr3:uid="{00000000-0010-0000-0200-00000E000000}" name="13" totalsRowFunction="count" dataDxfId="668" totalsRowDxfId="667"/>
    <tableColumn id="15" xr3:uid="{00000000-0010-0000-0200-00000F000000}" name="14" totalsRowFunction="count" dataDxfId="666" totalsRowDxfId="665"/>
    <tableColumn id="16" xr3:uid="{00000000-0010-0000-0200-000010000000}" name="15" totalsRowFunction="count" dataDxfId="664" totalsRowDxfId="663"/>
    <tableColumn id="17" xr3:uid="{00000000-0010-0000-0200-000011000000}" name="16" totalsRowFunction="count" dataDxfId="662" totalsRowDxfId="661"/>
    <tableColumn id="18" xr3:uid="{00000000-0010-0000-0200-000012000000}" name="17" totalsRowFunction="count" dataDxfId="660" totalsRowDxfId="659"/>
    <tableColumn id="19" xr3:uid="{00000000-0010-0000-0200-000013000000}" name="18" totalsRowFunction="count" dataDxfId="658" totalsRowDxfId="657"/>
    <tableColumn id="20" xr3:uid="{00000000-0010-0000-0200-000014000000}" name="19" totalsRowFunction="count" dataDxfId="656" totalsRowDxfId="655"/>
    <tableColumn id="21" xr3:uid="{00000000-0010-0000-0200-000015000000}" name="20" totalsRowFunction="count" dataDxfId="654" totalsRowDxfId="653"/>
    <tableColumn id="22" xr3:uid="{00000000-0010-0000-0200-000016000000}" name="21" totalsRowFunction="count" dataDxfId="652" totalsRowDxfId="651"/>
    <tableColumn id="23" xr3:uid="{00000000-0010-0000-0200-000017000000}" name="22" totalsRowFunction="count" dataDxfId="650" totalsRowDxfId="649"/>
    <tableColumn id="24" xr3:uid="{00000000-0010-0000-0200-000018000000}" name="23" totalsRowFunction="count" dataDxfId="648" totalsRowDxfId="647"/>
    <tableColumn id="25" xr3:uid="{00000000-0010-0000-0200-000019000000}" name="24" totalsRowFunction="count" dataDxfId="646" totalsRowDxfId="645"/>
    <tableColumn id="26" xr3:uid="{00000000-0010-0000-0200-00001A000000}" name="25" totalsRowFunction="count" dataDxfId="644" totalsRowDxfId="643"/>
    <tableColumn id="27" xr3:uid="{00000000-0010-0000-0200-00001B000000}" name="26" totalsRowFunction="count" dataDxfId="642" totalsRowDxfId="641"/>
    <tableColumn id="28" xr3:uid="{00000000-0010-0000-0200-00001C000000}" name="27" totalsRowFunction="count" dataDxfId="640" totalsRowDxfId="639"/>
    <tableColumn id="29" xr3:uid="{00000000-0010-0000-0200-00001D000000}" name="28" totalsRowFunction="count" dataDxfId="638" totalsRowDxfId="637"/>
    <tableColumn id="30" xr3:uid="{00000000-0010-0000-0200-00001E000000}" name="29" totalsRowFunction="count" dataDxfId="636" totalsRowDxfId="635"/>
    <tableColumn id="31" xr3:uid="{00000000-0010-0000-0200-00001F000000}" name="30" dataDxfId="634" totalsRowDxfId="633"/>
    <tableColumn id="32" xr3:uid="{00000000-0010-0000-0200-000020000000}" name="31" dataDxfId="632" totalsRowDxfId="631"/>
    <tableColumn id="33" xr3:uid="{00000000-0010-0000-0200-000021000000}" name="Total Days" totalsRowFunction="sum" totalsRowDxfId="630">
      <calculatedColumnFormula>COUNTA(tblMarch[[#This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March Employee Absence Schedule" altTextSummary="Provides a list of names and calendar dates to record employee absences and specific absence type, such as V=Vacation, S=Sick, P=Personal and two placeholders for custom entri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April" displayName="tblApril" ref="A4:AG10" totalsRowCount="1">
  <tableColumns count="33">
    <tableColumn id="1" xr3:uid="{00000000-0010-0000-0300-000001000000}" name="Employee Name" totalsRowFunction="custom" dataDxfId="624" totalsRowDxfId="623">
      <totalsRowFormula>MonthName&amp;" Total"</totalsRowFormula>
    </tableColumn>
    <tableColumn id="2" xr3:uid="{00000000-0010-0000-0300-000002000000}" name="1" totalsRowFunction="count" dataDxfId="622" totalsRowDxfId="621"/>
    <tableColumn id="3" xr3:uid="{00000000-0010-0000-0300-000003000000}" name="2" totalsRowFunction="count" dataDxfId="620" totalsRowDxfId="619"/>
    <tableColumn id="4" xr3:uid="{00000000-0010-0000-0300-000004000000}" name="3" totalsRowFunction="count" dataDxfId="618" totalsRowDxfId="617"/>
    <tableColumn id="5" xr3:uid="{00000000-0010-0000-0300-000005000000}" name="4" totalsRowFunction="count" dataDxfId="616" totalsRowDxfId="615"/>
    <tableColumn id="6" xr3:uid="{00000000-0010-0000-0300-000006000000}" name="5" totalsRowFunction="count" dataDxfId="614" totalsRowDxfId="613"/>
    <tableColumn id="7" xr3:uid="{00000000-0010-0000-0300-000007000000}" name="6" totalsRowFunction="count" dataDxfId="612" totalsRowDxfId="611"/>
    <tableColumn id="8" xr3:uid="{00000000-0010-0000-0300-000008000000}" name="7" totalsRowFunction="count" dataDxfId="610" totalsRowDxfId="609"/>
    <tableColumn id="9" xr3:uid="{00000000-0010-0000-0300-000009000000}" name="8" totalsRowFunction="count" dataDxfId="608" totalsRowDxfId="607"/>
    <tableColumn id="10" xr3:uid="{00000000-0010-0000-0300-00000A000000}" name="9" totalsRowFunction="count" dataDxfId="606" totalsRowDxfId="605"/>
    <tableColumn id="11" xr3:uid="{00000000-0010-0000-0300-00000B000000}" name="10" totalsRowFunction="count" dataDxfId="604" totalsRowDxfId="603"/>
    <tableColumn id="12" xr3:uid="{00000000-0010-0000-0300-00000C000000}" name="11" totalsRowFunction="count" dataDxfId="602" totalsRowDxfId="601"/>
    <tableColumn id="13" xr3:uid="{00000000-0010-0000-0300-00000D000000}" name="12" totalsRowFunction="count" dataDxfId="600" totalsRowDxfId="599"/>
    <tableColumn id="14" xr3:uid="{00000000-0010-0000-0300-00000E000000}" name="13" totalsRowFunction="count" dataDxfId="598" totalsRowDxfId="597"/>
    <tableColumn id="15" xr3:uid="{00000000-0010-0000-0300-00000F000000}" name="14" totalsRowFunction="count" dataDxfId="596" totalsRowDxfId="595"/>
    <tableColumn id="16" xr3:uid="{00000000-0010-0000-0300-000010000000}" name="15" totalsRowFunction="count" dataDxfId="594" totalsRowDxfId="593"/>
    <tableColumn id="17" xr3:uid="{00000000-0010-0000-0300-000011000000}" name="16" totalsRowFunction="count" dataDxfId="592" totalsRowDxfId="591"/>
    <tableColumn id="18" xr3:uid="{00000000-0010-0000-0300-000012000000}" name="17" totalsRowFunction="count" dataDxfId="590" totalsRowDxfId="589"/>
    <tableColumn id="19" xr3:uid="{00000000-0010-0000-0300-000013000000}" name="18" totalsRowFunction="count" dataDxfId="588" totalsRowDxfId="587"/>
    <tableColumn id="20" xr3:uid="{00000000-0010-0000-0300-000014000000}" name="19" totalsRowFunction="count" dataDxfId="586" totalsRowDxfId="585"/>
    <tableColumn id="21" xr3:uid="{00000000-0010-0000-0300-000015000000}" name="20" totalsRowFunction="count" dataDxfId="584" totalsRowDxfId="583"/>
    <tableColumn id="22" xr3:uid="{00000000-0010-0000-0300-000016000000}" name="21" totalsRowFunction="count" dataDxfId="582" totalsRowDxfId="581"/>
    <tableColumn id="23" xr3:uid="{00000000-0010-0000-0300-000017000000}" name="22" totalsRowFunction="count" dataDxfId="580" totalsRowDxfId="579"/>
    <tableColumn id="24" xr3:uid="{00000000-0010-0000-0300-000018000000}" name="23" totalsRowFunction="count" dataDxfId="578" totalsRowDxfId="577"/>
    <tableColumn id="25" xr3:uid="{00000000-0010-0000-0300-000019000000}" name="24" totalsRowFunction="count" dataDxfId="576" totalsRowDxfId="575"/>
    <tableColumn id="26" xr3:uid="{00000000-0010-0000-0300-00001A000000}" name="25" totalsRowFunction="count" dataDxfId="574" totalsRowDxfId="573"/>
    <tableColumn id="27" xr3:uid="{00000000-0010-0000-0300-00001B000000}" name="26" totalsRowFunction="count" dataDxfId="572" totalsRowDxfId="571"/>
    <tableColumn id="28" xr3:uid="{00000000-0010-0000-0300-00001C000000}" name="27" totalsRowFunction="count" dataDxfId="570" totalsRowDxfId="569"/>
    <tableColumn id="29" xr3:uid="{00000000-0010-0000-0300-00001D000000}" name="28" totalsRowFunction="count" dataDxfId="568" totalsRowDxfId="567"/>
    <tableColumn id="30" xr3:uid="{00000000-0010-0000-0300-00001E000000}" name="29" totalsRowFunction="count" dataDxfId="566" totalsRowDxfId="565"/>
    <tableColumn id="31" xr3:uid="{00000000-0010-0000-0300-00001F000000}" name="30" dataDxfId="564" totalsRowDxfId="563"/>
    <tableColumn id="32" xr3:uid="{00000000-0010-0000-0300-000020000000}" name=" " dataDxfId="562" totalsRowDxfId="561"/>
    <tableColumn id="33" xr3:uid="{00000000-0010-0000-0300-000021000000}" name="Total Days" totalsRowFunction="sum" totalsRowDxfId="560">
      <calculatedColumnFormula>COUNTA(tblApril[[#This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April Employee Absence Schedule" altTextSummary="Provides a list of names and calendar dates to record employee absences and specific absence type, such as V=Vacation, S=Sick, P=Personal and two placeholders for custom entri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May" displayName="tblMay" ref="A4:AG10" totalsRowCount="1">
  <tableColumns count="33">
    <tableColumn id="1" xr3:uid="{00000000-0010-0000-0400-000001000000}" name="Employee Name" totalsRowFunction="custom" dataDxfId="554" totalsRowDxfId="553">
      <totalsRowFormula>MonthName&amp;" Total"</totalsRowFormula>
    </tableColumn>
    <tableColumn id="2" xr3:uid="{00000000-0010-0000-0400-000002000000}" name="1" totalsRowFunction="count" dataDxfId="552" totalsRowDxfId="551"/>
    <tableColumn id="3" xr3:uid="{00000000-0010-0000-0400-000003000000}" name="2" totalsRowFunction="count" dataDxfId="550" totalsRowDxfId="549"/>
    <tableColumn id="4" xr3:uid="{00000000-0010-0000-0400-000004000000}" name="3" totalsRowFunction="count" dataDxfId="548" totalsRowDxfId="547"/>
    <tableColumn id="5" xr3:uid="{00000000-0010-0000-0400-000005000000}" name="4" totalsRowFunction="count" dataDxfId="546" totalsRowDxfId="545"/>
    <tableColumn id="6" xr3:uid="{00000000-0010-0000-0400-000006000000}" name="5" totalsRowFunction="count" dataDxfId="544" totalsRowDxfId="543"/>
    <tableColumn id="7" xr3:uid="{00000000-0010-0000-0400-000007000000}" name="6" totalsRowFunction="count" dataDxfId="542" totalsRowDxfId="541"/>
    <tableColumn id="8" xr3:uid="{00000000-0010-0000-0400-000008000000}" name="7" totalsRowFunction="count" dataDxfId="540" totalsRowDxfId="539"/>
    <tableColumn id="9" xr3:uid="{00000000-0010-0000-0400-000009000000}" name="8" totalsRowFunction="count" dataDxfId="538" totalsRowDxfId="537"/>
    <tableColumn id="10" xr3:uid="{00000000-0010-0000-0400-00000A000000}" name="9" totalsRowFunction="count" dataDxfId="536" totalsRowDxfId="535"/>
    <tableColumn id="11" xr3:uid="{00000000-0010-0000-0400-00000B000000}" name="10" totalsRowFunction="count" dataDxfId="534" totalsRowDxfId="533"/>
    <tableColumn id="12" xr3:uid="{00000000-0010-0000-0400-00000C000000}" name="11" totalsRowFunction="count" dataDxfId="532" totalsRowDxfId="531"/>
    <tableColumn id="13" xr3:uid="{00000000-0010-0000-0400-00000D000000}" name="12" totalsRowFunction="count" dataDxfId="530" totalsRowDxfId="529"/>
    <tableColumn id="14" xr3:uid="{00000000-0010-0000-0400-00000E000000}" name="13" totalsRowFunction="count" dataDxfId="528" totalsRowDxfId="527"/>
    <tableColumn id="15" xr3:uid="{00000000-0010-0000-0400-00000F000000}" name="14" totalsRowFunction="count" dataDxfId="526" totalsRowDxfId="525"/>
    <tableColumn id="16" xr3:uid="{00000000-0010-0000-0400-000010000000}" name="15" totalsRowFunction="count" dataDxfId="524" totalsRowDxfId="523"/>
    <tableColumn id="17" xr3:uid="{00000000-0010-0000-0400-000011000000}" name="16" totalsRowFunction="count" dataDxfId="522" totalsRowDxfId="521"/>
    <tableColumn id="18" xr3:uid="{00000000-0010-0000-0400-000012000000}" name="17" totalsRowFunction="count" dataDxfId="520" totalsRowDxfId="519"/>
    <tableColumn id="19" xr3:uid="{00000000-0010-0000-0400-000013000000}" name="18" totalsRowFunction="count" dataDxfId="518" totalsRowDxfId="517"/>
    <tableColumn id="20" xr3:uid="{00000000-0010-0000-0400-000014000000}" name="19" totalsRowFunction="count" dataDxfId="516" totalsRowDxfId="515"/>
    <tableColumn id="21" xr3:uid="{00000000-0010-0000-0400-000015000000}" name="20" totalsRowFunction="count" dataDxfId="514" totalsRowDxfId="513"/>
    <tableColumn id="22" xr3:uid="{00000000-0010-0000-0400-000016000000}" name="21" totalsRowFunction="count" dataDxfId="512" totalsRowDxfId="511"/>
    <tableColumn id="23" xr3:uid="{00000000-0010-0000-0400-000017000000}" name="22" totalsRowFunction="count" dataDxfId="510" totalsRowDxfId="509"/>
    <tableColumn id="24" xr3:uid="{00000000-0010-0000-0400-000018000000}" name="23" totalsRowFunction="count" dataDxfId="508" totalsRowDxfId="507"/>
    <tableColumn id="25" xr3:uid="{00000000-0010-0000-0400-000019000000}" name="24" totalsRowFunction="count" dataDxfId="506" totalsRowDxfId="505"/>
    <tableColumn id="26" xr3:uid="{00000000-0010-0000-0400-00001A000000}" name="25" totalsRowFunction="count" dataDxfId="504" totalsRowDxfId="503"/>
    <tableColumn id="27" xr3:uid="{00000000-0010-0000-0400-00001B000000}" name="26" totalsRowFunction="count" dataDxfId="502" totalsRowDxfId="501"/>
    <tableColumn id="28" xr3:uid="{00000000-0010-0000-0400-00001C000000}" name="27" totalsRowFunction="count" dataDxfId="500" totalsRowDxfId="499"/>
    <tableColumn id="29" xr3:uid="{00000000-0010-0000-0400-00001D000000}" name="28" totalsRowFunction="count" dataDxfId="498" totalsRowDxfId="497"/>
    <tableColumn id="30" xr3:uid="{00000000-0010-0000-0400-00001E000000}" name="29" totalsRowFunction="count" dataDxfId="496" totalsRowDxfId="495"/>
    <tableColumn id="31" xr3:uid="{00000000-0010-0000-0400-00001F000000}" name="30" dataDxfId="494" totalsRowDxfId="493"/>
    <tableColumn id="32" xr3:uid="{00000000-0010-0000-0400-000020000000}" name="31" dataDxfId="492" totalsRowDxfId="491"/>
    <tableColumn id="33" xr3:uid="{00000000-0010-0000-0400-000021000000}" name="Total Days" totalsRowFunction="sum" totalsRowDxfId="490">
      <calculatedColumnFormula>COUNTA(tblMay[[#This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May Employee Absence Schedule" altTextSummary="Provides a list of names and calendar dates to record employee absences and specific absence type, such as V=Vacation, S=Sick, P=Personal and two placeholders for custom entri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blJune" displayName="tblJune" ref="A4:AG10" totalsRowCount="1">
  <tableColumns count="33">
    <tableColumn id="1" xr3:uid="{00000000-0010-0000-0500-000001000000}" name="Employee Name" totalsRowFunction="custom" dataDxfId="484" totalsRowDxfId="483">
      <totalsRowFormula>MonthName&amp;" Total"</totalsRowFormula>
    </tableColumn>
    <tableColumn id="2" xr3:uid="{00000000-0010-0000-0500-000002000000}" name="1" totalsRowFunction="count" dataDxfId="482" totalsRowDxfId="481"/>
    <tableColumn id="3" xr3:uid="{00000000-0010-0000-0500-000003000000}" name="2" totalsRowFunction="count" dataDxfId="480" totalsRowDxfId="479"/>
    <tableColumn id="4" xr3:uid="{00000000-0010-0000-0500-000004000000}" name="3" totalsRowFunction="count" dataDxfId="478" totalsRowDxfId="477"/>
    <tableColumn id="5" xr3:uid="{00000000-0010-0000-0500-000005000000}" name="4" totalsRowFunction="count" dataDxfId="476" totalsRowDxfId="475"/>
    <tableColumn id="6" xr3:uid="{00000000-0010-0000-0500-000006000000}" name="5" totalsRowFunction="count" dataDxfId="474" totalsRowDxfId="473"/>
    <tableColumn id="7" xr3:uid="{00000000-0010-0000-0500-000007000000}" name="6" totalsRowFunction="count" dataDxfId="472" totalsRowDxfId="471"/>
    <tableColumn id="8" xr3:uid="{00000000-0010-0000-0500-000008000000}" name="7" totalsRowFunction="count" dataDxfId="470" totalsRowDxfId="469"/>
    <tableColumn id="9" xr3:uid="{00000000-0010-0000-0500-000009000000}" name="8" totalsRowFunction="count" dataDxfId="468" totalsRowDxfId="467"/>
    <tableColumn id="10" xr3:uid="{00000000-0010-0000-0500-00000A000000}" name="9" totalsRowFunction="count" dataDxfId="466" totalsRowDxfId="465"/>
    <tableColumn id="11" xr3:uid="{00000000-0010-0000-0500-00000B000000}" name="10" totalsRowFunction="count" dataDxfId="464" totalsRowDxfId="463"/>
    <tableColumn id="12" xr3:uid="{00000000-0010-0000-0500-00000C000000}" name="11" totalsRowFunction="count" dataDxfId="462" totalsRowDxfId="461"/>
    <tableColumn id="13" xr3:uid="{00000000-0010-0000-0500-00000D000000}" name="12" totalsRowFunction="count" dataDxfId="460" totalsRowDxfId="459"/>
    <tableColumn id="14" xr3:uid="{00000000-0010-0000-0500-00000E000000}" name="13" totalsRowFunction="count" dataDxfId="458" totalsRowDxfId="457"/>
    <tableColumn id="15" xr3:uid="{00000000-0010-0000-0500-00000F000000}" name="14" totalsRowFunction="count" dataDxfId="456" totalsRowDxfId="455"/>
    <tableColumn id="16" xr3:uid="{00000000-0010-0000-0500-000010000000}" name="15" totalsRowFunction="count" dataDxfId="454" totalsRowDxfId="453"/>
    <tableColumn id="17" xr3:uid="{00000000-0010-0000-0500-000011000000}" name="16" totalsRowFunction="count" dataDxfId="452" totalsRowDxfId="451"/>
    <tableColumn id="18" xr3:uid="{00000000-0010-0000-0500-000012000000}" name="17" totalsRowFunction="count" dataDxfId="450" totalsRowDxfId="449"/>
    <tableColumn id="19" xr3:uid="{00000000-0010-0000-0500-000013000000}" name="18" totalsRowFunction="count" dataDxfId="448" totalsRowDxfId="447"/>
    <tableColumn id="20" xr3:uid="{00000000-0010-0000-0500-000014000000}" name="19" totalsRowFunction="count" dataDxfId="446" totalsRowDxfId="445"/>
    <tableColumn id="21" xr3:uid="{00000000-0010-0000-0500-000015000000}" name="20" totalsRowFunction="count" dataDxfId="444" totalsRowDxfId="443"/>
    <tableColumn id="22" xr3:uid="{00000000-0010-0000-0500-000016000000}" name="21" totalsRowFunction="count" dataDxfId="442" totalsRowDxfId="441"/>
    <tableColumn id="23" xr3:uid="{00000000-0010-0000-0500-000017000000}" name="22" totalsRowFunction="count" dataDxfId="440" totalsRowDxfId="439"/>
    <tableColumn id="24" xr3:uid="{00000000-0010-0000-0500-000018000000}" name="23" totalsRowFunction="count" dataDxfId="438" totalsRowDxfId="437"/>
    <tableColumn id="25" xr3:uid="{00000000-0010-0000-0500-000019000000}" name="24" totalsRowFunction="count" dataDxfId="436" totalsRowDxfId="435"/>
    <tableColumn id="26" xr3:uid="{00000000-0010-0000-0500-00001A000000}" name="25" totalsRowFunction="count" dataDxfId="434" totalsRowDxfId="433"/>
    <tableColumn id="27" xr3:uid="{00000000-0010-0000-0500-00001B000000}" name="26" totalsRowFunction="count" dataDxfId="432" totalsRowDxfId="431"/>
    <tableColumn id="28" xr3:uid="{00000000-0010-0000-0500-00001C000000}" name="27" totalsRowFunction="count" dataDxfId="430" totalsRowDxfId="429"/>
    <tableColumn id="29" xr3:uid="{00000000-0010-0000-0500-00001D000000}" name="28" totalsRowFunction="count" dataDxfId="428" totalsRowDxfId="427"/>
    <tableColumn id="30" xr3:uid="{00000000-0010-0000-0500-00001E000000}" name="29" totalsRowFunction="count" dataDxfId="426" totalsRowDxfId="425"/>
    <tableColumn id="31" xr3:uid="{00000000-0010-0000-0500-00001F000000}" name="30" dataDxfId="424" totalsRowDxfId="423"/>
    <tableColumn id="32" xr3:uid="{00000000-0010-0000-0500-000020000000}" name=" " dataDxfId="422" totalsRowDxfId="421"/>
    <tableColumn id="33" xr3:uid="{00000000-0010-0000-0500-000021000000}" name="Total Days" totalsRowFunction="sum" totalsRowDxfId="420">
      <calculatedColumnFormula>COUNTA(tblJune[[#This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une Employee Absence Schedule" altTextSummary="Provides a list of names and calendar dates to record employee absences and specific absence type, such as V=Vacation, S=Sick, P=Personal and two placeholders for custom entrie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blJuly" displayName="tblJuly" ref="A4:AG10" totalsRowCount="1">
  <tableColumns count="33">
    <tableColumn id="1" xr3:uid="{00000000-0010-0000-0600-000001000000}" name="Employee Name" totalsRowFunction="custom" dataDxfId="414" totalsRowDxfId="413">
      <totalsRowFormula>MonthName&amp;" Total"</totalsRowFormula>
    </tableColumn>
    <tableColumn id="2" xr3:uid="{00000000-0010-0000-0600-000002000000}" name="1" totalsRowFunction="count" dataDxfId="412" totalsRowDxfId="411"/>
    <tableColumn id="3" xr3:uid="{00000000-0010-0000-0600-000003000000}" name="2" totalsRowFunction="count" dataDxfId="410" totalsRowDxfId="409"/>
    <tableColumn id="4" xr3:uid="{00000000-0010-0000-0600-000004000000}" name="3" totalsRowFunction="count" dataDxfId="408" totalsRowDxfId="407"/>
    <tableColumn id="5" xr3:uid="{00000000-0010-0000-0600-000005000000}" name="4" totalsRowFunction="count" dataDxfId="406" totalsRowDxfId="405"/>
    <tableColumn id="6" xr3:uid="{00000000-0010-0000-0600-000006000000}" name="5" totalsRowFunction="count" dataDxfId="404" totalsRowDxfId="403"/>
    <tableColumn id="7" xr3:uid="{00000000-0010-0000-0600-000007000000}" name="6" totalsRowFunction="count" dataDxfId="402" totalsRowDxfId="401"/>
    <tableColumn id="8" xr3:uid="{00000000-0010-0000-0600-000008000000}" name="7" totalsRowFunction="count" dataDxfId="400" totalsRowDxfId="399"/>
    <tableColumn id="9" xr3:uid="{00000000-0010-0000-0600-000009000000}" name="8" totalsRowFunction="count" dataDxfId="398" totalsRowDxfId="397"/>
    <tableColumn id="10" xr3:uid="{00000000-0010-0000-0600-00000A000000}" name="9" totalsRowFunction="count" dataDxfId="396" totalsRowDxfId="395"/>
    <tableColumn id="11" xr3:uid="{00000000-0010-0000-0600-00000B000000}" name="10" totalsRowFunction="count" dataDxfId="394" totalsRowDxfId="393"/>
    <tableColumn id="12" xr3:uid="{00000000-0010-0000-0600-00000C000000}" name="11" totalsRowFunction="count" dataDxfId="392" totalsRowDxfId="391"/>
    <tableColumn id="13" xr3:uid="{00000000-0010-0000-0600-00000D000000}" name="12" totalsRowFunction="count" dataDxfId="390" totalsRowDxfId="389"/>
    <tableColumn id="14" xr3:uid="{00000000-0010-0000-0600-00000E000000}" name="13" totalsRowFunction="count" dataDxfId="388" totalsRowDxfId="387"/>
    <tableColumn id="15" xr3:uid="{00000000-0010-0000-0600-00000F000000}" name="14" totalsRowFunction="count" dataDxfId="386" totalsRowDxfId="385"/>
    <tableColumn id="16" xr3:uid="{00000000-0010-0000-0600-000010000000}" name="15" totalsRowFunction="count" dataDxfId="384" totalsRowDxfId="383"/>
    <tableColumn id="17" xr3:uid="{00000000-0010-0000-0600-000011000000}" name="16" totalsRowFunction="count" dataDxfId="382" totalsRowDxfId="381"/>
    <tableColumn id="18" xr3:uid="{00000000-0010-0000-0600-000012000000}" name="17" totalsRowFunction="count" dataDxfId="380" totalsRowDxfId="379"/>
    <tableColumn id="19" xr3:uid="{00000000-0010-0000-0600-000013000000}" name="18" totalsRowFunction="count" dataDxfId="378" totalsRowDxfId="377"/>
    <tableColumn id="20" xr3:uid="{00000000-0010-0000-0600-000014000000}" name="19" totalsRowFunction="count" dataDxfId="376" totalsRowDxfId="375"/>
    <tableColumn id="21" xr3:uid="{00000000-0010-0000-0600-000015000000}" name="20" totalsRowFunction="count" dataDxfId="374" totalsRowDxfId="373"/>
    <tableColumn id="22" xr3:uid="{00000000-0010-0000-0600-000016000000}" name="21" totalsRowFunction="count" dataDxfId="372" totalsRowDxfId="371"/>
    <tableColumn id="23" xr3:uid="{00000000-0010-0000-0600-000017000000}" name="22" totalsRowFunction="count" dataDxfId="370" totalsRowDxfId="369"/>
    <tableColumn id="24" xr3:uid="{00000000-0010-0000-0600-000018000000}" name="23" totalsRowFunction="count" dataDxfId="368" totalsRowDxfId="367"/>
    <tableColumn id="25" xr3:uid="{00000000-0010-0000-0600-000019000000}" name="24" totalsRowFunction="count" dataDxfId="366" totalsRowDxfId="365"/>
    <tableColumn id="26" xr3:uid="{00000000-0010-0000-0600-00001A000000}" name="25" totalsRowFunction="count" dataDxfId="364" totalsRowDxfId="363"/>
    <tableColumn id="27" xr3:uid="{00000000-0010-0000-0600-00001B000000}" name="26" totalsRowFunction="count" dataDxfId="362" totalsRowDxfId="361"/>
    <tableColumn id="28" xr3:uid="{00000000-0010-0000-0600-00001C000000}" name="27" totalsRowFunction="count" dataDxfId="360" totalsRowDxfId="359"/>
    <tableColumn id="29" xr3:uid="{00000000-0010-0000-0600-00001D000000}" name="28" totalsRowFunction="count" dataDxfId="358" totalsRowDxfId="357"/>
    <tableColumn id="30" xr3:uid="{00000000-0010-0000-0600-00001E000000}" name="29" totalsRowFunction="count" dataDxfId="356" totalsRowDxfId="355"/>
    <tableColumn id="31" xr3:uid="{00000000-0010-0000-0600-00001F000000}" name="30" dataDxfId="354" totalsRowDxfId="353"/>
    <tableColumn id="32" xr3:uid="{00000000-0010-0000-0600-000020000000}" name="31" dataDxfId="352" totalsRowDxfId="351"/>
    <tableColumn id="33" xr3:uid="{00000000-0010-0000-0600-000021000000}" name="Total Days" totalsRowFunction="sum" totalsRowDxfId="350">
      <calculatedColumnFormula>COUNTA(tblJuly[[#This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uly Employee Absence Schedule" altTextSummary="Provides a list of names and calendar dates to record employee absences and specific absence type, such as V=Vacation, S=Sick, P=Personal and two placeholders for custom entrie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blAugust" displayName="tblAugust" ref="A4:AG10" totalsRowCount="1">
  <tableColumns count="33">
    <tableColumn id="1" xr3:uid="{00000000-0010-0000-0700-000001000000}" name="Employee Name" totalsRowFunction="custom" dataDxfId="344" totalsRowDxfId="343">
      <totalsRowFormula>MonthName&amp;" Total"</totalsRowFormula>
    </tableColumn>
    <tableColumn id="2" xr3:uid="{00000000-0010-0000-0700-000002000000}" name="1" totalsRowFunction="count" dataDxfId="342" totalsRowDxfId="341"/>
    <tableColumn id="3" xr3:uid="{00000000-0010-0000-0700-000003000000}" name="2" totalsRowFunction="count" dataDxfId="340" totalsRowDxfId="339"/>
    <tableColumn id="4" xr3:uid="{00000000-0010-0000-0700-000004000000}" name="3" totalsRowFunction="count" dataDxfId="338" totalsRowDxfId="337"/>
    <tableColumn id="5" xr3:uid="{00000000-0010-0000-0700-000005000000}" name="4" totalsRowFunction="count" dataDxfId="336" totalsRowDxfId="335"/>
    <tableColumn id="6" xr3:uid="{00000000-0010-0000-0700-000006000000}" name="5" totalsRowFunction="count" dataDxfId="334" totalsRowDxfId="333"/>
    <tableColumn id="7" xr3:uid="{00000000-0010-0000-0700-000007000000}" name="6" totalsRowFunction="count" dataDxfId="332" totalsRowDxfId="331"/>
    <tableColumn id="8" xr3:uid="{00000000-0010-0000-0700-000008000000}" name="7" totalsRowFunction="count" dataDxfId="330" totalsRowDxfId="329"/>
    <tableColumn id="9" xr3:uid="{00000000-0010-0000-0700-000009000000}" name="8" totalsRowFunction="count" dataDxfId="328" totalsRowDxfId="327"/>
    <tableColumn id="10" xr3:uid="{00000000-0010-0000-0700-00000A000000}" name="9" totalsRowFunction="count" dataDxfId="326" totalsRowDxfId="325"/>
    <tableColumn id="11" xr3:uid="{00000000-0010-0000-0700-00000B000000}" name="10" totalsRowFunction="count" dataDxfId="324" totalsRowDxfId="323"/>
    <tableColumn id="12" xr3:uid="{00000000-0010-0000-0700-00000C000000}" name="11" totalsRowFunction="count" dataDxfId="322" totalsRowDxfId="321"/>
    <tableColumn id="13" xr3:uid="{00000000-0010-0000-0700-00000D000000}" name="12" totalsRowFunction="count" dataDxfId="320" totalsRowDxfId="319"/>
    <tableColumn id="14" xr3:uid="{00000000-0010-0000-0700-00000E000000}" name="13" totalsRowFunction="count" dataDxfId="318" totalsRowDxfId="317"/>
    <tableColumn id="15" xr3:uid="{00000000-0010-0000-0700-00000F000000}" name="14" totalsRowFunction="count" dataDxfId="316" totalsRowDxfId="315"/>
    <tableColumn id="16" xr3:uid="{00000000-0010-0000-0700-000010000000}" name="15" totalsRowFunction="count" dataDxfId="314" totalsRowDxfId="313"/>
    <tableColumn id="17" xr3:uid="{00000000-0010-0000-0700-000011000000}" name="16" totalsRowFunction="count" dataDxfId="312" totalsRowDxfId="311"/>
    <tableColumn id="18" xr3:uid="{00000000-0010-0000-0700-000012000000}" name="17" totalsRowFunction="count" dataDxfId="310" totalsRowDxfId="309"/>
    <tableColumn id="19" xr3:uid="{00000000-0010-0000-0700-000013000000}" name="18" totalsRowFunction="count" dataDxfId="308" totalsRowDxfId="307"/>
    <tableColumn id="20" xr3:uid="{00000000-0010-0000-0700-000014000000}" name="19" totalsRowFunction="count" dataDxfId="306" totalsRowDxfId="305"/>
    <tableColumn id="21" xr3:uid="{00000000-0010-0000-0700-000015000000}" name="20" totalsRowFunction="count" dataDxfId="304" totalsRowDxfId="303"/>
    <tableColumn id="22" xr3:uid="{00000000-0010-0000-0700-000016000000}" name="21" totalsRowFunction="count" dataDxfId="302" totalsRowDxfId="301"/>
    <tableColumn id="23" xr3:uid="{00000000-0010-0000-0700-000017000000}" name="22" totalsRowFunction="count" dataDxfId="300" totalsRowDxfId="299"/>
    <tableColumn id="24" xr3:uid="{00000000-0010-0000-0700-000018000000}" name="23" totalsRowFunction="count" dataDxfId="298" totalsRowDxfId="297"/>
    <tableColumn id="25" xr3:uid="{00000000-0010-0000-0700-000019000000}" name="24" totalsRowFunction="count" dataDxfId="296" totalsRowDxfId="295"/>
    <tableColumn id="26" xr3:uid="{00000000-0010-0000-0700-00001A000000}" name="25" totalsRowFunction="count" dataDxfId="294" totalsRowDxfId="293"/>
    <tableColumn id="27" xr3:uid="{00000000-0010-0000-0700-00001B000000}" name="26" totalsRowFunction="count" dataDxfId="292" totalsRowDxfId="291"/>
    <tableColumn id="28" xr3:uid="{00000000-0010-0000-0700-00001C000000}" name="27" totalsRowFunction="count" dataDxfId="290" totalsRowDxfId="289"/>
    <tableColumn id="29" xr3:uid="{00000000-0010-0000-0700-00001D000000}" name="28" totalsRowFunction="count" dataDxfId="288" totalsRowDxfId="287"/>
    <tableColumn id="30" xr3:uid="{00000000-0010-0000-0700-00001E000000}" name="29" totalsRowFunction="count" dataDxfId="286" totalsRowDxfId="285"/>
    <tableColumn id="31" xr3:uid="{00000000-0010-0000-0700-00001F000000}" name="30" dataDxfId="284" totalsRowDxfId="283"/>
    <tableColumn id="32" xr3:uid="{00000000-0010-0000-0700-000020000000}" name="31" dataDxfId="282" totalsRowDxfId="281"/>
    <tableColumn id="33" xr3:uid="{00000000-0010-0000-0700-000021000000}" name="Total Days" totalsRowFunction="sum" totalsRowDxfId="280">
      <calculatedColumnFormula>COUNTA(tblAugust[[#This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August Employee Absence Schedule" altTextSummary="Provides a list of names and calendar dates to record employee absences and specific absence type, such as V=Vacation, S=Sick, P=Personal and two placeholders for custom entrie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blSeptember" displayName="tblSeptember" ref="A4:AG10" totalsRowCount="1">
  <tableColumns count="33">
    <tableColumn id="1" xr3:uid="{00000000-0010-0000-0800-000001000000}" name="Employee Name" totalsRowFunction="custom" dataDxfId="274" totalsRowDxfId="273">
      <totalsRowFormula>MonthName&amp;" Total"</totalsRowFormula>
    </tableColumn>
    <tableColumn id="2" xr3:uid="{00000000-0010-0000-0800-000002000000}" name="1" totalsRowFunction="count" dataDxfId="272" totalsRowDxfId="271"/>
    <tableColumn id="3" xr3:uid="{00000000-0010-0000-0800-000003000000}" name="2" totalsRowFunction="count" dataDxfId="270" totalsRowDxfId="269"/>
    <tableColumn id="4" xr3:uid="{00000000-0010-0000-0800-000004000000}" name="3" totalsRowFunction="count" dataDxfId="268" totalsRowDxfId="267"/>
    <tableColumn id="5" xr3:uid="{00000000-0010-0000-0800-000005000000}" name="4" totalsRowFunction="count" dataDxfId="266" totalsRowDxfId="265"/>
    <tableColumn id="6" xr3:uid="{00000000-0010-0000-0800-000006000000}" name="5" totalsRowFunction="count" dataDxfId="264" totalsRowDxfId="263"/>
    <tableColumn id="7" xr3:uid="{00000000-0010-0000-0800-000007000000}" name="6" totalsRowFunction="count" dataDxfId="262" totalsRowDxfId="261"/>
    <tableColumn id="8" xr3:uid="{00000000-0010-0000-0800-000008000000}" name="7" totalsRowFunction="count" dataDxfId="260" totalsRowDxfId="259"/>
    <tableColumn id="9" xr3:uid="{00000000-0010-0000-0800-000009000000}" name="8" totalsRowFunction="count" dataDxfId="258" totalsRowDxfId="257"/>
    <tableColumn id="10" xr3:uid="{00000000-0010-0000-0800-00000A000000}" name="9" totalsRowFunction="count" dataDxfId="256" totalsRowDxfId="255"/>
    <tableColumn id="11" xr3:uid="{00000000-0010-0000-0800-00000B000000}" name="10" totalsRowFunction="count" dataDxfId="254" totalsRowDxfId="253"/>
    <tableColumn id="12" xr3:uid="{00000000-0010-0000-0800-00000C000000}" name="11" totalsRowFunction="count" dataDxfId="252" totalsRowDxfId="251"/>
    <tableColumn id="13" xr3:uid="{00000000-0010-0000-0800-00000D000000}" name="12" totalsRowFunction="count" dataDxfId="250" totalsRowDxfId="249"/>
    <tableColumn id="14" xr3:uid="{00000000-0010-0000-0800-00000E000000}" name="13" totalsRowFunction="count" dataDxfId="248" totalsRowDxfId="247"/>
    <tableColumn id="15" xr3:uid="{00000000-0010-0000-0800-00000F000000}" name="14" totalsRowFunction="count" dataDxfId="246" totalsRowDxfId="245"/>
    <tableColumn id="16" xr3:uid="{00000000-0010-0000-0800-000010000000}" name="15" totalsRowFunction="count" dataDxfId="244" totalsRowDxfId="243"/>
    <tableColumn id="17" xr3:uid="{00000000-0010-0000-0800-000011000000}" name="16" totalsRowFunction="count" dataDxfId="242" totalsRowDxfId="241"/>
    <tableColumn id="18" xr3:uid="{00000000-0010-0000-0800-000012000000}" name="17" totalsRowFunction="count" dataDxfId="240" totalsRowDxfId="239"/>
    <tableColumn id="19" xr3:uid="{00000000-0010-0000-0800-000013000000}" name="18" totalsRowFunction="count" dataDxfId="238" totalsRowDxfId="237"/>
    <tableColumn id="20" xr3:uid="{00000000-0010-0000-0800-000014000000}" name="19" totalsRowFunction="count" dataDxfId="236" totalsRowDxfId="235"/>
    <tableColumn id="21" xr3:uid="{00000000-0010-0000-0800-000015000000}" name="20" totalsRowFunction="count" dataDxfId="234" totalsRowDxfId="233"/>
    <tableColumn id="22" xr3:uid="{00000000-0010-0000-0800-000016000000}" name="21" totalsRowFunction="count" dataDxfId="232" totalsRowDxfId="231"/>
    <tableColumn id="23" xr3:uid="{00000000-0010-0000-0800-000017000000}" name="22" totalsRowFunction="count" dataDxfId="230" totalsRowDxfId="229"/>
    <tableColumn id="24" xr3:uid="{00000000-0010-0000-0800-000018000000}" name="23" totalsRowFunction="count" dataDxfId="228" totalsRowDxfId="227"/>
    <tableColumn id="25" xr3:uid="{00000000-0010-0000-0800-000019000000}" name="24" totalsRowFunction="count" dataDxfId="226" totalsRowDxfId="225"/>
    <tableColumn id="26" xr3:uid="{00000000-0010-0000-0800-00001A000000}" name="25" totalsRowFunction="count" dataDxfId="224" totalsRowDxfId="223"/>
    <tableColumn id="27" xr3:uid="{00000000-0010-0000-0800-00001B000000}" name="26" totalsRowFunction="count" dataDxfId="222" totalsRowDxfId="221"/>
    <tableColumn id="28" xr3:uid="{00000000-0010-0000-0800-00001C000000}" name="27" totalsRowFunction="count" dataDxfId="220" totalsRowDxfId="219"/>
    <tableColumn id="29" xr3:uid="{00000000-0010-0000-0800-00001D000000}" name="28" totalsRowFunction="count" dataDxfId="218" totalsRowDxfId="217"/>
    <tableColumn id="30" xr3:uid="{00000000-0010-0000-0800-00001E000000}" name="29" totalsRowFunction="count" dataDxfId="216" totalsRowDxfId="215"/>
    <tableColumn id="31" xr3:uid="{00000000-0010-0000-0800-00001F000000}" name="30" dataDxfId="214" totalsRowDxfId="213"/>
    <tableColumn id="32" xr3:uid="{00000000-0010-0000-0800-000020000000}" name=" " dataDxfId="212" totalsRowDxfId="211"/>
    <tableColumn id="33" xr3:uid="{00000000-0010-0000-0800-000021000000}" name="Total Days" totalsRowFunction="sum" totalsRowDxfId="210">
      <calculatedColumnFormula>COUNTA(tblSeptember[[#This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eptember Employee Absence Schedule" altTextSummary="Provides a list of names and calendar dates to record employee absences and specific absence type, such as V=Vacation, S=Sick, P=Personal and two placeholders for custom entries."/>
    </ext>
  </extLst>
</table>
</file>

<file path=xl/theme/theme1.xml><?xml version="1.0" encoding="utf-8"?>
<a:theme xmlns:a="http://schemas.openxmlformats.org/drawingml/2006/main" name="Office Theme">
  <a:themeElements>
    <a:clrScheme name="Employee Absenc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89999084444715716"/>
    <pageSetUpPr fitToPage="1"/>
  </sheetPr>
  <dimension ref="A1:AH1399"/>
  <sheetViews>
    <sheetView showGridLines="0" tabSelected="1" zoomScale="110" zoomScaleNormal="11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37" customFormat="1" ht="50.25" customHeight="1" x14ac:dyDescent="0.25">
      <c r="A1" s="31" t="s">
        <v>64</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3"/>
      <c r="AD1" s="33"/>
      <c r="AE1" s="34"/>
      <c r="AF1" s="35"/>
      <c r="AG1" s="35"/>
      <c r="AH1" s="36"/>
    </row>
    <row r="2" spans="1:34" s="4" customFormat="1" ht="30" customHeight="1" x14ac:dyDescent="0.25">
      <c r="A2" s="49" t="s">
        <v>42</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v>2015</v>
      </c>
      <c r="AH2" s="3"/>
    </row>
    <row r="3" spans="1:34" s="6" customFormat="1" ht="15.75" customHeight="1" x14ac:dyDescent="0.3">
      <c r="A3" s="49"/>
      <c r="B3" s="28" t="str">
        <f>TEXT(WEEKDAY(DATE(CalendarYear,1,1),1),"aaa")</f>
        <v>Thu</v>
      </c>
      <c r="C3" s="29" t="str">
        <f>TEXT(WEEKDAY(DATE(CalendarYear,1,2),1),"aaa")</f>
        <v>Fri</v>
      </c>
      <c r="D3" s="29" t="str">
        <f>TEXT(WEEKDAY(DATE(CalendarYear,1,3),1),"aaa")</f>
        <v>Sat</v>
      </c>
      <c r="E3" s="29" t="str">
        <f>TEXT(WEEKDAY(DATE(CalendarYear,1,4),1),"aaa")</f>
        <v>Sun</v>
      </c>
      <c r="F3" s="29" t="str">
        <f>TEXT(WEEKDAY(DATE(CalendarYear,1,5),1),"aaa")</f>
        <v>Mon</v>
      </c>
      <c r="G3" s="29" t="str">
        <f>TEXT(WEEKDAY(DATE(CalendarYear,1,6),1),"aaa")</f>
        <v>Tue</v>
      </c>
      <c r="H3" s="29" t="str">
        <f>TEXT(WEEKDAY(DATE(CalendarYear,1,7),1),"aaa")</f>
        <v>Wed</v>
      </c>
      <c r="I3" s="29" t="str">
        <f>TEXT(WEEKDAY(DATE(CalendarYear,1,8),1),"aaa")</f>
        <v>Thu</v>
      </c>
      <c r="J3" s="29" t="str">
        <f>TEXT(WEEKDAY(DATE(CalendarYear,1,9),1),"aaa")</f>
        <v>Fri</v>
      </c>
      <c r="K3" s="29" t="str">
        <f>TEXT(WEEKDAY(DATE(CalendarYear,1,10),1),"aaa")</f>
        <v>Sat</v>
      </c>
      <c r="L3" s="29" t="str">
        <f>TEXT(WEEKDAY(DATE(CalendarYear,1,11),1),"aaa")</f>
        <v>Sun</v>
      </c>
      <c r="M3" s="29" t="str">
        <f>TEXT(WEEKDAY(DATE(CalendarYear,1,12),1),"aaa")</f>
        <v>Mon</v>
      </c>
      <c r="N3" s="29" t="str">
        <f>TEXT(WEEKDAY(DATE(CalendarYear,1,13),1),"aaa")</f>
        <v>Tue</v>
      </c>
      <c r="O3" s="29" t="str">
        <f>TEXT(WEEKDAY(DATE(CalendarYear,1,14),1),"aaa")</f>
        <v>Wed</v>
      </c>
      <c r="P3" s="29" t="str">
        <f>TEXT(WEEKDAY(DATE(CalendarYear,1,15),1),"aaa")</f>
        <v>Thu</v>
      </c>
      <c r="Q3" s="29" t="str">
        <f>TEXT(WEEKDAY(DATE(CalendarYear,1,16),1),"aaa")</f>
        <v>Fri</v>
      </c>
      <c r="R3" s="29" t="str">
        <f>TEXT(WEEKDAY(DATE(CalendarYear,1,17),1),"aaa")</f>
        <v>Sat</v>
      </c>
      <c r="S3" s="29" t="str">
        <f>TEXT(WEEKDAY(DATE(CalendarYear,1,18),1),"aaa")</f>
        <v>Sun</v>
      </c>
      <c r="T3" s="29" t="str">
        <f>TEXT(WEEKDAY(DATE(CalendarYear,1,19),1),"aaa")</f>
        <v>Mon</v>
      </c>
      <c r="U3" s="29" t="str">
        <f>TEXT(WEEKDAY(DATE(CalendarYear,1,20),1),"aaa")</f>
        <v>Tue</v>
      </c>
      <c r="V3" s="29" t="str">
        <f>TEXT(WEEKDAY(DATE(CalendarYear,1,21),1),"aaa")</f>
        <v>Wed</v>
      </c>
      <c r="W3" s="29" t="str">
        <f>TEXT(WEEKDAY(DATE(CalendarYear,1,22),1),"aaa")</f>
        <v>Thu</v>
      </c>
      <c r="X3" s="29" t="str">
        <f>TEXT(WEEKDAY(DATE(CalendarYear,1,23),1),"aaa")</f>
        <v>Fri</v>
      </c>
      <c r="Y3" s="29" t="str">
        <f>TEXT(WEEKDAY(DATE(CalendarYear,1,24),1),"aaa")</f>
        <v>Sat</v>
      </c>
      <c r="Z3" s="29" t="str">
        <f>TEXT(WEEKDAY(DATE(CalendarYear,1,25),1),"aaa")</f>
        <v>Sun</v>
      </c>
      <c r="AA3" s="29" t="str">
        <f>TEXT(WEEKDAY(DATE(CalendarYear,1,26),1),"aaa")</f>
        <v>Mon</v>
      </c>
      <c r="AB3" s="29" t="str">
        <f>TEXT(WEEKDAY(DATE(CalendarYear,1,27),1),"aaa")</f>
        <v>Tue</v>
      </c>
      <c r="AC3" s="29" t="str">
        <f>TEXT(WEEKDAY(DATE(CalendarYear,1,28),1),"aaa")</f>
        <v>Wed</v>
      </c>
      <c r="AD3" s="29" t="str">
        <f>TEXT(WEEKDAY(DATE(CalendarYear,1,29),1),"aaa")</f>
        <v>Thu</v>
      </c>
      <c r="AE3" s="29" t="str">
        <f>TEXT(WEEKDAY(DATE(CalendarYear,1,30),1),"aaa")</f>
        <v>Fri</v>
      </c>
      <c r="AF3" s="30" t="str">
        <f>TEXT(WEEKDAY(DATE(CalendarYear,1,31),1),"aaa")</f>
        <v>Sat</v>
      </c>
      <c r="AG3" s="50"/>
      <c r="AH3" s="5"/>
    </row>
    <row r="4" spans="1:34" s="10" customFormat="1" x14ac:dyDescent="0.25">
      <c r="A4" s="38" t="s">
        <v>2</v>
      </c>
      <c r="B4" s="7" t="s">
        <v>3</v>
      </c>
      <c r="C4" s="7" t="s">
        <v>4</v>
      </c>
      <c r="D4" s="7" t="s">
        <v>5</v>
      </c>
      <c r="E4" s="7" t="s">
        <v>6</v>
      </c>
      <c r="F4" s="7" t="s">
        <v>7</v>
      </c>
      <c r="G4" s="7" t="s">
        <v>8</v>
      </c>
      <c r="H4" s="7" t="s">
        <v>9</v>
      </c>
      <c r="I4" s="7" t="s">
        <v>10</v>
      </c>
      <c r="J4" s="7" t="s">
        <v>11</v>
      </c>
      <c r="K4" s="7" t="s">
        <v>12</v>
      </c>
      <c r="L4" s="7" t="s">
        <v>13</v>
      </c>
      <c r="M4" s="7" t="s">
        <v>14</v>
      </c>
      <c r="N4" s="7" t="s">
        <v>15</v>
      </c>
      <c r="O4" s="7" t="s">
        <v>16</v>
      </c>
      <c r="P4" s="7" t="s">
        <v>17</v>
      </c>
      <c r="Q4" s="7" t="s">
        <v>18</v>
      </c>
      <c r="R4" s="7" t="s">
        <v>19</v>
      </c>
      <c r="S4" s="7" t="s">
        <v>20</v>
      </c>
      <c r="T4" s="7" t="s">
        <v>21</v>
      </c>
      <c r="U4" s="7" t="s">
        <v>22</v>
      </c>
      <c r="V4" s="7" t="s">
        <v>23</v>
      </c>
      <c r="W4" s="7" t="s">
        <v>24</v>
      </c>
      <c r="X4" s="7" t="s">
        <v>25</v>
      </c>
      <c r="Y4" s="7" t="s">
        <v>26</v>
      </c>
      <c r="Z4" s="7" t="s">
        <v>27</v>
      </c>
      <c r="AA4" s="7" t="s">
        <v>28</v>
      </c>
      <c r="AB4" s="7" t="s">
        <v>29</v>
      </c>
      <c r="AC4" s="7" t="s">
        <v>30</v>
      </c>
      <c r="AD4" s="7" t="s">
        <v>31</v>
      </c>
      <c r="AE4" s="7" t="s">
        <v>32</v>
      </c>
      <c r="AF4" s="7" t="s">
        <v>33</v>
      </c>
      <c r="AG4" s="7" t="s">
        <v>34</v>
      </c>
      <c r="AH4" s="9"/>
    </row>
    <row r="5" spans="1:34" s="10" customFormat="1" x14ac:dyDescent="0.25">
      <c r="A5" s="45" t="s">
        <v>35</v>
      </c>
      <c r="B5" s="7"/>
      <c r="C5" s="7"/>
      <c r="D5" s="7" t="s">
        <v>37</v>
      </c>
      <c r="E5" s="7" t="s">
        <v>37</v>
      </c>
      <c r="F5" s="7" t="s">
        <v>37</v>
      </c>
      <c r="G5" s="7" t="s">
        <v>37</v>
      </c>
      <c r="H5" s="7"/>
      <c r="I5" s="7"/>
      <c r="J5" s="7"/>
      <c r="K5" s="7"/>
      <c r="L5" s="7"/>
      <c r="M5" s="7"/>
      <c r="N5" s="7" t="s">
        <v>37</v>
      </c>
      <c r="O5" s="7"/>
      <c r="P5" s="7"/>
      <c r="Q5" s="7"/>
      <c r="R5" s="7"/>
      <c r="S5" s="7"/>
      <c r="T5" s="7"/>
      <c r="U5" s="7"/>
      <c r="V5" s="7"/>
      <c r="W5" s="7"/>
      <c r="X5" s="7"/>
      <c r="Y5" s="7"/>
      <c r="Z5" s="7"/>
      <c r="AA5" s="7"/>
      <c r="AB5" s="7"/>
      <c r="AC5" s="7"/>
      <c r="AD5" s="7"/>
      <c r="AE5" s="7"/>
      <c r="AF5" s="7"/>
      <c r="AG5" s="11">
        <f>COUNTA(tblJanuary[[#This Row],[1]:[31]])</f>
        <v>5</v>
      </c>
      <c r="AH5" s="9"/>
    </row>
    <row r="6" spans="1:34" s="10" customFormat="1" x14ac:dyDescent="0.25">
      <c r="A6" s="45" t="s">
        <v>38</v>
      </c>
      <c r="B6" s="7"/>
      <c r="C6" s="7"/>
      <c r="D6" s="7"/>
      <c r="E6" s="7"/>
      <c r="F6" s="7" t="s">
        <v>36</v>
      </c>
      <c r="G6" s="7" t="s">
        <v>36</v>
      </c>
      <c r="H6" s="7"/>
      <c r="I6" s="7"/>
      <c r="J6" s="7"/>
      <c r="K6" s="7"/>
      <c r="L6" s="7" t="s">
        <v>41</v>
      </c>
      <c r="M6" s="7"/>
      <c r="N6" s="7"/>
      <c r="O6" s="7"/>
      <c r="P6" s="7"/>
      <c r="Q6" s="7"/>
      <c r="R6" s="7"/>
      <c r="S6" s="7"/>
      <c r="T6" s="7"/>
      <c r="U6" s="7" t="s">
        <v>36</v>
      </c>
      <c r="V6" s="7"/>
      <c r="W6" s="7"/>
      <c r="X6" s="7"/>
      <c r="Y6" s="7"/>
      <c r="Z6" s="7" t="s">
        <v>37</v>
      </c>
      <c r="AA6" s="7" t="s">
        <v>37</v>
      </c>
      <c r="AB6" s="7" t="s">
        <v>37</v>
      </c>
      <c r="AC6" s="7"/>
      <c r="AD6" s="7"/>
      <c r="AE6" s="7"/>
      <c r="AF6" s="7"/>
      <c r="AG6" s="11">
        <f>COUNTA(tblJanuary[[#This Row],[1]:[31]])</f>
        <v>7</v>
      </c>
      <c r="AH6" s="9"/>
    </row>
    <row r="7" spans="1:34" s="13" customFormat="1" x14ac:dyDescent="0.25">
      <c r="A7" s="45" t="s">
        <v>50</v>
      </c>
      <c r="B7" s="7"/>
      <c r="C7" s="7"/>
      <c r="D7" s="7" t="s">
        <v>41</v>
      </c>
      <c r="E7" s="7"/>
      <c r="F7" s="7"/>
      <c r="G7" s="7"/>
      <c r="H7" s="7"/>
      <c r="I7" s="7"/>
      <c r="J7" s="7"/>
      <c r="K7" s="7"/>
      <c r="L7" s="7"/>
      <c r="M7" s="7"/>
      <c r="N7" s="7"/>
      <c r="O7" s="7" t="s">
        <v>36</v>
      </c>
      <c r="P7" s="7"/>
      <c r="Q7" s="7"/>
      <c r="R7" s="7"/>
      <c r="S7" s="7"/>
      <c r="T7" s="7"/>
      <c r="U7" s="7"/>
      <c r="V7" s="7"/>
      <c r="W7" s="7"/>
      <c r="X7" s="7"/>
      <c r="Y7" s="7"/>
      <c r="Z7" s="7"/>
      <c r="AA7" s="7"/>
      <c r="AB7" s="7"/>
      <c r="AC7" s="7"/>
      <c r="AD7" s="7" t="s">
        <v>36</v>
      </c>
      <c r="AE7" s="7"/>
      <c r="AF7" s="7"/>
      <c r="AG7" s="11">
        <f>COUNTA(tblJanuary[[#This Row],[1]:[31]])</f>
        <v>3</v>
      </c>
      <c r="AH7" s="12"/>
    </row>
    <row r="8" spans="1:34" s="13" customFormat="1" x14ac:dyDescent="0.25">
      <c r="A8" s="45" t="s">
        <v>51</v>
      </c>
      <c r="B8" s="7"/>
      <c r="C8" s="7"/>
      <c r="D8" s="7"/>
      <c r="E8" s="7"/>
      <c r="F8" s="7"/>
      <c r="G8" s="7"/>
      <c r="H8" s="7" t="s">
        <v>41</v>
      </c>
      <c r="I8" s="7"/>
      <c r="J8" s="7"/>
      <c r="K8" s="7"/>
      <c r="L8" s="7"/>
      <c r="M8" s="7"/>
      <c r="N8" s="7"/>
      <c r="O8" s="7"/>
      <c r="P8" s="7"/>
      <c r="Q8" s="7"/>
      <c r="R8" s="7"/>
      <c r="S8" s="7"/>
      <c r="T8" s="7" t="s">
        <v>37</v>
      </c>
      <c r="U8" s="7" t="s">
        <v>37</v>
      </c>
      <c r="V8" s="7" t="s">
        <v>37</v>
      </c>
      <c r="W8" s="7"/>
      <c r="X8" s="7"/>
      <c r="Y8" s="7"/>
      <c r="Z8" s="7"/>
      <c r="AA8" s="7"/>
      <c r="AB8" s="7"/>
      <c r="AC8" s="7"/>
      <c r="AD8" s="7"/>
      <c r="AE8" s="7"/>
      <c r="AF8" s="7"/>
      <c r="AG8" s="11">
        <f>COUNTA(tblJanuary[[#This Row],[1]:[31]])</f>
        <v>4</v>
      </c>
      <c r="AH8" s="12"/>
    </row>
    <row r="9" spans="1:34" s="13" customFormat="1" x14ac:dyDescent="0.25">
      <c r="A9" s="45" t="s">
        <v>52</v>
      </c>
      <c r="B9" s="7"/>
      <c r="C9" s="7"/>
      <c r="D9" s="7"/>
      <c r="E9" s="7" t="s">
        <v>36</v>
      </c>
      <c r="F9" s="7" t="s">
        <v>37</v>
      </c>
      <c r="G9" s="7" t="s">
        <v>37</v>
      </c>
      <c r="H9" s="7"/>
      <c r="I9" s="7"/>
      <c r="J9" s="7"/>
      <c r="K9" s="7"/>
      <c r="L9" s="7"/>
      <c r="M9" s="7"/>
      <c r="N9" s="7"/>
      <c r="O9" s="7"/>
      <c r="P9" s="7"/>
      <c r="Q9" s="7"/>
      <c r="R9" s="7" t="s">
        <v>36</v>
      </c>
      <c r="S9" s="7"/>
      <c r="T9" s="7"/>
      <c r="U9" s="7"/>
      <c r="V9" s="7"/>
      <c r="W9" s="7"/>
      <c r="X9" s="7"/>
      <c r="Y9" s="7" t="s">
        <v>36</v>
      </c>
      <c r="Z9" s="7"/>
      <c r="AA9" s="7"/>
      <c r="AB9" s="7"/>
      <c r="AC9" s="7"/>
      <c r="AD9" s="7"/>
      <c r="AE9" s="7"/>
      <c r="AF9" s="7" t="s">
        <v>37</v>
      </c>
      <c r="AG9" s="11">
        <f>COUNTA(tblJanuary[[#This Row],[1]:[31]])</f>
        <v>6</v>
      </c>
      <c r="AH9" s="12"/>
    </row>
    <row r="10" spans="1:34" x14ac:dyDescent="0.25">
      <c r="A10" s="39" t="str">
        <f>MonthName&amp;" Total"</f>
        <v>January Total</v>
      </c>
      <c r="B10" s="11">
        <f>SUBTOTAL(103,tblJanuary[1])</f>
        <v>0</v>
      </c>
      <c r="C10" s="11">
        <f>SUBTOTAL(103,tblJanuary[2])</f>
        <v>0</v>
      </c>
      <c r="D10" s="11">
        <f>SUBTOTAL(103,tblJanuary[3])</f>
        <v>2</v>
      </c>
      <c r="E10" s="11">
        <f>SUBTOTAL(103,tblJanuary[4])</f>
        <v>2</v>
      </c>
      <c r="F10" s="11">
        <f>SUBTOTAL(103,tblJanuary[5])</f>
        <v>3</v>
      </c>
      <c r="G10" s="11">
        <f>SUBTOTAL(103,tblJanuary[6])</f>
        <v>3</v>
      </c>
      <c r="H10" s="11">
        <f>SUBTOTAL(103,tblJanuary[7])</f>
        <v>1</v>
      </c>
      <c r="I10" s="11">
        <f>SUBTOTAL(103,tblJanuary[8])</f>
        <v>0</v>
      </c>
      <c r="J10" s="11">
        <f>SUBTOTAL(103,tblJanuary[9])</f>
        <v>0</v>
      </c>
      <c r="K10" s="11">
        <f>SUBTOTAL(103,tblJanuary[10])</f>
        <v>0</v>
      </c>
      <c r="L10" s="11">
        <f>SUBTOTAL(103,tblJanuary[11])</f>
        <v>1</v>
      </c>
      <c r="M10" s="11">
        <f>SUBTOTAL(103,tblJanuary[12])</f>
        <v>0</v>
      </c>
      <c r="N10" s="11">
        <f>SUBTOTAL(103,tblJanuary[13])</f>
        <v>1</v>
      </c>
      <c r="O10" s="11">
        <f>SUBTOTAL(103,tblJanuary[14])</f>
        <v>1</v>
      </c>
      <c r="P10" s="11">
        <f>SUBTOTAL(103,tblJanuary[15])</f>
        <v>0</v>
      </c>
      <c r="Q10" s="11">
        <f>SUBTOTAL(103,tblJanuary[16])</f>
        <v>0</v>
      </c>
      <c r="R10" s="11">
        <f>SUBTOTAL(103,tblJanuary[17])</f>
        <v>1</v>
      </c>
      <c r="S10" s="11">
        <f>SUBTOTAL(103,tblJanuary[18])</f>
        <v>0</v>
      </c>
      <c r="T10" s="11">
        <f>SUBTOTAL(103,tblJanuary[19])</f>
        <v>1</v>
      </c>
      <c r="U10" s="11">
        <f>SUBTOTAL(103,tblJanuary[20])</f>
        <v>2</v>
      </c>
      <c r="V10" s="11">
        <f>SUBTOTAL(103,tblJanuary[21])</f>
        <v>1</v>
      </c>
      <c r="W10" s="11">
        <f>SUBTOTAL(103,tblJanuary[22])</f>
        <v>0</v>
      </c>
      <c r="X10" s="11">
        <f>SUBTOTAL(103,tblJanuary[23])</f>
        <v>0</v>
      </c>
      <c r="Y10" s="11">
        <f>SUBTOTAL(103,tblJanuary[24])</f>
        <v>1</v>
      </c>
      <c r="Z10" s="11">
        <f>SUBTOTAL(103,tblJanuary[25])</f>
        <v>1</v>
      </c>
      <c r="AA10" s="11">
        <f>SUBTOTAL(103,tblJanuary[26])</f>
        <v>1</v>
      </c>
      <c r="AB10" s="11">
        <f>SUBTOTAL(103,tblJanuary[27])</f>
        <v>1</v>
      </c>
      <c r="AC10" s="11">
        <f>SUBTOTAL(103,tblJanuary[28])</f>
        <v>0</v>
      </c>
      <c r="AD10" s="11">
        <f>SUBTOTAL(103,tblJanuary[29])</f>
        <v>1</v>
      </c>
      <c r="AE10" s="11">
        <f>SUBTOTAL(103,tblJanuary[30])</f>
        <v>0</v>
      </c>
      <c r="AF10" s="11">
        <f>SUBTOTAL(103,tblJanuary[31])</f>
        <v>1</v>
      </c>
      <c r="AG10" s="11">
        <f>SUBTOTAL(109,tblJanuary[Total Days])</f>
        <v>25</v>
      </c>
    </row>
    <row r="11" spans="1:34" customFormat="1" x14ac:dyDescent="0.25">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row>
    <row r="12" spans="1:34" customFormat="1" x14ac:dyDescent="0.25">
      <c r="A12" s="8"/>
      <c r="B12" s="43" t="s">
        <v>48</v>
      </c>
      <c r="C12" s="43"/>
      <c r="D12" s="43"/>
      <c r="E12" s="43"/>
      <c r="F12" s="44"/>
      <c r="G12" s="26" t="s">
        <v>37</v>
      </c>
      <c r="H12" s="40" t="s">
        <v>43</v>
      </c>
      <c r="I12" s="41"/>
      <c r="J12" s="41"/>
      <c r="K12" s="22" t="s">
        <v>41</v>
      </c>
      <c r="L12" s="40" t="s">
        <v>44</v>
      </c>
      <c r="M12" s="41"/>
      <c r="N12" s="41"/>
      <c r="O12" s="23" t="s">
        <v>36</v>
      </c>
      <c r="P12" s="40" t="s">
        <v>45</v>
      </c>
      <c r="Q12" s="41"/>
      <c r="R12" s="41"/>
      <c r="S12" s="24"/>
      <c r="T12" s="40" t="s">
        <v>46</v>
      </c>
      <c r="U12" s="42"/>
      <c r="V12" s="41"/>
      <c r="W12" s="25"/>
      <c r="X12" s="40" t="s">
        <v>47</v>
      </c>
      <c r="Y12" s="41"/>
      <c r="Z12" s="42"/>
      <c r="AA12" s="15"/>
      <c r="AB12" s="15"/>
      <c r="AC12" s="15"/>
      <c r="AD12" s="15"/>
      <c r="AE12" s="15"/>
      <c r="AF12" s="15"/>
      <c r="AG12" s="14"/>
    </row>
    <row r="13" spans="1:34" customFormat="1" x14ac:dyDescent="0.25"/>
    <row r="14" spans="1:34" customFormat="1" x14ac:dyDescent="0.25"/>
    <row r="15" spans="1:34" customFormat="1" x14ac:dyDescent="0.25"/>
    <row r="16" spans="1:34" customFormat="1" ht="15" customHeight="1" x14ac:dyDescent="0.25"/>
    <row r="17" customFormat="1" ht="15" customHeight="1" x14ac:dyDescent="0.25"/>
    <row r="18" customFormat="1" ht="15" customHeight="1" x14ac:dyDescent="0.25"/>
    <row r="19" customFormat="1" ht="15" customHeight="1" x14ac:dyDescent="0.25"/>
    <row r="20" customFormat="1" ht="15" customHeight="1" x14ac:dyDescent="0.25"/>
    <row r="21" customFormat="1" ht="15" customHeight="1" x14ac:dyDescent="0.25"/>
    <row r="22" customFormat="1" ht="15" customHeight="1" x14ac:dyDescent="0.25"/>
    <row r="23" customFormat="1" ht="15" customHeight="1" x14ac:dyDescent="0.25"/>
    <row r="24" customFormat="1" ht="15" customHeight="1" x14ac:dyDescent="0.25"/>
    <row r="25" customFormat="1" ht="15" customHeight="1" x14ac:dyDescent="0.25"/>
    <row r="26" customFormat="1" ht="15" customHeight="1" x14ac:dyDescent="0.25"/>
    <row r="27" customFormat="1" ht="15" customHeight="1" x14ac:dyDescent="0.25"/>
    <row r="28" customFormat="1" ht="15" customHeight="1" x14ac:dyDescent="0.25"/>
    <row r="29" customFormat="1" ht="15" customHeight="1" x14ac:dyDescent="0.25"/>
    <row r="30" customFormat="1" ht="15" customHeight="1" x14ac:dyDescent="0.25"/>
    <row r="31" customFormat="1" ht="15" customHeight="1" x14ac:dyDescent="0.25"/>
    <row r="32" customFormat="1" ht="15" customHeight="1" x14ac:dyDescent="0.25"/>
    <row r="33" customFormat="1" ht="15" customHeight="1" x14ac:dyDescent="0.25"/>
    <row r="34" customFormat="1" ht="15" customHeight="1" x14ac:dyDescent="0.25"/>
    <row r="35" customFormat="1" ht="15" customHeight="1" x14ac:dyDescent="0.25"/>
    <row r="36" customFormat="1" ht="15" customHeight="1" x14ac:dyDescent="0.25"/>
    <row r="37" customFormat="1" ht="15" customHeight="1" x14ac:dyDescent="0.25"/>
    <row r="38" customFormat="1" ht="15" customHeight="1" x14ac:dyDescent="0.25"/>
    <row r="39" customFormat="1" ht="15" customHeight="1" x14ac:dyDescent="0.25"/>
    <row r="40" customFormat="1" ht="15" customHeight="1" x14ac:dyDescent="0.25"/>
    <row r="41" customFormat="1" ht="15" customHeight="1" x14ac:dyDescent="0.25"/>
    <row r="42" customFormat="1" ht="15" customHeight="1" x14ac:dyDescent="0.25"/>
    <row r="43" customFormat="1" ht="15" customHeight="1" x14ac:dyDescent="0.25"/>
    <row r="44" customFormat="1" ht="15" customHeight="1" x14ac:dyDescent="0.25"/>
    <row r="45" customFormat="1" ht="15" customHeight="1" x14ac:dyDescent="0.25"/>
    <row r="46" customFormat="1" ht="15" customHeight="1" x14ac:dyDescent="0.25"/>
    <row r="47" customFormat="1" ht="15" customHeight="1" x14ac:dyDescent="0.25"/>
    <row r="48" customFormat="1" ht="15" customHeight="1" x14ac:dyDescent="0.25"/>
    <row r="49" customFormat="1" ht="15" customHeight="1" x14ac:dyDescent="0.25"/>
    <row r="50" customFormat="1" ht="15" customHeight="1" x14ac:dyDescent="0.25"/>
    <row r="51" customFormat="1" ht="15" customHeight="1" x14ac:dyDescent="0.25"/>
    <row r="52" customFormat="1" ht="15" customHeight="1" x14ac:dyDescent="0.25"/>
    <row r="53" customFormat="1" ht="15" customHeight="1" x14ac:dyDescent="0.25"/>
    <row r="54" customFormat="1" ht="15" customHeight="1" x14ac:dyDescent="0.25"/>
    <row r="55" customFormat="1" ht="15" customHeight="1" x14ac:dyDescent="0.25"/>
    <row r="56" customFormat="1" ht="15" customHeight="1" x14ac:dyDescent="0.25"/>
    <row r="57" customFormat="1" ht="15" customHeight="1" x14ac:dyDescent="0.25"/>
    <row r="58" customFormat="1" ht="15" customHeight="1" x14ac:dyDescent="0.25"/>
    <row r="59" customFormat="1" ht="15" customHeight="1" x14ac:dyDescent="0.25"/>
    <row r="60" customFormat="1" ht="15" customHeight="1" x14ac:dyDescent="0.25"/>
    <row r="61" customFormat="1" ht="15" customHeight="1" x14ac:dyDescent="0.25"/>
    <row r="62" customFormat="1" ht="15" customHeight="1" x14ac:dyDescent="0.25"/>
    <row r="63" customFormat="1" ht="15" customHeight="1" x14ac:dyDescent="0.25"/>
    <row r="64" customFormat="1" ht="15" customHeight="1" x14ac:dyDescent="0.25"/>
    <row r="65" customFormat="1" ht="15" customHeight="1" x14ac:dyDescent="0.25"/>
    <row r="66" customFormat="1" ht="15" customHeight="1" x14ac:dyDescent="0.25"/>
    <row r="67" customFormat="1" ht="15" customHeight="1" x14ac:dyDescent="0.25"/>
    <row r="68" customFormat="1" ht="15" customHeight="1" x14ac:dyDescent="0.25"/>
    <row r="69" customFormat="1" ht="15" customHeight="1" x14ac:dyDescent="0.25"/>
    <row r="70" customFormat="1" ht="15" customHeight="1" x14ac:dyDescent="0.25"/>
    <row r="71" customFormat="1" ht="15" customHeight="1" x14ac:dyDescent="0.25"/>
    <row r="72" customFormat="1" ht="15" customHeight="1" x14ac:dyDescent="0.25"/>
    <row r="73" customFormat="1" ht="15" customHeight="1" x14ac:dyDescent="0.25"/>
    <row r="74" customFormat="1" ht="15" customHeight="1" x14ac:dyDescent="0.25"/>
    <row r="75" customFormat="1" ht="15" customHeight="1" x14ac:dyDescent="0.25"/>
    <row r="76" customFormat="1" ht="15" customHeight="1" x14ac:dyDescent="0.25"/>
    <row r="77" customFormat="1" ht="15" customHeight="1" x14ac:dyDescent="0.25"/>
    <row r="78" customFormat="1" ht="15" customHeight="1" x14ac:dyDescent="0.25"/>
    <row r="79" customFormat="1" ht="15" customHeight="1" x14ac:dyDescent="0.25"/>
    <row r="80" customFormat="1" ht="15" customHeight="1" x14ac:dyDescent="0.25"/>
    <row r="81" customFormat="1" ht="15" customHeight="1" x14ac:dyDescent="0.25"/>
    <row r="82" customFormat="1" ht="15" customHeight="1" x14ac:dyDescent="0.25"/>
    <row r="83" customFormat="1" ht="15" customHeight="1" x14ac:dyDescent="0.25"/>
    <row r="84" customFormat="1" ht="15" customHeight="1" x14ac:dyDescent="0.25"/>
    <row r="85" customFormat="1" ht="15" customHeight="1" x14ac:dyDescent="0.25"/>
    <row r="86" customFormat="1" ht="15" customHeight="1" x14ac:dyDescent="0.25"/>
    <row r="87" customFormat="1" ht="15" customHeight="1" x14ac:dyDescent="0.25"/>
    <row r="88" customFormat="1" ht="15" customHeight="1" x14ac:dyDescent="0.25"/>
    <row r="89" customFormat="1" ht="15" customHeight="1" x14ac:dyDescent="0.25"/>
    <row r="90" customFormat="1" ht="15" customHeight="1" x14ac:dyDescent="0.25"/>
    <row r="91" customFormat="1" ht="15" customHeight="1" x14ac:dyDescent="0.25"/>
    <row r="92" customFormat="1" ht="15" customHeight="1" x14ac:dyDescent="0.25"/>
    <row r="93" customFormat="1" ht="15" customHeight="1" x14ac:dyDescent="0.25"/>
    <row r="94" customFormat="1" ht="15" customHeight="1" x14ac:dyDescent="0.25"/>
    <row r="95" customFormat="1" ht="15" customHeight="1" x14ac:dyDescent="0.25"/>
    <row r="96" customFormat="1" ht="15" customHeight="1" x14ac:dyDescent="0.25"/>
    <row r="97" customFormat="1" ht="15" customHeight="1" x14ac:dyDescent="0.25"/>
    <row r="98" customFormat="1" ht="15" customHeight="1" x14ac:dyDescent="0.25"/>
    <row r="99" customFormat="1" ht="15" customHeight="1" x14ac:dyDescent="0.25"/>
    <row r="100" customFormat="1" ht="15" customHeight="1" x14ac:dyDescent="0.25"/>
    <row r="101" customFormat="1" ht="15" customHeight="1" x14ac:dyDescent="0.25"/>
    <row r="102" customFormat="1" ht="15" customHeight="1" x14ac:dyDescent="0.25"/>
    <row r="103" customFormat="1" ht="15" customHeight="1" x14ac:dyDescent="0.25"/>
    <row r="104" customFormat="1" ht="15" customHeight="1" x14ac:dyDescent="0.25"/>
    <row r="105" customFormat="1" ht="15" customHeight="1" x14ac:dyDescent="0.25"/>
    <row r="106" customFormat="1" ht="15" customHeight="1" x14ac:dyDescent="0.25"/>
    <row r="107" customFormat="1" ht="15" customHeight="1" x14ac:dyDescent="0.25"/>
    <row r="108" customFormat="1" ht="15" customHeight="1" x14ac:dyDescent="0.25"/>
    <row r="109" customFormat="1" ht="15" customHeight="1" x14ac:dyDescent="0.25"/>
    <row r="110" customFormat="1" ht="15" customHeight="1" x14ac:dyDescent="0.25"/>
    <row r="111" customFormat="1" ht="15" customHeight="1" x14ac:dyDescent="0.25"/>
    <row r="112" customFormat="1" ht="15" customHeight="1" x14ac:dyDescent="0.25"/>
    <row r="113" customFormat="1" ht="15" customHeight="1" x14ac:dyDescent="0.25"/>
    <row r="114" customFormat="1" ht="15" customHeight="1" x14ac:dyDescent="0.25"/>
    <row r="115" customFormat="1" ht="15" customHeight="1" x14ac:dyDescent="0.25"/>
    <row r="116" customFormat="1" ht="15" customHeight="1" x14ac:dyDescent="0.25"/>
    <row r="117" customFormat="1" ht="15" customHeight="1" x14ac:dyDescent="0.25"/>
    <row r="118" customFormat="1" ht="15" customHeight="1" x14ac:dyDescent="0.25"/>
    <row r="119" customFormat="1" ht="15" customHeight="1" x14ac:dyDescent="0.25"/>
    <row r="120" customFormat="1" ht="15" customHeight="1" x14ac:dyDescent="0.25"/>
    <row r="121" customFormat="1" ht="15" customHeight="1" x14ac:dyDescent="0.25"/>
    <row r="122" customFormat="1" ht="15" customHeight="1" x14ac:dyDescent="0.25"/>
    <row r="123" customFormat="1" ht="15" customHeight="1" x14ac:dyDescent="0.25"/>
    <row r="124" customFormat="1" ht="15" customHeight="1" x14ac:dyDescent="0.25"/>
    <row r="125" customFormat="1" ht="15" customHeight="1" x14ac:dyDescent="0.25"/>
    <row r="126" customFormat="1" ht="15" customHeight="1" x14ac:dyDescent="0.25"/>
    <row r="127" customFormat="1" ht="15" customHeight="1" x14ac:dyDescent="0.25"/>
    <row r="128" customFormat="1" ht="15" customHeight="1" x14ac:dyDescent="0.25"/>
    <row r="129" customFormat="1" ht="15" customHeight="1" x14ac:dyDescent="0.25"/>
    <row r="130" customFormat="1" ht="15" customHeight="1" x14ac:dyDescent="0.25"/>
    <row r="131" customFormat="1" ht="15" customHeight="1" x14ac:dyDescent="0.25"/>
    <row r="132" customFormat="1" ht="15" customHeight="1" x14ac:dyDescent="0.25"/>
    <row r="133" customFormat="1" ht="15" customHeight="1" x14ac:dyDescent="0.25"/>
    <row r="134" customFormat="1" ht="15" customHeight="1" x14ac:dyDescent="0.25"/>
    <row r="135" customFormat="1" ht="15" customHeight="1" x14ac:dyDescent="0.25"/>
    <row r="136" customFormat="1" ht="15" customHeight="1" x14ac:dyDescent="0.25"/>
    <row r="137" customFormat="1" ht="15" customHeight="1" x14ac:dyDescent="0.25"/>
    <row r="138" customFormat="1" ht="15" customHeight="1" x14ac:dyDescent="0.25"/>
    <row r="139" customFormat="1" ht="15" customHeight="1" x14ac:dyDescent="0.25"/>
    <row r="140" customFormat="1" ht="15" customHeight="1" x14ac:dyDescent="0.25"/>
    <row r="141" customFormat="1" ht="15" customHeight="1" x14ac:dyDescent="0.25"/>
    <row r="142" customFormat="1" ht="15" customHeight="1" x14ac:dyDescent="0.25"/>
    <row r="143" customFormat="1" ht="15" customHeight="1" x14ac:dyDescent="0.25"/>
    <row r="144" customFormat="1" ht="15" customHeight="1" x14ac:dyDescent="0.25"/>
    <row r="145" customFormat="1" ht="15" customHeight="1" x14ac:dyDescent="0.25"/>
    <row r="146" customFormat="1" ht="15" customHeight="1" x14ac:dyDescent="0.25"/>
    <row r="147" customFormat="1" ht="15" customHeight="1" x14ac:dyDescent="0.25"/>
    <row r="148" customFormat="1" ht="15" customHeight="1" x14ac:dyDescent="0.25"/>
    <row r="149" customFormat="1" ht="15" customHeight="1" x14ac:dyDescent="0.25"/>
    <row r="150" customFormat="1" ht="15" customHeight="1" x14ac:dyDescent="0.25"/>
    <row r="151" customFormat="1" ht="15" customHeight="1" x14ac:dyDescent="0.25"/>
    <row r="152" customFormat="1" ht="15" customHeight="1" x14ac:dyDescent="0.25"/>
    <row r="153" customFormat="1" ht="15" customHeight="1" x14ac:dyDescent="0.25"/>
    <row r="154" customFormat="1" ht="15" customHeight="1" x14ac:dyDescent="0.25"/>
    <row r="155" customFormat="1" ht="15" customHeight="1" x14ac:dyDescent="0.25"/>
    <row r="156" customFormat="1" ht="15" customHeight="1" x14ac:dyDescent="0.25"/>
    <row r="157" customFormat="1" ht="15" customHeight="1" x14ac:dyDescent="0.25"/>
    <row r="158" customFormat="1" ht="15" customHeight="1" x14ac:dyDescent="0.25"/>
    <row r="159" customFormat="1" ht="15" customHeight="1" x14ac:dyDescent="0.25"/>
    <row r="160" customFormat="1" ht="15" customHeight="1" x14ac:dyDescent="0.25"/>
    <row r="161" customFormat="1" ht="15" customHeight="1" x14ac:dyDescent="0.25"/>
    <row r="162" customFormat="1" ht="15" customHeight="1" x14ac:dyDescent="0.25"/>
    <row r="163" customFormat="1" ht="15" customHeight="1" x14ac:dyDescent="0.25"/>
    <row r="164" customFormat="1" ht="15" customHeight="1" x14ac:dyDescent="0.25"/>
    <row r="165" customFormat="1" ht="15" customHeight="1" x14ac:dyDescent="0.25"/>
    <row r="166" customFormat="1" ht="15" customHeight="1" x14ac:dyDescent="0.25"/>
    <row r="167" customFormat="1" ht="15" customHeight="1" x14ac:dyDescent="0.25"/>
    <row r="168" customFormat="1" ht="15" customHeight="1" x14ac:dyDescent="0.25"/>
    <row r="169" customFormat="1" ht="15" customHeight="1" x14ac:dyDescent="0.25"/>
    <row r="170" customFormat="1" ht="15" customHeight="1" x14ac:dyDescent="0.25"/>
    <row r="171" customFormat="1" ht="15" customHeight="1" x14ac:dyDescent="0.25"/>
    <row r="172" customFormat="1" ht="15" customHeight="1" x14ac:dyDescent="0.25"/>
    <row r="173" customFormat="1" ht="15" customHeight="1" x14ac:dyDescent="0.25"/>
    <row r="174" customFormat="1" ht="15" customHeight="1" x14ac:dyDescent="0.25"/>
    <row r="175" customFormat="1" ht="15" customHeight="1" x14ac:dyDescent="0.25"/>
    <row r="176" customFormat="1" ht="15" customHeight="1" x14ac:dyDescent="0.25"/>
    <row r="177" customFormat="1" ht="15" customHeight="1" x14ac:dyDescent="0.25"/>
    <row r="178" customFormat="1" ht="15" customHeight="1" x14ac:dyDescent="0.25"/>
    <row r="179" customFormat="1" ht="15" customHeight="1" x14ac:dyDescent="0.25"/>
    <row r="180" customFormat="1" ht="15" customHeight="1" x14ac:dyDescent="0.25"/>
    <row r="181" customFormat="1" ht="15" customHeight="1" x14ac:dyDescent="0.25"/>
    <row r="182" customFormat="1" ht="15" customHeight="1" x14ac:dyDescent="0.25"/>
    <row r="183" customFormat="1" ht="15" customHeight="1" x14ac:dyDescent="0.25"/>
    <row r="184" customFormat="1" ht="15" customHeight="1" x14ac:dyDescent="0.25"/>
    <row r="185" customFormat="1" ht="15" customHeight="1" x14ac:dyDescent="0.25"/>
    <row r="186" customFormat="1" ht="15" customHeight="1" x14ac:dyDescent="0.25"/>
    <row r="187" customFormat="1" ht="15" customHeight="1" x14ac:dyDescent="0.25"/>
    <row r="188" customFormat="1" ht="15" customHeight="1" x14ac:dyDescent="0.25"/>
    <row r="189" customFormat="1" ht="15" customHeight="1" x14ac:dyDescent="0.25"/>
    <row r="190" customFormat="1" ht="15" customHeight="1" x14ac:dyDescent="0.25"/>
    <row r="191" customFormat="1" ht="15" customHeight="1" x14ac:dyDescent="0.25"/>
    <row r="192" customFormat="1" ht="15" customHeight="1" x14ac:dyDescent="0.25"/>
    <row r="193" customFormat="1" ht="15" customHeight="1" x14ac:dyDescent="0.25"/>
    <row r="194" customFormat="1" ht="15" customHeight="1" x14ac:dyDescent="0.25"/>
    <row r="195" customFormat="1" ht="15" customHeight="1" x14ac:dyDescent="0.25"/>
    <row r="196" customFormat="1" ht="15" customHeight="1" x14ac:dyDescent="0.25"/>
    <row r="197" customFormat="1" ht="15" customHeight="1" x14ac:dyDescent="0.25"/>
    <row r="198" customFormat="1" ht="15" customHeight="1" x14ac:dyDescent="0.25"/>
    <row r="199" customFormat="1" ht="15" customHeight="1" x14ac:dyDescent="0.25"/>
    <row r="200" customFormat="1" ht="15" customHeight="1" x14ac:dyDescent="0.25"/>
    <row r="201" customFormat="1" ht="15" customHeight="1" x14ac:dyDescent="0.25"/>
    <row r="202" customFormat="1" ht="15" customHeight="1" x14ac:dyDescent="0.25"/>
    <row r="203" customFormat="1" ht="15" customHeight="1" x14ac:dyDescent="0.25"/>
    <row r="204" customFormat="1" ht="15" customHeight="1" x14ac:dyDescent="0.25"/>
    <row r="205" customFormat="1" ht="15" customHeight="1" x14ac:dyDescent="0.25"/>
    <row r="206" customFormat="1" ht="15" customHeight="1" x14ac:dyDescent="0.25"/>
    <row r="207" customFormat="1" ht="15" customHeight="1" x14ac:dyDescent="0.25"/>
    <row r="208" customFormat="1" ht="15" customHeight="1" x14ac:dyDescent="0.25"/>
    <row r="209" customFormat="1" ht="15" customHeight="1" x14ac:dyDescent="0.25"/>
    <row r="210" customFormat="1" ht="15" customHeight="1" x14ac:dyDescent="0.25"/>
    <row r="211" customFormat="1" ht="15" customHeight="1" x14ac:dyDescent="0.25"/>
    <row r="212" customFormat="1" ht="15" customHeight="1" x14ac:dyDescent="0.25"/>
    <row r="213" customFormat="1" ht="15" customHeight="1" x14ac:dyDescent="0.25"/>
    <row r="214" customFormat="1" ht="15" customHeight="1" x14ac:dyDescent="0.25"/>
    <row r="215" customFormat="1" ht="15" customHeight="1" x14ac:dyDescent="0.25"/>
    <row r="216" customFormat="1" ht="15" customHeight="1" x14ac:dyDescent="0.25"/>
    <row r="217" customFormat="1" ht="15" customHeight="1" x14ac:dyDescent="0.25"/>
    <row r="218" customFormat="1" ht="15" customHeight="1" x14ac:dyDescent="0.25"/>
    <row r="219" customFormat="1" ht="15" customHeight="1" x14ac:dyDescent="0.25"/>
    <row r="220" customFormat="1" ht="15" customHeight="1" x14ac:dyDescent="0.25"/>
    <row r="221" customFormat="1" ht="15" customHeight="1" x14ac:dyDescent="0.25"/>
    <row r="222" customFormat="1" ht="15" customHeight="1" x14ac:dyDescent="0.25"/>
    <row r="223" customFormat="1" ht="15" customHeight="1" x14ac:dyDescent="0.25"/>
    <row r="224" customFormat="1" ht="15" customHeight="1" x14ac:dyDescent="0.25"/>
    <row r="225" customFormat="1" ht="15" customHeight="1" x14ac:dyDescent="0.25"/>
    <row r="226" customFormat="1" ht="15" customHeight="1" x14ac:dyDescent="0.25"/>
    <row r="227" customFormat="1" ht="15" customHeight="1" x14ac:dyDescent="0.25"/>
    <row r="228" customFormat="1" ht="15" customHeight="1" x14ac:dyDescent="0.25"/>
    <row r="229" customFormat="1" ht="15" customHeight="1" x14ac:dyDescent="0.25"/>
    <row r="230" customFormat="1" ht="15" customHeight="1" x14ac:dyDescent="0.25"/>
    <row r="231" customFormat="1" ht="15" customHeight="1" x14ac:dyDescent="0.25"/>
    <row r="232" customFormat="1" ht="15" customHeight="1" x14ac:dyDescent="0.25"/>
    <row r="233" customFormat="1" ht="15" customHeight="1" x14ac:dyDescent="0.25"/>
    <row r="234" customFormat="1" ht="15" customHeight="1" x14ac:dyDescent="0.25"/>
    <row r="235" customFormat="1" ht="15" customHeight="1" x14ac:dyDescent="0.25"/>
    <row r="236" customFormat="1" ht="15" customHeight="1" x14ac:dyDescent="0.25"/>
    <row r="237" customFormat="1" ht="15" customHeight="1" x14ac:dyDescent="0.25"/>
    <row r="238" customFormat="1" ht="15" customHeight="1" x14ac:dyDescent="0.25"/>
    <row r="239" customFormat="1" ht="15" customHeight="1" x14ac:dyDescent="0.25"/>
    <row r="240" customFormat="1" ht="15" customHeight="1" x14ac:dyDescent="0.25"/>
    <row r="241" customFormat="1" ht="15" customHeight="1" x14ac:dyDescent="0.25"/>
    <row r="242" customFormat="1" ht="15" customHeight="1" x14ac:dyDescent="0.25"/>
    <row r="243" customFormat="1" ht="15" customHeight="1" x14ac:dyDescent="0.25"/>
    <row r="244" customFormat="1" ht="15" customHeight="1" x14ac:dyDescent="0.25"/>
    <row r="245" customFormat="1" ht="15" customHeight="1" x14ac:dyDescent="0.25"/>
    <row r="246" customFormat="1" ht="15" customHeight="1" x14ac:dyDescent="0.25"/>
    <row r="247" customFormat="1" ht="15" customHeight="1" x14ac:dyDescent="0.25"/>
    <row r="248" customFormat="1" ht="15" customHeight="1" x14ac:dyDescent="0.25"/>
    <row r="249" customFormat="1" ht="15" customHeight="1" x14ac:dyDescent="0.25"/>
    <row r="250" customFormat="1" ht="15" customHeight="1" x14ac:dyDescent="0.25"/>
    <row r="251" customFormat="1" ht="15" customHeight="1" x14ac:dyDescent="0.25"/>
    <row r="252" customFormat="1" ht="15" customHeight="1" x14ac:dyDescent="0.25"/>
    <row r="253" customFormat="1" ht="15" customHeight="1" x14ac:dyDescent="0.25"/>
    <row r="254" customFormat="1" ht="15" customHeight="1" x14ac:dyDescent="0.25"/>
    <row r="255" customFormat="1" ht="15" customHeight="1" x14ac:dyDescent="0.25"/>
    <row r="256" customFormat="1" ht="15" customHeight="1" x14ac:dyDescent="0.25"/>
    <row r="257" customFormat="1" ht="15" customHeight="1" x14ac:dyDescent="0.25"/>
    <row r="258" customFormat="1" ht="15" customHeight="1" x14ac:dyDescent="0.25"/>
    <row r="259" customFormat="1" ht="15" customHeight="1" x14ac:dyDescent="0.25"/>
    <row r="260" customFormat="1" ht="15" customHeight="1" x14ac:dyDescent="0.25"/>
    <row r="261" customFormat="1" ht="15" customHeight="1" x14ac:dyDescent="0.25"/>
    <row r="262" customFormat="1" ht="15" customHeight="1" x14ac:dyDescent="0.25"/>
    <row r="263" customFormat="1" ht="15" customHeight="1" x14ac:dyDescent="0.25"/>
    <row r="264" customFormat="1" ht="15" customHeight="1" x14ac:dyDescent="0.25"/>
    <row r="265" customFormat="1" ht="15" customHeight="1" x14ac:dyDescent="0.25"/>
    <row r="266" customFormat="1" ht="15" customHeight="1" x14ac:dyDescent="0.25"/>
    <row r="267" customFormat="1" ht="15" customHeight="1" x14ac:dyDescent="0.25"/>
    <row r="268" customFormat="1" ht="15" customHeight="1" x14ac:dyDescent="0.25"/>
    <row r="269" customFormat="1" ht="15" customHeight="1" x14ac:dyDescent="0.25"/>
    <row r="270" customFormat="1" ht="15" customHeight="1" x14ac:dyDescent="0.25"/>
    <row r="271" customFormat="1" ht="15" customHeight="1" x14ac:dyDescent="0.25"/>
    <row r="272" customFormat="1" ht="15" customHeight="1" x14ac:dyDescent="0.25"/>
    <row r="273" customFormat="1" ht="15" customHeight="1" x14ac:dyDescent="0.25"/>
    <row r="274" customFormat="1" ht="15" customHeight="1" x14ac:dyDescent="0.25"/>
    <row r="275" customFormat="1" ht="15" customHeight="1" x14ac:dyDescent="0.25"/>
    <row r="276" customFormat="1" ht="15" customHeight="1" x14ac:dyDescent="0.25"/>
    <row r="277" customFormat="1" ht="15" customHeight="1" x14ac:dyDescent="0.25"/>
    <row r="278" customFormat="1" ht="15" customHeight="1" x14ac:dyDescent="0.25"/>
    <row r="279" customFormat="1" ht="15" customHeight="1" x14ac:dyDescent="0.25"/>
    <row r="280" customFormat="1" ht="15" customHeight="1" x14ac:dyDescent="0.25"/>
    <row r="281" customFormat="1" ht="15" customHeight="1" x14ac:dyDescent="0.25"/>
    <row r="282" customFormat="1" ht="15" customHeight="1" x14ac:dyDescent="0.25"/>
    <row r="283" customFormat="1" ht="15" customHeight="1" x14ac:dyDescent="0.25"/>
    <row r="284" customFormat="1" ht="15" customHeight="1" x14ac:dyDescent="0.25"/>
    <row r="285" customFormat="1" ht="15" customHeight="1" x14ac:dyDescent="0.25"/>
    <row r="286" customFormat="1" ht="15" customHeight="1" x14ac:dyDescent="0.25"/>
    <row r="287" customFormat="1" ht="15" customHeight="1" x14ac:dyDescent="0.25"/>
    <row r="288" customFormat="1" ht="15" customHeight="1" x14ac:dyDescent="0.25"/>
    <row r="289" customFormat="1" ht="15" customHeight="1" x14ac:dyDescent="0.25"/>
    <row r="290" customFormat="1" ht="15" customHeight="1" x14ac:dyDescent="0.25"/>
    <row r="291" customFormat="1" ht="15" customHeight="1" x14ac:dyDescent="0.25"/>
    <row r="292" customFormat="1" ht="15" customHeight="1" x14ac:dyDescent="0.25"/>
    <row r="293" customFormat="1" ht="15" customHeight="1" x14ac:dyDescent="0.25"/>
    <row r="294" customFormat="1" ht="15" customHeight="1" x14ac:dyDescent="0.25"/>
    <row r="295" customFormat="1" ht="15" customHeight="1" x14ac:dyDescent="0.25"/>
    <row r="296" customFormat="1" ht="15" customHeight="1" x14ac:dyDescent="0.25"/>
    <row r="297" customFormat="1" ht="15" customHeight="1" x14ac:dyDescent="0.25"/>
    <row r="298" customFormat="1" ht="15" customHeight="1" x14ac:dyDescent="0.25"/>
    <row r="299" customFormat="1" ht="15" customHeight="1" x14ac:dyDescent="0.25"/>
    <row r="300" customFormat="1" ht="15" customHeight="1" x14ac:dyDescent="0.25"/>
    <row r="301" customFormat="1" ht="15" customHeight="1" x14ac:dyDescent="0.25"/>
    <row r="302" customFormat="1" ht="15" customHeight="1" x14ac:dyDescent="0.25"/>
    <row r="303" customFormat="1" ht="15" customHeight="1" x14ac:dyDescent="0.25"/>
    <row r="304" customFormat="1" ht="15" customHeight="1" x14ac:dyDescent="0.25"/>
    <row r="305" customFormat="1" ht="15" customHeight="1" x14ac:dyDescent="0.25"/>
    <row r="306" customFormat="1" ht="15" customHeight="1" x14ac:dyDescent="0.25"/>
    <row r="307" customFormat="1" ht="15" customHeight="1" x14ac:dyDescent="0.25"/>
    <row r="308" customFormat="1" ht="15" customHeight="1" x14ac:dyDescent="0.25"/>
    <row r="309" customFormat="1" ht="15" customHeight="1" x14ac:dyDescent="0.25"/>
    <row r="310" customFormat="1" ht="15" customHeight="1" x14ac:dyDescent="0.25"/>
    <row r="311" customFormat="1" ht="15" customHeight="1" x14ac:dyDescent="0.25"/>
    <row r="312" customFormat="1" ht="15" customHeight="1" x14ac:dyDescent="0.25"/>
    <row r="313" customFormat="1" ht="15" customHeight="1" x14ac:dyDescent="0.25"/>
    <row r="314" customFormat="1" ht="15" customHeight="1" x14ac:dyDescent="0.25"/>
    <row r="315" customFormat="1" ht="15" customHeight="1" x14ac:dyDescent="0.25"/>
    <row r="316" customFormat="1" ht="15" customHeight="1" x14ac:dyDescent="0.25"/>
    <row r="317" customFormat="1" ht="15" customHeight="1" x14ac:dyDescent="0.25"/>
    <row r="318" customFormat="1" ht="15" customHeight="1" x14ac:dyDescent="0.25"/>
    <row r="319" customFormat="1" ht="15" customHeight="1" x14ac:dyDescent="0.25"/>
    <row r="320" customFormat="1" ht="15" customHeight="1" x14ac:dyDescent="0.25"/>
    <row r="321" customFormat="1" ht="15" customHeight="1" x14ac:dyDescent="0.25"/>
    <row r="322" customFormat="1" ht="15" customHeight="1" x14ac:dyDescent="0.25"/>
    <row r="323" customFormat="1" ht="15" customHeight="1" x14ac:dyDescent="0.25"/>
    <row r="324" customFormat="1" ht="15" customHeight="1" x14ac:dyDescent="0.25"/>
    <row r="325" customFormat="1" ht="15" customHeight="1" x14ac:dyDescent="0.25"/>
    <row r="326" customFormat="1" ht="15" customHeight="1" x14ac:dyDescent="0.25"/>
    <row r="327" customFormat="1" ht="15" customHeight="1" x14ac:dyDescent="0.25"/>
    <row r="328" customFormat="1" ht="15" customHeight="1" x14ac:dyDescent="0.25"/>
    <row r="329" customFormat="1" ht="15" customHeight="1" x14ac:dyDescent="0.25"/>
    <row r="330" customFormat="1" ht="15" customHeight="1" x14ac:dyDescent="0.25"/>
    <row r="331" customFormat="1" ht="15" customHeight="1" x14ac:dyDescent="0.25"/>
    <row r="332" customFormat="1" ht="15" customHeight="1" x14ac:dyDescent="0.25"/>
    <row r="333" customFormat="1" ht="15" customHeight="1" x14ac:dyDescent="0.25"/>
    <row r="334" customFormat="1" ht="15" customHeight="1" x14ac:dyDescent="0.25"/>
    <row r="335" customFormat="1" ht="15" customHeight="1" x14ac:dyDescent="0.25"/>
    <row r="336" customFormat="1" ht="15" customHeight="1" x14ac:dyDescent="0.25"/>
    <row r="337" customFormat="1" ht="15" customHeight="1" x14ac:dyDescent="0.25"/>
    <row r="338" customFormat="1" ht="15" customHeight="1" x14ac:dyDescent="0.25"/>
    <row r="339" customFormat="1" ht="15" customHeight="1" x14ac:dyDescent="0.25"/>
    <row r="340" customFormat="1" ht="15" customHeight="1" x14ac:dyDescent="0.25"/>
    <row r="341" customFormat="1" ht="15" customHeight="1" x14ac:dyDescent="0.25"/>
    <row r="342" customFormat="1" ht="15" customHeight="1" x14ac:dyDescent="0.25"/>
    <row r="343" customFormat="1" ht="15" customHeight="1" x14ac:dyDescent="0.25"/>
    <row r="344" customFormat="1" ht="15" customHeight="1" x14ac:dyDescent="0.25"/>
    <row r="345" customFormat="1" ht="15" customHeight="1" x14ac:dyDescent="0.25"/>
    <row r="346" customFormat="1" ht="15" customHeight="1" x14ac:dyDescent="0.25"/>
    <row r="347" customFormat="1" ht="15" customHeight="1" x14ac:dyDescent="0.25"/>
    <row r="348" customFormat="1" ht="15" customHeight="1" x14ac:dyDescent="0.25"/>
    <row r="349" customFormat="1" ht="15" customHeight="1" x14ac:dyDescent="0.25"/>
    <row r="350" customFormat="1" ht="15" customHeight="1" x14ac:dyDescent="0.25"/>
    <row r="351" customFormat="1" ht="15" customHeight="1" x14ac:dyDescent="0.25"/>
    <row r="352" customFormat="1" ht="15" customHeight="1" x14ac:dyDescent="0.25"/>
    <row r="353" customFormat="1" ht="15" customHeight="1" x14ac:dyDescent="0.25"/>
    <row r="354" customFormat="1" ht="15" customHeight="1" x14ac:dyDescent="0.25"/>
    <row r="355" customFormat="1" ht="15" customHeight="1" x14ac:dyDescent="0.25"/>
    <row r="356" customFormat="1" ht="15" customHeight="1" x14ac:dyDescent="0.25"/>
    <row r="357" customFormat="1" ht="15" customHeight="1" x14ac:dyDescent="0.25"/>
    <row r="358" customFormat="1" ht="15" customHeight="1" x14ac:dyDescent="0.25"/>
    <row r="359" customFormat="1" ht="15" customHeight="1" x14ac:dyDescent="0.25"/>
    <row r="360" customFormat="1" ht="15" customHeight="1" x14ac:dyDescent="0.25"/>
    <row r="361" customFormat="1" ht="15" customHeight="1" x14ac:dyDescent="0.25"/>
    <row r="362" customFormat="1" ht="15" customHeight="1" x14ac:dyDescent="0.25"/>
    <row r="363" customFormat="1" ht="15" customHeight="1" x14ac:dyDescent="0.25"/>
    <row r="364" customFormat="1" ht="15" customHeight="1" x14ac:dyDescent="0.25"/>
    <row r="365" customFormat="1" ht="15" customHeight="1" x14ac:dyDescent="0.25"/>
    <row r="366" customFormat="1" ht="15" customHeight="1" x14ac:dyDescent="0.25"/>
    <row r="367" customFormat="1" ht="15" customHeight="1" x14ac:dyDescent="0.25"/>
    <row r="368" customFormat="1" ht="15" customHeight="1" x14ac:dyDescent="0.25"/>
    <row r="369" customFormat="1" ht="15" customHeight="1" x14ac:dyDescent="0.25"/>
    <row r="370" customFormat="1" ht="15" customHeight="1" x14ac:dyDescent="0.25"/>
    <row r="371" customFormat="1" ht="15" customHeight="1" x14ac:dyDescent="0.25"/>
    <row r="372" customFormat="1" ht="15" customHeight="1" x14ac:dyDescent="0.25"/>
    <row r="373" customFormat="1" ht="15" customHeight="1" x14ac:dyDescent="0.25"/>
    <row r="374" customFormat="1" ht="15" customHeight="1" x14ac:dyDescent="0.25"/>
    <row r="375" customFormat="1" ht="15" customHeight="1" x14ac:dyDescent="0.25"/>
    <row r="376" customFormat="1" ht="15" customHeight="1" x14ac:dyDescent="0.25"/>
    <row r="377" customFormat="1" ht="15" customHeight="1" x14ac:dyDescent="0.25"/>
    <row r="378" customFormat="1" ht="15" customHeight="1" x14ac:dyDescent="0.25"/>
    <row r="379" customFormat="1" ht="15" customHeight="1" x14ac:dyDescent="0.25"/>
    <row r="380" customFormat="1" ht="15" customHeight="1" x14ac:dyDescent="0.25"/>
    <row r="381" customFormat="1" ht="15" customHeight="1" x14ac:dyDescent="0.25"/>
    <row r="382" customFormat="1" ht="15" customHeight="1" x14ac:dyDescent="0.25"/>
    <row r="383" customFormat="1" ht="15" customHeight="1" x14ac:dyDescent="0.25"/>
    <row r="384" customFormat="1" ht="15" customHeight="1" x14ac:dyDescent="0.25"/>
    <row r="385" customFormat="1" ht="15" customHeight="1" x14ac:dyDescent="0.25"/>
    <row r="386" customFormat="1" ht="15" customHeight="1" x14ac:dyDescent="0.25"/>
    <row r="387" customFormat="1" ht="15" customHeight="1" x14ac:dyDescent="0.25"/>
    <row r="388" customFormat="1" ht="15" customHeight="1" x14ac:dyDescent="0.25"/>
    <row r="389" customFormat="1" ht="15" customHeight="1" x14ac:dyDescent="0.25"/>
    <row r="390" customFormat="1" ht="15" customHeight="1" x14ac:dyDescent="0.25"/>
    <row r="391" customFormat="1" ht="15" customHeight="1" x14ac:dyDescent="0.25"/>
    <row r="392" customFormat="1" ht="15" customHeight="1" x14ac:dyDescent="0.25"/>
    <row r="393" customFormat="1" ht="15" customHeight="1" x14ac:dyDescent="0.25"/>
    <row r="394" customFormat="1" ht="15" customHeight="1" x14ac:dyDescent="0.25"/>
    <row r="395" customFormat="1" ht="15" customHeight="1" x14ac:dyDescent="0.25"/>
    <row r="396" customFormat="1" ht="15" customHeight="1" x14ac:dyDescent="0.25"/>
    <row r="397" customFormat="1" ht="15" customHeight="1" x14ac:dyDescent="0.25"/>
    <row r="398" customFormat="1" ht="15" customHeight="1" x14ac:dyDescent="0.25"/>
    <row r="399" customFormat="1" ht="15" customHeight="1" x14ac:dyDescent="0.25"/>
    <row r="400" customFormat="1" ht="15" customHeight="1" x14ac:dyDescent="0.25"/>
    <row r="401" customFormat="1" ht="15" customHeight="1" x14ac:dyDescent="0.25"/>
    <row r="402" customFormat="1" ht="15" customHeight="1" x14ac:dyDescent="0.25"/>
    <row r="403" customFormat="1" ht="15" customHeight="1" x14ac:dyDescent="0.25"/>
    <row r="404" customFormat="1" ht="15" customHeight="1" x14ac:dyDescent="0.25"/>
    <row r="405" customFormat="1" ht="15" customHeight="1" x14ac:dyDescent="0.25"/>
    <row r="406" customFormat="1" ht="15" customHeight="1" x14ac:dyDescent="0.25"/>
    <row r="407" customFormat="1" ht="15" customHeight="1" x14ac:dyDescent="0.25"/>
    <row r="408" customFormat="1" ht="15" customHeight="1" x14ac:dyDescent="0.25"/>
    <row r="409" customFormat="1" ht="15" customHeight="1" x14ac:dyDescent="0.25"/>
    <row r="410" customFormat="1" ht="15" customHeight="1" x14ac:dyDescent="0.25"/>
    <row r="411" customFormat="1" ht="15" customHeight="1" x14ac:dyDescent="0.25"/>
    <row r="412" customFormat="1" ht="15" customHeight="1" x14ac:dyDescent="0.25"/>
    <row r="413" customFormat="1" ht="15" customHeight="1" x14ac:dyDescent="0.25"/>
    <row r="414" customFormat="1" ht="15" customHeight="1" x14ac:dyDescent="0.25"/>
    <row r="415" customFormat="1" ht="15" customHeight="1" x14ac:dyDescent="0.25"/>
    <row r="416" customFormat="1" ht="15" customHeight="1" x14ac:dyDescent="0.25"/>
    <row r="417" customFormat="1" ht="15" customHeight="1" x14ac:dyDescent="0.25"/>
    <row r="418" customFormat="1" ht="15" customHeight="1" x14ac:dyDescent="0.25"/>
    <row r="419" customFormat="1" ht="15" customHeight="1" x14ac:dyDescent="0.25"/>
    <row r="420" customFormat="1" ht="15" customHeight="1" x14ac:dyDescent="0.25"/>
    <row r="421" customFormat="1" ht="15" customHeight="1" x14ac:dyDescent="0.25"/>
    <row r="422" customFormat="1" ht="15" customHeight="1" x14ac:dyDescent="0.25"/>
    <row r="423" customFormat="1" ht="15" customHeight="1" x14ac:dyDescent="0.25"/>
    <row r="424" customFormat="1" ht="15" customHeight="1" x14ac:dyDescent="0.25"/>
    <row r="425" customFormat="1" ht="15" customHeight="1" x14ac:dyDescent="0.25"/>
    <row r="426" customFormat="1" ht="15" customHeight="1" x14ac:dyDescent="0.25"/>
    <row r="427" customFormat="1" ht="15" customHeight="1" x14ac:dyDescent="0.25"/>
    <row r="428" customFormat="1" ht="15" customHeight="1" x14ac:dyDescent="0.25"/>
    <row r="429" customFormat="1" ht="15" customHeight="1" x14ac:dyDescent="0.25"/>
    <row r="430" customFormat="1" ht="15" customHeight="1" x14ac:dyDescent="0.25"/>
    <row r="431" customFormat="1" ht="15" customHeight="1" x14ac:dyDescent="0.25"/>
    <row r="432" customFormat="1" ht="15" customHeight="1" x14ac:dyDescent="0.25"/>
    <row r="433" customFormat="1" ht="15" customHeight="1" x14ac:dyDescent="0.25"/>
    <row r="434" customFormat="1" ht="15" customHeight="1" x14ac:dyDescent="0.25"/>
    <row r="435" customFormat="1" ht="15" customHeight="1" x14ac:dyDescent="0.25"/>
    <row r="436" customFormat="1" ht="15" customHeight="1" x14ac:dyDescent="0.25"/>
    <row r="437" customFormat="1" ht="15" customHeight="1" x14ac:dyDescent="0.25"/>
    <row r="438" customFormat="1" ht="15" customHeight="1" x14ac:dyDescent="0.25"/>
    <row r="439" customFormat="1" ht="15" customHeight="1" x14ac:dyDescent="0.25"/>
    <row r="440" customFormat="1" ht="15" customHeight="1" x14ac:dyDescent="0.25"/>
    <row r="441" customFormat="1" ht="15" customHeight="1" x14ac:dyDescent="0.25"/>
    <row r="442" customFormat="1" ht="15" customHeight="1" x14ac:dyDescent="0.25"/>
    <row r="443" customFormat="1" ht="15" customHeight="1" x14ac:dyDescent="0.25"/>
    <row r="444" customFormat="1" ht="15" customHeight="1" x14ac:dyDescent="0.25"/>
    <row r="445" customFormat="1" ht="15" customHeight="1" x14ac:dyDescent="0.25"/>
    <row r="446" customFormat="1" ht="15" customHeight="1" x14ac:dyDescent="0.25"/>
    <row r="447" customFormat="1" ht="15" customHeight="1" x14ac:dyDescent="0.25"/>
    <row r="448" customFormat="1" ht="15" customHeight="1" x14ac:dyDescent="0.25"/>
    <row r="449" customFormat="1" ht="15" customHeight="1" x14ac:dyDescent="0.25"/>
    <row r="450" customFormat="1" ht="15" customHeight="1" x14ac:dyDescent="0.25"/>
    <row r="451" customFormat="1" ht="15" customHeight="1" x14ac:dyDescent="0.25"/>
    <row r="452" customFormat="1" ht="15" customHeight="1" x14ac:dyDescent="0.25"/>
    <row r="453" customFormat="1" ht="15" customHeight="1" x14ac:dyDescent="0.25"/>
    <row r="454" customFormat="1" ht="15" customHeight="1" x14ac:dyDescent="0.25"/>
    <row r="455" customFormat="1" ht="15" customHeight="1" x14ac:dyDescent="0.25"/>
    <row r="456" customFormat="1" ht="15" customHeight="1" x14ac:dyDescent="0.25"/>
    <row r="457" customFormat="1" ht="15" customHeight="1" x14ac:dyDescent="0.25"/>
    <row r="458" customFormat="1" ht="15" customHeight="1" x14ac:dyDescent="0.25"/>
    <row r="459" customFormat="1" ht="15" customHeight="1" x14ac:dyDescent="0.25"/>
    <row r="460" customFormat="1" ht="15" customHeight="1" x14ac:dyDescent="0.25"/>
    <row r="461" customFormat="1" ht="15" customHeight="1" x14ac:dyDescent="0.25"/>
    <row r="462" customFormat="1" ht="15" customHeight="1" x14ac:dyDescent="0.25"/>
    <row r="463" customFormat="1" ht="15" customHeight="1" x14ac:dyDescent="0.25"/>
    <row r="464" customFormat="1" ht="15" customHeight="1" x14ac:dyDescent="0.25"/>
    <row r="465" customFormat="1" ht="15" customHeight="1" x14ac:dyDescent="0.25"/>
    <row r="466" customFormat="1" ht="15" customHeight="1" x14ac:dyDescent="0.25"/>
    <row r="467" customFormat="1" ht="15" customHeight="1" x14ac:dyDescent="0.25"/>
    <row r="468" customFormat="1" ht="15" customHeight="1" x14ac:dyDescent="0.25"/>
    <row r="469" customFormat="1" ht="15" customHeight="1" x14ac:dyDescent="0.25"/>
    <row r="470" customFormat="1" ht="15" customHeight="1" x14ac:dyDescent="0.25"/>
    <row r="471" customFormat="1" ht="15" customHeight="1" x14ac:dyDescent="0.25"/>
    <row r="472" customFormat="1" ht="15" customHeight="1" x14ac:dyDescent="0.25"/>
    <row r="473" customFormat="1" ht="15" customHeight="1" x14ac:dyDescent="0.25"/>
    <row r="474" customFormat="1" ht="15" customHeight="1" x14ac:dyDescent="0.25"/>
    <row r="475" customFormat="1" ht="15" customHeight="1" x14ac:dyDescent="0.25"/>
    <row r="476" customFormat="1" ht="15" customHeight="1" x14ac:dyDescent="0.25"/>
    <row r="477" customFormat="1" ht="15" customHeight="1" x14ac:dyDescent="0.25"/>
    <row r="478" customFormat="1" ht="15" customHeight="1" x14ac:dyDescent="0.25"/>
    <row r="479" customFormat="1" ht="15" customHeight="1" x14ac:dyDescent="0.25"/>
    <row r="480" customFormat="1" ht="15" customHeight="1" x14ac:dyDescent="0.25"/>
    <row r="481" customFormat="1" ht="15" customHeight="1" x14ac:dyDescent="0.25"/>
    <row r="482" customFormat="1" ht="15" customHeight="1" x14ac:dyDescent="0.25"/>
    <row r="483" customFormat="1" ht="15" customHeight="1" x14ac:dyDescent="0.25"/>
    <row r="484" customFormat="1" ht="15" customHeight="1" x14ac:dyDescent="0.25"/>
    <row r="485" customFormat="1" ht="15" customHeight="1" x14ac:dyDescent="0.25"/>
    <row r="486" customFormat="1" ht="15" customHeight="1" x14ac:dyDescent="0.25"/>
    <row r="487" customFormat="1" ht="15" customHeight="1" x14ac:dyDescent="0.25"/>
    <row r="488" customFormat="1" ht="15" customHeight="1" x14ac:dyDescent="0.25"/>
    <row r="489" customFormat="1" ht="15" customHeight="1" x14ac:dyDescent="0.25"/>
    <row r="490" customFormat="1" ht="15" customHeight="1" x14ac:dyDescent="0.25"/>
    <row r="491" customFormat="1" ht="15" customHeight="1" x14ac:dyDescent="0.25"/>
    <row r="492" customFormat="1" ht="15" customHeight="1" x14ac:dyDescent="0.25"/>
    <row r="493" customFormat="1" ht="15" customHeight="1" x14ac:dyDescent="0.25"/>
    <row r="494" customFormat="1" ht="15" customHeight="1" x14ac:dyDescent="0.25"/>
    <row r="495" customFormat="1" ht="15" customHeight="1" x14ac:dyDescent="0.25"/>
    <row r="496" customFormat="1" ht="15" customHeight="1" x14ac:dyDescent="0.25"/>
    <row r="497" customFormat="1" ht="15" customHeight="1" x14ac:dyDescent="0.25"/>
    <row r="498" customFormat="1" ht="15" customHeight="1" x14ac:dyDescent="0.25"/>
    <row r="499" customFormat="1" ht="15" customHeight="1" x14ac:dyDescent="0.25"/>
    <row r="500" customFormat="1" ht="15" customHeight="1" x14ac:dyDescent="0.25"/>
    <row r="501" customFormat="1" ht="15" customHeight="1" x14ac:dyDescent="0.25"/>
    <row r="502" customFormat="1" ht="15" customHeight="1" x14ac:dyDescent="0.25"/>
    <row r="503" customFormat="1" ht="15" customHeight="1" x14ac:dyDescent="0.25"/>
    <row r="504" customFormat="1" ht="15" customHeight="1" x14ac:dyDescent="0.25"/>
    <row r="505" customFormat="1" ht="15" customHeight="1" x14ac:dyDescent="0.25"/>
    <row r="506" customFormat="1" ht="15" customHeight="1" x14ac:dyDescent="0.25"/>
    <row r="507" customFormat="1" ht="15" customHeight="1" x14ac:dyDescent="0.25"/>
    <row r="508" customFormat="1" ht="15" customHeight="1" x14ac:dyDescent="0.25"/>
    <row r="509" customFormat="1" ht="15" customHeight="1" x14ac:dyDescent="0.25"/>
    <row r="510" customFormat="1" ht="15" customHeight="1" x14ac:dyDescent="0.25"/>
    <row r="511" customFormat="1" ht="15" customHeight="1" x14ac:dyDescent="0.25"/>
    <row r="512" customFormat="1" ht="15" customHeight="1" x14ac:dyDescent="0.25"/>
    <row r="513" customFormat="1" ht="15" customHeight="1" x14ac:dyDescent="0.25"/>
    <row r="514" customFormat="1" ht="15" customHeight="1" x14ac:dyDescent="0.25"/>
    <row r="515" customFormat="1" ht="15" customHeight="1" x14ac:dyDescent="0.25"/>
    <row r="516" customFormat="1" ht="15" customHeight="1" x14ac:dyDescent="0.25"/>
    <row r="517" customFormat="1" ht="15" customHeight="1" x14ac:dyDescent="0.25"/>
    <row r="518" customFormat="1" ht="15" customHeight="1" x14ac:dyDescent="0.25"/>
    <row r="519" customFormat="1" ht="15" customHeight="1" x14ac:dyDescent="0.25"/>
    <row r="520" customFormat="1" ht="15" customHeight="1" x14ac:dyDescent="0.25"/>
    <row r="521" customFormat="1" ht="15" customHeight="1" x14ac:dyDescent="0.25"/>
    <row r="522" customFormat="1" ht="15" customHeight="1" x14ac:dyDescent="0.25"/>
    <row r="523" customFormat="1" ht="15" customHeight="1" x14ac:dyDescent="0.25"/>
    <row r="524" customFormat="1" ht="15" customHeight="1" x14ac:dyDescent="0.25"/>
    <row r="525" customFormat="1" ht="15" customHeight="1" x14ac:dyDescent="0.25"/>
    <row r="526" customFormat="1" ht="15" customHeight="1" x14ac:dyDescent="0.25"/>
    <row r="527" customFormat="1" ht="15" customHeight="1" x14ac:dyDescent="0.25"/>
    <row r="528" customFormat="1" ht="15" customHeight="1" x14ac:dyDescent="0.25"/>
    <row r="529" customFormat="1" ht="15" customHeight="1" x14ac:dyDescent="0.25"/>
    <row r="530" customFormat="1" ht="15" customHeight="1" x14ac:dyDescent="0.25"/>
    <row r="531" customFormat="1" ht="15" customHeight="1" x14ac:dyDescent="0.25"/>
    <row r="532" customFormat="1" ht="15" customHeight="1" x14ac:dyDescent="0.25"/>
    <row r="533" customFormat="1" ht="15" customHeight="1" x14ac:dyDescent="0.25"/>
    <row r="534" customFormat="1" ht="15" customHeight="1" x14ac:dyDescent="0.25"/>
    <row r="535" customFormat="1" ht="15" customHeight="1" x14ac:dyDescent="0.25"/>
    <row r="536" customFormat="1" ht="15" customHeight="1" x14ac:dyDescent="0.25"/>
    <row r="537" customFormat="1" ht="15" customHeight="1" x14ac:dyDescent="0.25"/>
    <row r="538" customFormat="1" ht="15" customHeight="1" x14ac:dyDescent="0.25"/>
    <row r="539" customFormat="1" ht="15" customHeight="1" x14ac:dyDescent="0.25"/>
    <row r="540" customFormat="1" ht="15" customHeight="1" x14ac:dyDescent="0.25"/>
    <row r="541" customFormat="1" ht="15" customHeight="1" x14ac:dyDescent="0.25"/>
    <row r="542" customFormat="1" ht="15" customHeight="1" x14ac:dyDescent="0.25"/>
    <row r="543" customFormat="1" ht="15" customHeight="1" x14ac:dyDescent="0.25"/>
    <row r="544" customFormat="1" ht="15" customHeight="1" x14ac:dyDescent="0.25"/>
    <row r="545" customFormat="1" ht="15" customHeight="1" x14ac:dyDescent="0.25"/>
    <row r="546" customFormat="1" ht="15" customHeight="1" x14ac:dyDescent="0.25"/>
    <row r="547" customFormat="1" ht="15" customHeight="1" x14ac:dyDescent="0.25"/>
    <row r="548" customFormat="1" ht="15" customHeight="1" x14ac:dyDescent="0.25"/>
    <row r="549" customFormat="1" ht="15" customHeight="1" x14ac:dyDescent="0.25"/>
    <row r="550" customFormat="1" ht="15" customHeight="1" x14ac:dyDescent="0.25"/>
    <row r="551" customFormat="1" ht="15" customHeight="1" x14ac:dyDescent="0.25"/>
    <row r="552" customFormat="1" ht="15" customHeight="1" x14ac:dyDescent="0.25"/>
    <row r="553" customFormat="1" ht="15" customHeight="1" x14ac:dyDescent="0.25"/>
    <row r="554" customFormat="1" ht="15" customHeight="1" x14ac:dyDescent="0.25"/>
    <row r="555" customFormat="1" ht="15" customHeight="1" x14ac:dyDescent="0.25"/>
    <row r="556" customFormat="1" ht="15" customHeight="1" x14ac:dyDescent="0.25"/>
    <row r="557" customFormat="1" ht="15" customHeight="1" x14ac:dyDescent="0.25"/>
    <row r="558" customFormat="1" ht="15" customHeight="1" x14ac:dyDescent="0.25"/>
    <row r="559" customFormat="1" ht="15" customHeight="1" x14ac:dyDescent="0.25"/>
    <row r="560" customFormat="1" ht="15" customHeight="1" x14ac:dyDescent="0.25"/>
    <row r="561" customFormat="1" ht="15" customHeight="1" x14ac:dyDescent="0.25"/>
    <row r="562" customFormat="1" ht="15" customHeight="1" x14ac:dyDescent="0.25"/>
    <row r="563" customFormat="1" ht="15" customHeight="1" x14ac:dyDescent="0.25"/>
    <row r="564" customFormat="1" ht="15" customHeight="1" x14ac:dyDescent="0.25"/>
    <row r="565" customFormat="1" ht="15" customHeight="1" x14ac:dyDescent="0.25"/>
    <row r="566" customFormat="1" ht="15" customHeight="1" x14ac:dyDescent="0.25"/>
    <row r="567" customFormat="1" ht="15" customHeight="1" x14ac:dyDescent="0.25"/>
    <row r="568" customFormat="1" ht="15" customHeight="1" x14ac:dyDescent="0.25"/>
    <row r="569" customFormat="1" ht="15" customHeight="1" x14ac:dyDescent="0.25"/>
    <row r="570" customFormat="1" ht="15" customHeight="1" x14ac:dyDescent="0.25"/>
    <row r="571" customFormat="1" ht="15" customHeight="1" x14ac:dyDescent="0.25"/>
    <row r="572" customFormat="1" ht="15" customHeight="1" x14ac:dyDescent="0.25"/>
    <row r="573" customFormat="1" ht="15" customHeight="1" x14ac:dyDescent="0.25"/>
    <row r="574" customFormat="1" ht="15" customHeight="1" x14ac:dyDescent="0.25"/>
    <row r="575" customFormat="1" ht="15" customHeight="1" x14ac:dyDescent="0.25"/>
    <row r="576" customFormat="1" ht="15" customHeight="1" x14ac:dyDescent="0.25"/>
    <row r="577" customFormat="1" ht="15" customHeight="1" x14ac:dyDescent="0.25"/>
    <row r="578" customFormat="1" ht="15" customHeight="1" x14ac:dyDescent="0.25"/>
    <row r="579" customFormat="1" ht="15" customHeight="1" x14ac:dyDescent="0.25"/>
    <row r="580" customFormat="1" ht="15" customHeight="1" x14ac:dyDescent="0.25"/>
    <row r="581" customFormat="1" ht="15" customHeight="1" x14ac:dyDescent="0.25"/>
    <row r="582" customFormat="1" ht="15" customHeight="1" x14ac:dyDescent="0.25"/>
    <row r="583" customFormat="1" ht="15" customHeight="1" x14ac:dyDescent="0.25"/>
    <row r="584" customFormat="1" ht="15" customHeight="1" x14ac:dyDescent="0.25"/>
    <row r="585" customFormat="1" ht="15" customHeight="1" x14ac:dyDescent="0.25"/>
    <row r="586" customFormat="1" ht="15" customHeight="1" x14ac:dyDescent="0.25"/>
    <row r="587" customFormat="1" ht="15" customHeight="1" x14ac:dyDescent="0.25"/>
    <row r="588" customFormat="1" ht="15" customHeight="1" x14ac:dyDescent="0.25"/>
    <row r="589" customFormat="1" ht="15" customHeight="1" x14ac:dyDescent="0.25"/>
    <row r="590" customFormat="1" ht="15" customHeight="1" x14ac:dyDescent="0.25"/>
    <row r="591" customFormat="1" ht="15" customHeight="1" x14ac:dyDescent="0.25"/>
    <row r="592" customFormat="1" ht="15" customHeight="1" x14ac:dyDescent="0.25"/>
    <row r="593" customFormat="1" ht="15" customHeight="1" x14ac:dyDescent="0.25"/>
    <row r="594" customFormat="1" ht="15" customHeight="1" x14ac:dyDescent="0.25"/>
    <row r="595" customFormat="1" ht="15" customHeight="1" x14ac:dyDescent="0.25"/>
    <row r="596" customFormat="1" ht="15" customHeight="1" x14ac:dyDescent="0.25"/>
    <row r="597" customFormat="1" ht="15" customHeight="1" x14ac:dyDescent="0.25"/>
    <row r="598" customFormat="1" ht="15" customHeight="1" x14ac:dyDescent="0.25"/>
    <row r="599" customFormat="1" ht="15" customHeight="1" x14ac:dyDescent="0.25"/>
    <row r="600" customFormat="1" ht="15" customHeight="1" x14ac:dyDescent="0.25"/>
    <row r="601" customFormat="1" ht="15" customHeight="1" x14ac:dyDescent="0.25"/>
    <row r="602" customFormat="1" ht="15" customHeight="1" x14ac:dyDescent="0.25"/>
    <row r="603" customFormat="1" ht="15" customHeight="1" x14ac:dyDescent="0.25"/>
    <row r="604" customFormat="1" ht="15" customHeight="1" x14ac:dyDescent="0.25"/>
    <row r="605" customFormat="1" ht="15" customHeight="1" x14ac:dyDescent="0.25"/>
    <row r="606" customFormat="1" ht="15" customHeight="1" x14ac:dyDescent="0.25"/>
    <row r="607" customFormat="1" ht="15" customHeight="1" x14ac:dyDescent="0.25"/>
    <row r="608" customFormat="1" ht="15" customHeight="1" x14ac:dyDescent="0.25"/>
    <row r="609" customFormat="1" ht="15" customHeight="1" x14ac:dyDescent="0.25"/>
    <row r="610" customFormat="1" ht="15" customHeight="1" x14ac:dyDescent="0.25"/>
    <row r="611" customFormat="1" ht="15" customHeight="1" x14ac:dyDescent="0.25"/>
    <row r="612" customFormat="1" ht="15" customHeight="1" x14ac:dyDescent="0.25"/>
    <row r="613" customFormat="1" ht="15" customHeight="1" x14ac:dyDescent="0.25"/>
    <row r="614" customFormat="1" ht="15" customHeight="1" x14ac:dyDescent="0.25"/>
    <row r="615" customFormat="1" ht="15" customHeight="1" x14ac:dyDescent="0.25"/>
    <row r="616" customFormat="1" ht="15" customHeight="1" x14ac:dyDescent="0.25"/>
    <row r="617" customFormat="1" ht="15" customHeight="1" x14ac:dyDescent="0.25"/>
    <row r="618" customFormat="1" ht="15" customHeight="1" x14ac:dyDescent="0.25"/>
    <row r="619" customFormat="1" ht="15" customHeight="1" x14ac:dyDescent="0.25"/>
    <row r="620" customFormat="1" ht="15" customHeight="1" x14ac:dyDescent="0.25"/>
    <row r="621" customFormat="1" ht="15" customHeight="1" x14ac:dyDescent="0.25"/>
    <row r="622" customFormat="1" ht="15" customHeight="1" x14ac:dyDescent="0.25"/>
    <row r="623" customFormat="1" ht="15" customHeight="1" x14ac:dyDescent="0.25"/>
    <row r="624" customFormat="1" ht="15" customHeight="1" x14ac:dyDescent="0.25"/>
    <row r="625" customFormat="1" ht="15" customHeight="1" x14ac:dyDescent="0.25"/>
    <row r="626" customFormat="1" ht="15" customHeight="1" x14ac:dyDescent="0.25"/>
    <row r="627" customFormat="1" ht="15" customHeight="1" x14ac:dyDescent="0.25"/>
    <row r="628" customFormat="1" ht="15" customHeight="1" x14ac:dyDescent="0.25"/>
    <row r="629" customFormat="1" ht="15" customHeight="1" x14ac:dyDescent="0.25"/>
    <row r="630" customFormat="1" ht="15" customHeight="1" x14ac:dyDescent="0.25"/>
    <row r="631" customFormat="1" ht="15" customHeight="1" x14ac:dyDescent="0.25"/>
    <row r="632" customFormat="1" ht="15" customHeight="1" x14ac:dyDescent="0.25"/>
    <row r="633" customFormat="1" ht="15" customHeight="1" x14ac:dyDescent="0.25"/>
    <row r="634" customFormat="1" ht="15" customHeight="1" x14ac:dyDescent="0.25"/>
    <row r="635" customFormat="1" ht="15" customHeight="1" x14ac:dyDescent="0.25"/>
    <row r="636" customFormat="1" ht="15" customHeight="1" x14ac:dyDescent="0.25"/>
    <row r="637" customFormat="1" ht="15" customHeight="1" x14ac:dyDescent="0.25"/>
    <row r="638" customFormat="1" ht="15" customHeight="1" x14ac:dyDescent="0.25"/>
    <row r="639" customFormat="1" ht="15" customHeight="1" x14ac:dyDescent="0.25"/>
    <row r="640" customFormat="1" ht="15" customHeight="1" x14ac:dyDescent="0.25"/>
    <row r="641" customFormat="1" ht="15" customHeight="1" x14ac:dyDescent="0.25"/>
    <row r="642" customFormat="1" ht="15" customHeight="1" x14ac:dyDescent="0.25"/>
    <row r="643" customFormat="1" ht="15" customHeight="1" x14ac:dyDescent="0.25"/>
    <row r="644" customFormat="1" ht="15" customHeight="1" x14ac:dyDescent="0.25"/>
    <row r="645" customFormat="1" ht="15" customHeight="1" x14ac:dyDescent="0.25"/>
    <row r="646" customFormat="1" ht="15" customHeight="1" x14ac:dyDescent="0.25"/>
    <row r="647" customFormat="1" ht="15" customHeight="1" x14ac:dyDescent="0.25"/>
    <row r="648" customFormat="1" ht="15" customHeight="1" x14ac:dyDescent="0.25"/>
    <row r="649" customFormat="1" ht="15" customHeight="1" x14ac:dyDescent="0.25"/>
    <row r="650" customFormat="1" ht="15" customHeight="1" x14ac:dyDescent="0.25"/>
    <row r="651" customFormat="1" ht="15" customHeight="1" x14ac:dyDescent="0.25"/>
    <row r="652" customFormat="1" ht="15" customHeight="1" x14ac:dyDescent="0.25"/>
    <row r="653" customFormat="1" ht="15" customHeight="1" x14ac:dyDescent="0.25"/>
    <row r="654" customFormat="1" ht="15" customHeight="1" x14ac:dyDescent="0.25"/>
    <row r="655" customFormat="1" ht="15" customHeight="1" x14ac:dyDescent="0.25"/>
    <row r="656" customFormat="1" ht="15" customHeight="1" x14ac:dyDescent="0.25"/>
    <row r="657" customFormat="1" ht="15" customHeight="1" x14ac:dyDescent="0.25"/>
    <row r="658" customFormat="1" ht="15" customHeight="1" x14ac:dyDescent="0.25"/>
    <row r="659" customFormat="1" ht="15" customHeight="1" x14ac:dyDescent="0.25"/>
    <row r="660" customFormat="1" ht="15" customHeight="1" x14ac:dyDescent="0.25"/>
    <row r="661" customFormat="1" ht="15" customHeight="1" x14ac:dyDescent="0.25"/>
    <row r="662" customFormat="1" ht="15" customHeight="1" x14ac:dyDescent="0.25"/>
    <row r="663" customFormat="1" ht="15" customHeight="1" x14ac:dyDescent="0.25"/>
    <row r="664" customFormat="1" ht="15" customHeight="1" x14ac:dyDescent="0.25"/>
    <row r="665" customFormat="1" ht="15" customHeight="1" x14ac:dyDescent="0.25"/>
    <row r="666" customFormat="1" ht="15" customHeight="1" x14ac:dyDescent="0.25"/>
    <row r="667" customFormat="1" ht="15" customHeight="1" x14ac:dyDescent="0.25"/>
    <row r="668" customFormat="1" ht="15" customHeight="1" x14ac:dyDescent="0.25"/>
    <row r="669" customFormat="1" ht="15" customHeight="1" x14ac:dyDescent="0.25"/>
    <row r="670" customFormat="1" ht="15" customHeight="1" x14ac:dyDescent="0.25"/>
    <row r="671" customFormat="1" ht="15" customHeight="1" x14ac:dyDescent="0.25"/>
    <row r="672" customFormat="1" ht="15" customHeight="1" x14ac:dyDescent="0.25"/>
    <row r="673" customFormat="1" ht="15" customHeight="1" x14ac:dyDescent="0.25"/>
    <row r="674" customFormat="1" ht="15" customHeight="1" x14ac:dyDescent="0.25"/>
    <row r="675" customFormat="1" ht="15" customHeight="1" x14ac:dyDescent="0.25"/>
    <row r="676" customFormat="1" ht="15" customHeight="1" x14ac:dyDescent="0.25"/>
    <row r="677" customFormat="1" ht="15" customHeight="1" x14ac:dyDescent="0.25"/>
    <row r="678" customFormat="1" ht="15" customHeight="1" x14ac:dyDescent="0.25"/>
    <row r="679" customFormat="1" ht="15" customHeight="1" x14ac:dyDescent="0.25"/>
    <row r="680" customFormat="1" ht="15" customHeight="1" x14ac:dyDescent="0.25"/>
    <row r="681" customFormat="1" ht="15" customHeight="1" x14ac:dyDescent="0.25"/>
    <row r="682" customFormat="1" ht="15" customHeight="1" x14ac:dyDescent="0.25"/>
    <row r="683" customFormat="1" ht="15" customHeight="1" x14ac:dyDescent="0.25"/>
    <row r="684" customFormat="1" ht="15" customHeight="1" x14ac:dyDescent="0.25"/>
    <row r="685" customFormat="1" ht="15" customHeight="1" x14ac:dyDescent="0.25"/>
    <row r="686" customFormat="1" ht="15" customHeight="1" x14ac:dyDescent="0.25"/>
    <row r="687" customFormat="1" ht="15" customHeight="1" x14ac:dyDescent="0.25"/>
    <row r="688" customFormat="1" ht="15" customHeight="1" x14ac:dyDescent="0.25"/>
    <row r="689" customFormat="1" ht="15" customHeight="1" x14ac:dyDescent="0.25"/>
    <row r="690" customFormat="1" ht="15" customHeight="1" x14ac:dyDescent="0.25"/>
    <row r="691" customFormat="1" ht="15" customHeight="1" x14ac:dyDescent="0.25"/>
    <row r="692" customFormat="1" ht="15" customHeight="1" x14ac:dyDescent="0.25"/>
    <row r="693" customFormat="1" ht="15" customHeight="1" x14ac:dyDescent="0.25"/>
    <row r="694" customFormat="1" ht="15" customHeight="1" x14ac:dyDescent="0.25"/>
    <row r="695" customFormat="1" ht="15" customHeight="1" x14ac:dyDescent="0.25"/>
    <row r="696" customFormat="1" ht="15" customHeight="1" x14ac:dyDescent="0.25"/>
    <row r="697" customFormat="1" ht="15" customHeight="1" x14ac:dyDescent="0.25"/>
    <row r="698" customFormat="1" ht="15" customHeight="1" x14ac:dyDescent="0.25"/>
    <row r="699" customFormat="1" ht="15" customHeight="1" x14ac:dyDescent="0.25"/>
    <row r="700" customFormat="1" ht="15" customHeight="1" x14ac:dyDescent="0.25"/>
    <row r="701" customFormat="1" ht="15" customHeight="1" x14ac:dyDescent="0.25"/>
    <row r="702" customFormat="1" ht="15" customHeight="1" x14ac:dyDescent="0.25"/>
    <row r="703" customFormat="1" ht="15" customHeight="1" x14ac:dyDescent="0.25"/>
    <row r="704" customFormat="1" ht="15" customHeight="1" x14ac:dyDescent="0.25"/>
    <row r="705" customFormat="1" ht="15" customHeight="1" x14ac:dyDescent="0.25"/>
    <row r="706" customFormat="1" ht="15" customHeight="1" x14ac:dyDescent="0.25"/>
    <row r="707" customFormat="1" ht="15" customHeight="1" x14ac:dyDescent="0.25"/>
    <row r="708" customFormat="1" ht="15" customHeight="1" x14ac:dyDescent="0.25"/>
    <row r="709" customFormat="1" ht="15" customHeight="1" x14ac:dyDescent="0.25"/>
    <row r="710" customFormat="1" ht="15" customHeight="1" x14ac:dyDescent="0.25"/>
    <row r="711" customFormat="1" ht="15" customHeight="1" x14ac:dyDescent="0.25"/>
    <row r="712" customFormat="1" ht="15" customHeight="1" x14ac:dyDescent="0.25"/>
    <row r="713" customFormat="1" ht="15" customHeight="1" x14ac:dyDescent="0.25"/>
    <row r="714" customFormat="1" ht="15" customHeight="1" x14ac:dyDescent="0.25"/>
    <row r="715" customFormat="1" ht="15" customHeight="1" x14ac:dyDescent="0.25"/>
    <row r="716" customFormat="1" ht="15" customHeight="1" x14ac:dyDescent="0.25"/>
    <row r="717" customFormat="1" ht="15" customHeight="1" x14ac:dyDescent="0.25"/>
    <row r="718" customFormat="1" ht="15" customHeight="1" x14ac:dyDescent="0.25"/>
    <row r="719" customFormat="1" ht="15" customHeight="1" x14ac:dyDescent="0.25"/>
    <row r="720" customFormat="1" ht="15" customHeight="1" x14ac:dyDescent="0.25"/>
    <row r="721" customFormat="1" ht="15" customHeight="1" x14ac:dyDescent="0.25"/>
    <row r="722" customFormat="1" ht="15" customHeight="1" x14ac:dyDescent="0.25"/>
    <row r="723" customFormat="1" ht="15" customHeight="1" x14ac:dyDescent="0.25"/>
    <row r="724" customFormat="1" ht="15" customHeight="1" x14ac:dyDescent="0.25"/>
    <row r="725" customFormat="1" ht="15" customHeight="1" x14ac:dyDescent="0.25"/>
    <row r="726" customFormat="1" ht="15" customHeight="1" x14ac:dyDescent="0.25"/>
    <row r="727" customFormat="1" ht="15" customHeight="1" x14ac:dyDescent="0.25"/>
    <row r="728" customFormat="1" ht="15" customHeight="1" x14ac:dyDescent="0.25"/>
    <row r="729" customFormat="1" ht="15" customHeight="1" x14ac:dyDescent="0.25"/>
    <row r="730" customFormat="1" ht="15" customHeight="1" x14ac:dyDescent="0.25"/>
    <row r="731" customFormat="1" ht="15" customHeight="1" x14ac:dyDescent="0.25"/>
    <row r="732" customFormat="1" ht="15" customHeight="1" x14ac:dyDescent="0.25"/>
    <row r="733" customFormat="1" ht="15" customHeight="1" x14ac:dyDescent="0.25"/>
    <row r="734" customFormat="1" ht="15" customHeight="1" x14ac:dyDescent="0.25"/>
    <row r="735" customFormat="1" ht="15" customHeight="1" x14ac:dyDescent="0.25"/>
    <row r="736" customFormat="1" ht="15" customHeight="1" x14ac:dyDescent="0.25"/>
    <row r="737" customFormat="1" ht="15" customHeight="1" x14ac:dyDescent="0.25"/>
    <row r="738" customFormat="1" ht="15" customHeight="1" x14ac:dyDescent="0.25"/>
    <row r="739" customFormat="1" ht="15" customHeight="1" x14ac:dyDescent="0.25"/>
    <row r="740" customFormat="1" ht="15" customHeight="1" x14ac:dyDescent="0.25"/>
    <row r="741" customFormat="1" ht="15" customHeight="1" x14ac:dyDescent="0.25"/>
    <row r="742" customFormat="1" ht="15" customHeight="1" x14ac:dyDescent="0.25"/>
    <row r="743" customFormat="1" ht="15" customHeight="1" x14ac:dyDescent="0.25"/>
    <row r="744" customFormat="1" ht="15" customHeight="1" x14ac:dyDescent="0.25"/>
    <row r="745" customFormat="1" ht="15" customHeight="1" x14ac:dyDescent="0.25"/>
    <row r="746" customFormat="1" ht="15" customHeight="1" x14ac:dyDescent="0.25"/>
    <row r="747" customFormat="1" ht="15" customHeight="1" x14ac:dyDescent="0.25"/>
    <row r="748" customFormat="1" ht="15" customHeight="1" x14ac:dyDescent="0.25"/>
    <row r="749" customFormat="1" ht="15" customHeight="1" x14ac:dyDescent="0.25"/>
    <row r="750" customFormat="1" ht="15" customHeight="1" x14ac:dyDescent="0.25"/>
    <row r="751" customFormat="1" ht="15" customHeight="1" x14ac:dyDescent="0.25"/>
    <row r="752" customFormat="1" ht="15" customHeight="1" x14ac:dyDescent="0.25"/>
    <row r="753" customFormat="1" ht="15" customHeight="1" x14ac:dyDescent="0.25"/>
    <row r="754" customFormat="1" ht="15" customHeight="1" x14ac:dyDescent="0.25"/>
    <row r="755" customFormat="1" ht="15" customHeight="1" x14ac:dyDescent="0.25"/>
    <row r="756" customFormat="1" ht="15" customHeight="1" x14ac:dyDescent="0.25"/>
    <row r="757" customFormat="1" ht="15" customHeight="1" x14ac:dyDescent="0.25"/>
    <row r="758" customFormat="1" ht="15" customHeight="1" x14ac:dyDescent="0.25"/>
    <row r="759" customFormat="1" ht="15" customHeight="1" x14ac:dyDescent="0.25"/>
    <row r="760" customFormat="1" ht="15" customHeight="1" x14ac:dyDescent="0.25"/>
    <row r="761" customFormat="1" ht="15" customHeight="1" x14ac:dyDescent="0.25"/>
    <row r="762" customFormat="1" ht="15" customHeight="1" x14ac:dyDescent="0.25"/>
    <row r="763" customFormat="1" ht="15" customHeight="1" x14ac:dyDescent="0.25"/>
    <row r="764" customFormat="1" ht="15" customHeight="1" x14ac:dyDescent="0.25"/>
    <row r="765" customFormat="1" ht="15" customHeight="1" x14ac:dyDescent="0.25"/>
    <row r="766" customFormat="1" ht="15" customHeight="1" x14ac:dyDescent="0.25"/>
    <row r="767" customFormat="1" ht="15" customHeight="1" x14ac:dyDescent="0.25"/>
    <row r="768" customFormat="1" ht="15" customHeight="1" x14ac:dyDescent="0.25"/>
    <row r="769" customFormat="1" ht="15" customHeight="1" x14ac:dyDescent="0.25"/>
    <row r="770" customFormat="1" ht="15" customHeight="1" x14ac:dyDescent="0.25"/>
    <row r="771" customFormat="1" ht="15" customHeight="1" x14ac:dyDescent="0.25"/>
    <row r="772" customFormat="1" ht="15" customHeight="1" x14ac:dyDescent="0.25"/>
    <row r="773" customFormat="1" ht="15" customHeight="1" x14ac:dyDescent="0.25"/>
    <row r="774" customFormat="1" ht="15" customHeight="1" x14ac:dyDescent="0.25"/>
    <row r="775" customFormat="1" ht="15" customHeight="1" x14ac:dyDescent="0.25"/>
    <row r="776" customFormat="1" ht="15" customHeight="1" x14ac:dyDescent="0.25"/>
    <row r="777" customFormat="1" ht="15" customHeight="1" x14ac:dyDescent="0.25"/>
    <row r="778" customFormat="1" ht="15" customHeight="1" x14ac:dyDescent="0.25"/>
    <row r="779" customFormat="1" ht="15" customHeight="1" x14ac:dyDescent="0.25"/>
    <row r="780" customFormat="1" ht="15" customHeight="1" x14ac:dyDescent="0.25"/>
    <row r="781" customFormat="1" ht="15" customHeight="1" x14ac:dyDescent="0.25"/>
    <row r="782" customFormat="1" ht="15" customHeight="1" x14ac:dyDescent="0.25"/>
    <row r="783" customFormat="1" ht="15" customHeight="1" x14ac:dyDescent="0.25"/>
    <row r="784" customFormat="1" ht="15" customHeight="1" x14ac:dyDescent="0.25"/>
    <row r="785" customFormat="1" ht="15" customHeight="1" x14ac:dyDescent="0.25"/>
    <row r="786" customFormat="1" ht="15" customHeight="1" x14ac:dyDescent="0.25"/>
    <row r="787" customFormat="1" ht="15" customHeight="1" x14ac:dyDescent="0.25"/>
    <row r="788" customFormat="1" ht="15" customHeight="1" x14ac:dyDescent="0.25"/>
    <row r="789" customFormat="1" ht="15" customHeight="1" x14ac:dyDescent="0.25"/>
    <row r="790" customFormat="1" ht="15" customHeight="1" x14ac:dyDescent="0.25"/>
    <row r="791" customFormat="1" ht="15" customHeight="1" x14ac:dyDescent="0.25"/>
    <row r="792" customFormat="1" ht="15" customHeight="1" x14ac:dyDescent="0.25"/>
    <row r="793" customFormat="1" ht="15" customHeight="1" x14ac:dyDescent="0.25"/>
    <row r="794" customFormat="1" ht="15" customHeight="1" x14ac:dyDescent="0.25"/>
    <row r="795" customFormat="1" ht="15" customHeight="1" x14ac:dyDescent="0.25"/>
    <row r="796" customFormat="1" ht="15" customHeight="1" x14ac:dyDescent="0.25"/>
    <row r="797" customFormat="1" ht="15" customHeight="1" x14ac:dyDescent="0.25"/>
    <row r="798" customFormat="1" ht="15" customHeight="1" x14ac:dyDescent="0.25"/>
    <row r="799" customFormat="1" ht="15" customHeight="1" x14ac:dyDescent="0.25"/>
    <row r="800" customFormat="1" ht="15" customHeight="1" x14ac:dyDescent="0.25"/>
    <row r="801" customFormat="1" ht="15" customHeight="1" x14ac:dyDescent="0.25"/>
    <row r="802" customFormat="1" ht="15" customHeight="1" x14ac:dyDescent="0.25"/>
    <row r="803" customFormat="1" ht="15" customHeight="1" x14ac:dyDescent="0.25"/>
    <row r="804" customFormat="1" ht="15" customHeight="1" x14ac:dyDescent="0.25"/>
    <row r="805" customFormat="1" ht="15" customHeight="1" x14ac:dyDescent="0.25"/>
    <row r="806" customFormat="1" ht="15" customHeight="1" x14ac:dyDescent="0.25"/>
    <row r="807" customFormat="1" ht="15" customHeight="1" x14ac:dyDescent="0.25"/>
    <row r="808" customFormat="1" ht="15" customHeight="1" x14ac:dyDescent="0.25"/>
    <row r="809" customFormat="1" ht="15" customHeight="1" x14ac:dyDescent="0.25"/>
    <row r="810" customFormat="1" ht="15" customHeight="1" x14ac:dyDescent="0.25"/>
    <row r="811" customFormat="1" ht="15" customHeight="1" x14ac:dyDescent="0.25"/>
    <row r="812" customFormat="1" ht="15" customHeight="1" x14ac:dyDescent="0.25"/>
    <row r="813" customFormat="1" ht="15" customHeight="1" x14ac:dyDescent="0.25"/>
    <row r="814" customFormat="1" ht="15" customHeight="1" x14ac:dyDescent="0.25"/>
    <row r="815" customFormat="1" ht="15" customHeight="1" x14ac:dyDescent="0.25"/>
    <row r="816" customFormat="1" ht="15" customHeight="1" x14ac:dyDescent="0.25"/>
    <row r="817" customFormat="1" ht="15" customHeight="1" x14ac:dyDescent="0.25"/>
    <row r="818" customFormat="1" ht="15" customHeight="1" x14ac:dyDescent="0.25"/>
    <row r="819" customFormat="1" ht="15" customHeight="1" x14ac:dyDescent="0.25"/>
    <row r="820" customFormat="1" ht="15" customHeight="1" x14ac:dyDescent="0.25"/>
    <row r="821" customFormat="1" ht="15" customHeight="1" x14ac:dyDescent="0.25"/>
    <row r="822" customFormat="1" ht="15" customHeight="1" x14ac:dyDescent="0.25"/>
    <row r="823" customFormat="1" ht="15" customHeight="1" x14ac:dyDescent="0.25"/>
    <row r="824" customFormat="1" ht="15" customHeight="1" x14ac:dyDescent="0.25"/>
    <row r="825" customFormat="1" ht="15" customHeight="1" x14ac:dyDescent="0.25"/>
    <row r="826" customFormat="1" ht="15" customHeight="1" x14ac:dyDescent="0.25"/>
    <row r="827" customFormat="1" ht="15" customHeight="1" x14ac:dyDescent="0.25"/>
    <row r="828" customFormat="1" ht="15" customHeight="1" x14ac:dyDescent="0.25"/>
    <row r="829" customFormat="1" ht="15" customHeight="1" x14ac:dyDescent="0.25"/>
    <row r="830" customFormat="1" ht="15" customHeight="1" x14ac:dyDescent="0.25"/>
    <row r="831" customFormat="1" ht="15" customHeight="1" x14ac:dyDescent="0.25"/>
    <row r="832" customFormat="1" ht="15" customHeight="1" x14ac:dyDescent="0.25"/>
    <row r="833" customFormat="1" ht="15" customHeight="1" x14ac:dyDescent="0.25"/>
    <row r="834" customFormat="1" ht="15" customHeight="1" x14ac:dyDescent="0.25"/>
    <row r="835" customFormat="1" ht="15" customHeight="1" x14ac:dyDescent="0.25"/>
    <row r="836" customFormat="1" ht="15" customHeight="1" x14ac:dyDescent="0.25"/>
    <row r="837" customFormat="1" ht="15" customHeight="1" x14ac:dyDescent="0.25"/>
    <row r="838" customFormat="1" ht="15" customHeight="1" x14ac:dyDescent="0.25"/>
    <row r="839" customFormat="1" ht="15" customHeight="1" x14ac:dyDescent="0.25"/>
    <row r="840" customFormat="1" ht="15" customHeight="1" x14ac:dyDescent="0.25"/>
    <row r="841" customFormat="1" ht="15" customHeight="1" x14ac:dyDescent="0.25"/>
    <row r="842" customFormat="1" ht="15" customHeight="1" x14ac:dyDescent="0.25"/>
    <row r="843" customFormat="1" ht="15" customHeight="1" x14ac:dyDescent="0.25"/>
    <row r="844" customFormat="1" ht="15" customHeight="1" x14ac:dyDescent="0.25"/>
    <row r="845" customFormat="1" ht="15" customHeight="1" x14ac:dyDescent="0.25"/>
    <row r="846" customFormat="1" ht="15" customHeight="1" x14ac:dyDescent="0.25"/>
    <row r="847" customFormat="1" ht="15" customHeight="1" x14ac:dyDescent="0.25"/>
    <row r="848" customFormat="1" ht="15" customHeight="1" x14ac:dyDescent="0.25"/>
    <row r="849" customFormat="1" ht="15" customHeight="1" x14ac:dyDescent="0.25"/>
    <row r="850" customFormat="1" ht="15" customHeight="1" x14ac:dyDescent="0.25"/>
    <row r="851" customFormat="1" ht="15" customHeight="1" x14ac:dyDescent="0.25"/>
    <row r="852" customFormat="1" ht="15" customHeight="1" x14ac:dyDescent="0.25"/>
    <row r="853" customFormat="1" ht="15" customHeight="1" x14ac:dyDescent="0.25"/>
    <row r="854" customFormat="1" ht="15" customHeight="1" x14ac:dyDescent="0.25"/>
    <row r="855" customFormat="1" ht="15" customHeight="1" x14ac:dyDescent="0.25"/>
    <row r="856" customFormat="1" ht="15" customHeight="1" x14ac:dyDescent="0.25"/>
    <row r="857" customFormat="1" ht="15" customHeight="1" x14ac:dyDescent="0.25"/>
    <row r="858" customFormat="1" ht="15" customHeight="1" x14ac:dyDescent="0.25"/>
    <row r="859" customFormat="1" ht="15" customHeight="1" x14ac:dyDescent="0.25"/>
    <row r="860" customFormat="1" ht="15" customHeight="1" x14ac:dyDescent="0.25"/>
    <row r="861" customFormat="1" ht="15" customHeight="1" x14ac:dyDescent="0.25"/>
    <row r="862" customFormat="1" ht="15" customHeight="1" x14ac:dyDescent="0.25"/>
    <row r="863" customFormat="1" ht="15" customHeight="1" x14ac:dyDescent="0.25"/>
    <row r="864" customFormat="1" ht="15" customHeight="1" x14ac:dyDescent="0.25"/>
    <row r="865" customFormat="1" ht="15" customHeight="1" x14ac:dyDescent="0.25"/>
    <row r="866" customFormat="1" ht="15" customHeight="1" x14ac:dyDescent="0.25"/>
    <row r="867" customFormat="1" ht="15" customHeight="1" x14ac:dyDescent="0.25"/>
    <row r="868" customFormat="1" ht="15" customHeight="1" x14ac:dyDescent="0.25"/>
    <row r="869" customFormat="1" ht="15" customHeight="1" x14ac:dyDescent="0.25"/>
    <row r="870" customFormat="1" ht="15" customHeight="1" x14ac:dyDescent="0.25"/>
    <row r="871" customFormat="1" ht="15" customHeight="1" x14ac:dyDescent="0.25"/>
    <row r="872" customFormat="1" ht="15" customHeight="1" x14ac:dyDescent="0.25"/>
    <row r="873" customFormat="1" ht="15" customHeight="1" x14ac:dyDescent="0.25"/>
    <row r="874" customFormat="1" ht="15" customHeight="1" x14ac:dyDescent="0.25"/>
    <row r="875" customFormat="1" ht="15" customHeight="1" x14ac:dyDescent="0.25"/>
    <row r="876" customFormat="1" ht="15" customHeight="1" x14ac:dyDescent="0.25"/>
    <row r="877" customFormat="1" ht="15" customHeight="1" x14ac:dyDescent="0.25"/>
    <row r="878" customFormat="1" ht="15" customHeight="1" x14ac:dyDescent="0.25"/>
    <row r="879" customFormat="1" ht="15" customHeight="1" x14ac:dyDescent="0.25"/>
    <row r="880" customFormat="1" ht="15" customHeight="1" x14ac:dyDescent="0.25"/>
    <row r="881" customFormat="1" ht="15" customHeight="1" x14ac:dyDescent="0.25"/>
    <row r="882" customFormat="1" ht="15" customHeight="1" x14ac:dyDescent="0.25"/>
    <row r="883" customFormat="1" ht="15" customHeight="1" x14ac:dyDescent="0.25"/>
    <row r="884" customFormat="1" ht="15" customHeight="1" x14ac:dyDescent="0.25"/>
    <row r="885" customFormat="1" ht="15" customHeight="1" x14ac:dyDescent="0.25"/>
    <row r="886" customFormat="1" ht="15" customHeight="1" x14ac:dyDescent="0.25"/>
    <row r="887" customFormat="1" ht="15" customHeight="1" x14ac:dyDescent="0.25"/>
    <row r="888" customFormat="1" ht="15" customHeight="1" x14ac:dyDescent="0.25"/>
    <row r="889" customFormat="1" ht="15" customHeight="1" x14ac:dyDescent="0.25"/>
    <row r="890" customFormat="1" ht="15" customHeight="1" x14ac:dyDescent="0.25"/>
    <row r="891" customFormat="1" ht="15" customHeight="1" x14ac:dyDescent="0.25"/>
    <row r="892" customFormat="1" ht="15" customHeight="1" x14ac:dyDescent="0.25"/>
    <row r="893" customFormat="1" ht="15" customHeight="1" x14ac:dyDescent="0.25"/>
    <row r="894" customFormat="1" ht="15" customHeight="1" x14ac:dyDescent="0.25"/>
    <row r="895" customFormat="1" ht="15" customHeight="1" x14ac:dyDescent="0.25"/>
    <row r="896" customFormat="1" ht="15" customHeight="1" x14ac:dyDescent="0.25"/>
    <row r="897" customFormat="1" ht="15" customHeight="1" x14ac:dyDescent="0.25"/>
    <row r="898" customFormat="1" ht="15" customHeight="1" x14ac:dyDescent="0.25"/>
    <row r="899" customFormat="1" ht="15" customHeight="1" x14ac:dyDescent="0.25"/>
    <row r="900" customFormat="1" ht="15" customHeight="1" x14ac:dyDescent="0.25"/>
    <row r="901" customFormat="1" ht="15" customHeight="1" x14ac:dyDescent="0.25"/>
    <row r="902" customFormat="1" ht="15" customHeight="1" x14ac:dyDescent="0.25"/>
    <row r="903" customFormat="1" ht="15" customHeight="1" x14ac:dyDescent="0.25"/>
    <row r="904" customFormat="1" ht="15" customHeight="1" x14ac:dyDescent="0.25"/>
    <row r="905" customFormat="1" ht="15" customHeight="1" x14ac:dyDescent="0.25"/>
    <row r="906" customFormat="1" ht="15" customHeight="1" x14ac:dyDescent="0.25"/>
    <row r="907" customFormat="1" ht="15" customHeight="1" x14ac:dyDescent="0.25"/>
    <row r="908" customFormat="1" ht="15" customHeight="1" x14ac:dyDescent="0.25"/>
    <row r="909" customFormat="1" ht="15" customHeight="1" x14ac:dyDescent="0.25"/>
    <row r="910" customFormat="1" ht="15" customHeight="1" x14ac:dyDescent="0.25"/>
    <row r="911" customFormat="1" ht="15" customHeight="1" x14ac:dyDescent="0.25"/>
    <row r="912" customFormat="1" ht="15" customHeight="1" x14ac:dyDescent="0.25"/>
    <row r="913" customFormat="1" ht="15" customHeight="1" x14ac:dyDescent="0.25"/>
    <row r="914" customFormat="1" ht="15" customHeight="1" x14ac:dyDescent="0.25"/>
    <row r="915" customFormat="1" ht="15" customHeight="1" x14ac:dyDescent="0.25"/>
    <row r="916" customFormat="1" ht="15" customHeight="1" x14ac:dyDescent="0.25"/>
    <row r="917" customFormat="1" ht="15" customHeight="1" x14ac:dyDescent="0.25"/>
    <row r="918" customFormat="1" ht="15" customHeight="1" x14ac:dyDescent="0.25"/>
    <row r="919" customFormat="1" ht="15" customHeight="1" x14ac:dyDescent="0.25"/>
    <row r="920" customFormat="1" ht="15" customHeight="1" x14ac:dyDescent="0.25"/>
    <row r="921" customFormat="1" ht="15" customHeight="1" x14ac:dyDescent="0.25"/>
    <row r="922" customFormat="1" ht="15" customHeight="1" x14ac:dyDescent="0.25"/>
    <row r="923" customFormat="1" ht="15" customHeight="1" x14ac:dyDescent="0.25"/>
    <row r="924" customFormat="1" ht="15" customHeight="1" x14ac:dyDescent="0.25"/>
    <row r="925" customFormat="1" ht="15" customHeight="1" x14ac:dyDescent="0.25"/>
    <row r="926" customFormat="1" ht="15" customHeight="1" x14ac:dyDescent="0.25"/>
    <row r="927" customFormat="1" ht="15" customHeight="1" x14ac:dyDescent="0.25"/>
    <row r="928" customFormat="1" ht="15" customHeight="1" x14ac:dyDescent="0.25"/>
    <row r="929" customFormat="1" ht="15" customHeight="1" x14ac:dyDescent="0.25"/>
    <row r="930" customFormat="1" ht="15" customHeight="1" x14ac:dyDescent="0.25"/>
    <row r="931" customFormat="1" ht="15" customHeight="1" x14ac:dyDescent="0.25"/>
    <row r="932" customFormat="1" ht="15" customHeight="1" x14ac:dyDescent="0.25"/>
    <row r="933" customFormat="1" ht="15" customHeight="1" x14ac:dyDescent="0.25"/>
    <row r="934" customFormat="1" ht="15" customHeight="1" x14ac:dyDescent="0.25"/>
    <row r="935" customFormat="1" ht="15" customHeight="1" x14ac:dyDescent="0.25"/>
    <row r="936" customFormat="1" ht="15" customHeight="1" x14ac:dyDescent="0.25"/>
    <row r="937" customFormat="1" ht="15" customHeight="1" x14ac:dyDescent="0.25"/>
    <row r="938" customFormat="1" ht="15" customHeight="1" x14ac:dyDescent="0.25"/>
    <row r="939" customFormat="1" ht="15" customHeight="1" x14ac:dyDescent="0.25"/>
    <row r="940" customFormat="1" ht="15" customHeight="1" x14ac:dyDescent="0.25"/>
    <row r="941" customFormat="1" ht="15" customHeight="1" x14ac:dyDescent="0.25"/>
    <row r="942" customFormat="1" ht="15" customHeight="1" x14ac:dyDescent="0.25"/>
    <row r="943" customFormat="1" ht="15" customHeight="1" x14ac:dyDescent="0.25"/>
    <row r="944" customFormat="1" ht="15" customHeight="1" x14ac:dyDescent="0.25"/>
    <row r="945" customFormat="1" ht="15" customHeight="1" x14ac:dyDescent="0.25"/>
    <row r="946" customFormat="1" ht="15" customHeight="1" x14ac:dyDescent="0.25"/>
    <row r="947" customFormat="1" ht="15" customHeight="1" x14ac:dyDescent="0.25"/>
    <row r="948" customFormat="1" ht="15" customHeight="1" x14ac:dyDescent="0.25"/>
    <row r="949" customFormat="1" ht="15" customHeight="1" x14ac:dyDescent="0.25"/>
    <row r="950" customFormat="1" ht="15" customHeight="1" x14ac:dyDescent="0.25"/>
    <row r="951" customFormat="1" ht="15" customHeight="1" x14ac:dyDescent="0.25"/>
    <row r="952" customFormat="1" ht="15" customHeight="1" x14ac:dyDescent="0.25"/>
    <row r="953" customFormat="1" ht="15" customHeight="1" x14ac:dyDescent="0.25"/>
    <row r="954" customFormat="1" ht="15" customHeight="1" x14ac:dyDescent="0.25"/>
    <row r="955" customFormat="1" ht="15" customHeight="1" x14ac:dyDescent="0.25"/>
    <row r="956" customFormat="1" ht="15" customHeight="1" x14ac:dyDescent="0.25"/>
    <row r="957" customFormat="1" ht="15" customHeight="1" x14ac:dyDescent="0.25"/>
    <row r="958" customFormat="1" ht="15" customHeight="1" x14ac:dyDescent="0.25"/>
    <row r="959" customFormat="1" ht="15" customHeight="1" x14ac:dyDescent="0.25"/>
    <row r="960" customFormat="1" ht="15" customHeight="1" x14ac:dyDescent="0.25"/>
    <row r="961" customFormat="1" ht="15" customHeight="1" x14ac:dyDescent="0.25"/>
    <row r="962" customFormat="1" ht="15" customHeight="1" x14ac:dyDescent="0.25"/>
    <row r="963" customFormat="1" ht="15" customHeight="1" x14ac:dyDescent="0.25"/>
    <row r="964" customFormat="1" ht="15" customHeight="1" x14ac:dyDescent="0.25"/>
    <row r="965" customFormat="1" ht="15" customHeight="1" x14ac:dyDescent="0.25"/>
    <row r="966" customFormat="1" ht="15" customHeight="1" x14ac:dyDescent="0.25"/>
    <row r="967" customFormat="1" ht="15" customHeight="1" x14ac:dyDescent="0.25"/>
    <row r="968" customFormat="1" ht="15" customHeight="1" x14ac:dyDescent="0.25"/>
    <row r="969" customFormat="1" ht="15" customHeight="1" x14ac:dyDescent="0.25"/>
    <row r="970" customFormat="1" ht="15" customHeight="1" x14ac:dyDescent="0.25"/>
    <row r="971" customFormat="1" ht="15" customHeight="1" x14ac:dyDescent="0.25"/>
    <row r="972" customFormat="1" ht="15" customHeight="1" x14ac:dyDescent="0.25"/>
    <row r="973" customFormat="1" ht="15" customHeight="1" x14ac:dyDescent="0.25"/>
    <row r="974" customFormat="1" ht="15" customHeight="1" x14ac:dyDescent="0.25"/>
    <row r="975" customFormat="1" ht="15" customHeight="1" x14ac:dyDescent="0.25"/>
    <row r="976" customFormat="1" ht="15" customHeight="1" x14ac:dyDescent="0.25"/>
    <row r="977" customFormat="1" ht="15" customHeight="1" x14ac:dyDescent="0.25"/>
    <row r="978" customFormat="1" ht="15" customHeight="1" x14ac:dyDescent="0.25"/>
    <row r="979" customFormat="1" ht="15" customHeight="1" x14ac:dyDescent="0.25"/>
    <row r="980" customFormat="1" ht="15" customHeight="1" x14ac:dyDescent="0.25"/>
    <row r="981" customFormat="1" ht="15" customHeight="1" x14ac:dyDescent="0.25"/>
    <row r="982" customFormat="1" ht="15" customHeight="1" x14ac:dyDescent="0.25"/>
    <row r="983" customFormat="1" ht="15" customHeight="1" x14ac:dyDescent="0.25"/>
    <row r="984" customFormat="1" ht="15" customHeight="1" x14ac:dyDescent="0.25"/>
    <row r="985" customFormat="1" ht="15" customHeight="1" x14ac:dyDescent="0.25"/>
    <row r="986" customFormat="1" ht="15" customHeight="1" x14ac:dyDescent="0.25"/>
    <row r="987" customFormat="1" ht="15" customHeight="1" x14ac:dyDescent="0.25"/>
    <row r="988" customFormat="1" ht="15" customHeight="1" x14ac:dyDescent="0.25"/>
    <row r="989" customFormat="1" ht="15" customHeight="1" x14ac:dyDescent="0.25"/>
    <row r="990" customFormat="1" ht="15" customHeight="1" x14ac:dyDescent="0.25"/>
    <row r="991" customFormat="1" ht="15" customHeight="1" x14ac:dyDescent="0.25"/>
    <row r="992" customFormat="1" ht="15" customHeight="1" x14ac:dyDescent="0.25"/>
    <row r="993" customFormat="1" ht="15" customHeight="1" x14ac:dyDescent="0.25"/>
    <row r="994" customFormat="1" ht="15" customHeight="1" x14ac:dyDescent="0.25"/>
    <row r="995" customFormat="1" ht="15" customHeight="1" x14ac:dyDescent="0.25"/>
    <row r="996" customFormat="1" ht="15" customHeight="1" x14ac:dyDescent="0.25"/>
    <row r="997" customFormat="1" ht="15" customHeight="1" x14ac:dyDescent="0.25"/>
    <row r="998" customFormat="1" ht="15" customHeight="1" x14ac:dyDescent="0.25"/>
    <row r="999" customFormat="1" ht="15" customHeight="1" x14ac:dyDescent="0.25"/>
    <row r="1000" customFormat="1" ht="15" customHeight="1" x14ac:dyDescent="0.25"/>
    <row r="1001" customFormat="1" ht="15" customHeight="1" x14ac:dyDescent="0.25"/>
    <row r="1002" customFormat="1" ht="15" customHeight="1" x14ac:dyDescent="0.25"/>
    <row r="1003" customFormat="1" ht="15" customHeight="1" x14ac:dyDescent="0.25"/>
    <row r="1004" customFormat="1" ht="15" customHeight="1" x14ac:dyDescent="0.25"/>
    <row r="1005" customFormat="1" ht="15" customHeight="1" x14ac:dyDescent="0.25"/>
    <row r="1006" customFormat="1" ht="15" customHeight="1" x14ac:dyDescent="0.25"/>
    <row r="1007" customFormat="1" ht="15" customHeight="1" x14ac:dyDescent="0.25"/>
    <row r="1008" customFormat="1" ht="15" customHeight="1" x14ac:dyDescent="0.25"/>
    <row r="1009" customFormat="1" ht="15" customHeight="1" x14ac:dyDescent="0.25"/>
    <row r="1010" customFormat="1" ht="15" customHeight="1" x14ac:dyDescent="0.25"/>
    <row r="1011" customFormat="1" ht="15" customHeight="1" x14ac:dyDescent="0.25"/>
    <row r="1012" customFormat="1" ht="15" customHeight="1" x14ac:dyDescent="0.25"/>
    <row r="1013" customFormat="1" ht="15" customHeight="1" x14ac:dyDescent="0.25"/>
    <row r="1014" customFormat="1" ht="15" customHeight="1" x14ac:dyDescent="0.25"/>
    <row r="1015" customFormat="1" ht="15" customHeight="1" x14ac:dyDescent="0.25"/>
    <row r="1016" customFormat="1" ht="15" customHeight="1" x14ac:dyDescent="0.25"/>
    <row r="1017" customFormat="1" ht="15" customHeight="1" x14ac:dyDescent="0.25"/>
    <row r="1018" customFormat="1" ht="15" customHeight="1" x14ac:dyDescent="0.25"/>
    <row r="1019" customFormat="1" ht="15" customHeight="1" x14ac:dyDescent="0.25"/>
    <row r="1020" customFormat="1" ht="15" customHeight="1" x14ac:dyDescent="0.25"/>
    <row r="1021" customFormat="1" ht="15" customHeight="1" x14ac:dyDescent="0.25"/>
    <row r="1022" customFormat="1" ht="15" customHeight="1" x14ac:dyDescent="0.25"/>
    <row r="1023" customFormat="1" ht="15" customHeight="1" x14ac:dyDescent="0.25"/>
    <row r="1024" customFormat="1" ht="15" customHeight="1" x14ac:dyDescent="0.25"/>
    <row r="1025" customFormat="1" ht="15" customHeight="1" x14ac:dyDescent="0.25"/>
    <row r="1026" customFormat="1" ht="15" customHeight="1" x14ac:dyDescent="0.25"/>
    <row r="1027" customFormat="1" ht="15" customHeight="1" x14ac:dyDescent="0.25"/>
    <row r="1028" customFormat="1" ht="15" customHeight="1" x14ac:dyDescent="0.25"/>
    <row r="1029" customFormat="1" ht="15" customHeight="1" x14ac:dyDescent="0.25"/>
    <row r="1030" customFormat="1" ht="15" customHeight="1" x14ac:dyDescent="0.25"/>
    <row r="1031" customFormat="1" ht="15" customHeight="1" x14ac:dyDescent="0.25"/>
    <row r="1032" customFormat="1" ht="15" customHeight="1" x14ac:dyDescent="0.25"/>
    <row r="1033" customFormat="1" ht="15" customHeight="1" x14ac:dyDescent="0.25"/>
    <row r="1034" customFormat="1" ht="15" customHeight="1" x14ac:dyDescent="0.25"/>
    <row r="1035" customFormat="1" ht="15" customHeight="1" x14ac:dyDescent="0.25"/>
    <row r="1036" customFormat="1" ht="15" customHeight="1" x14ac:dyDescent="0.25"/>
    <row r="1037" customFormat="1" ht="15" customHeight="1" x14ac:dyDescent="0.25"/>
    <row r="1038" customFormat="1" ht="15" customHeight="1" x14ac:dyDescent="0.25"/>
    <row r="1039" customFormat="1" ht="15" customHeight="1" x14ac:dyDescent="0.25"/>
    <row r="1040" customFormat="1" ht="15" customHeight="1" x14ac:dyDescent="0.25"/>
    <row r="1041" customFormat="1" ht="15" customHeight="1" x14ac:dyDescent="0.25"/>
    <row r="1042" customFormat="1" ht="15" customHeight="1" x14ac:dyDescent="0.25"/>
    <row r="1043" customFormat="1" ht="15" customHeight="1" x14ac:dyDescent="0.25"/>
    <row r="1044" customFormat="1" ht="15" customHeight="1" x14ac:dyDescent="0.25"/>
    <row r="1045" customFormat="1" ht="15" customHeight="1" x14ac:dyDescent="0.25"/>
    <row r="1046" customFormat="1" ht="15" customHeight="1" x14ac:dyDescent="0.25"/>
    <row r="1047" customFormat="1" ht="15" customHeight="1" x14ac:dyDescent="0.25"/>
    <row r="1048" customFormat="1" ht="15" customHeight="1" x14ac:dyDescent="0.25"/>
    <row r="1049" customFormat="1" ht="15" customHeight="1" x14ac:dyDescent="0.25"/>
    <row r="1050" customFormat="1" ht="15" customHeight="1" x14ac:dyDescent="0.25"/>
    <row r="1051" customFormat="1" ht="15" customHeight="1" x14ac:dyDescent="0.25"/>
    <row r="1052" customFormat="1" ht="15" customHeight="1" x14ac:dyDescent="0.25"/>
    <row r="1053" customFormat="1" ht="15" customHeight="1" x14ac:dyDescent="0.25"/>
    <row r="1054" customFormat="1" ht="15" customHeight="1" x14ac:dyDescent="0.25"/>
    <row r="1055" customFormat="1" ht="15" customHeight="1" x14ac:dyDescent="0.25"/>
    <row r="1056" customFormat="1" ht="15" customHeight="1" x14ac:dyDescent="0.25"/>
    <row r="1057" customFormat="1" ht="15" customHeight="1" x14ac:dyDescent="0.25"/>
    <row r="1058" customFormat="1" ht="15" customHeight="1" x14ac:dyDescent="0.25"/>
    <row r="1059" customFormat="1" ht="15" customHeight="1" x14ac:dyDescent="0.25"/>
    <row r="1060" customFormat="1" ht="15" customHeight="1" x14ac:dyDescent="0.25"/>
    <row r="1061" customFormat="1" ht="15" customHeight="1" x14ac:dyDescent="0.25"/>
    <row r="1062" customFormat="1" ht="15" customHeight="1" x14ac:dyDescent="0.25"/>
    <row r="1063" customFormat="1" ht="15" customHeight="1" x14ac:dyDescent="0.25"/>
    <row r="1064" customFormat="1" ht="15" customHeight="1" x14ac:dyDescent="0.25"/>
    <row r="1065" customFormat="1" ht="15" customHeight="1" x14ac:dyDescent="0.25"/>
    <row r="1066" customFormat="1" ht="15" customHeight="1" x14ac:dyDescent="0.25"/>
    <row r="1067" customFormat="1" ht="15" customHeight="1" x14ac:dyDescent="0.25"/>
    <row r="1068" customFormat="1" ht="15" customHeight="1" x14ac:dyDescent="0.25"/>
    <row r="1069" customFormat="1" ht="15" customHeight="1" x14ac:dyDescent="0.25"/>
    <row r="1070" customFormat="1" ht="15" customHeight="1" x14ac:dyDescent="0.25"/>
    <row r="1071" customFormat="1" ht="15" customHeight="1" x14ac:dyDescent="0.25"/>
    <row r="1072" customFormat="1" ht="15" customHeight="1" x14ac:dyDescent="0.25"/>
    <row r="1073" customFormat="1" ht="15" customHeight="1" x14ac:dyDescent="0.25"/>
    <row r="1074" customFormat="1" ht="15" customHeight="1" x14ac:dyDescent="0.25"/>
    <row r="1075" customFormat="1" ht="15" customHeight="1" x14ac:dyDescent="0.25"/>
    <row r="1076" customFormat="1" ht="15" customHeight="1" x14ac:dyDescent="0.25"/>
    <row r="1077" customFormat="1" ht="15" customHeight="1" x14ac:dyDescent="0.25"/>
    <row r="1078" customFormat="1" ht="15" customHeight="1" x14ac:dyDescent="0.25"/>
    <row r="1079" customFormat="1" ht="15" customHeight="1" x14ac:dyDescent="0.25"/>
    <row r="1080" customFormat="1" ht="15" customHeight="1" x14ac:dyDescent="0.25"/>
    <row r="1081" customFormat="1" ht="15" customHeight="1" x14ac:dyDescent="0.25"/>
    <row r="1082" customFormat="1" ht="15" customHeight="1" x14ac:dyDescent="0.25"/>
    <row r="1083" customFormat="1" ht="15" customHeight="1" x14ac:dyDescent="0.25"/>
    <row r="1084" customFormat="1" ht="15" customHeight="1" x14ac:dyDescent="0.25"/>
    <row r="1085" customFormat="1" ht="15" customHeight="1" x14ac:dyDescent="0.25"/>
    <row r="1086" customFormat="1" ht="15" customHeight="1" x14ac:dyDescent="0.25"/>
    <row r="1087" customFormat="1" ht="15" customHeight="1" x14ac:dyDescent="0.25"/>
    <row r="1088" customFormat="1" ht="15" customHeight="1" x14ac:dyDescent="0.25"/>
    <row r="1089" customFormat="1" ht="15" customHeight="1" x14ac:dyDescent="0.25"/>
    <row r="1090" customFormat="1" ht="15" customHeight="1" x14ac:dyDescent="0.25"/>
    <row r="1091" customFormat="1" ht="15" customHeight="1" x14ac:dyDescent="0.25"/>
    <row r="1092" customFormat="1" ht="15" customHeight="1" x14ac:dyDescent="0.25"/>
    <row r="1093" customFormat="1" ht="15" customHeight="1" x14ac:dyDescent="0.25"/>
    <row r="1094" customFormat="1" ht="15" customHeight="1" x14ac:dyDescent="0.25"/>
    <row r="1095" customFormat="1" ht="15" customHeight="1" x14ac:dyDescent="0.25"/>
    <row r="1096" customFormat="1" ht="15" customHeight="1" x14ac:dyDescent="0.25"/>
    <row r="1097" customFormat="1" ht="15" customHeight="1" x14ac:dyDescent="0.25"/>
    <row r="1098" customFormat="1" ht="15" customHeight="1" x14ac:dyDescent="0.25"/>
    <row r="1099" customFormat="1" ht="15" customHeight="1" x14ac:dyDescent="0.25"/>
    <row r="1100" customFormat="1" ht="15" customHeight="1" x14ac:dyDescent="0.25"/>
    <row r="1101" customFormat="1" ht="15" customHeight="1" x14ac:dyDescent="0.25"/>
    <row r="1102" customFormat="1" ht="15" customHeight="1" x14ac:dyDescent="0.25"/>
    <row r="1103" customFormat="1" ht="15" customHeight="1" x14ac:dyDescent="0.25"/>
    <row r="1104" customFormat="1" ht="15" customHeight="1" x14ac:dyDescent="0.25"/>
    <row r="1105" customFormat="1" ht="15" customHeight="1" x14ac:dyDescent="0.25"/>
    <row r="1106" customFormat="1" ht="15" customHeight="1" x14ac:dyDescent="0.25"/>
    <row r="1107" customFormat="1" ht="15" customHeight="1" x14ac:dyDescent="0.25"/>
    <row r="1108" customFormat="1" ht="15" customHeight="1" x14ac:dyDescent="0.25"/>
    <row r="1109" customFormat="1" ht="15" customHeight="1" x14ac:dyDescent="0.25"/>
    <row r="1110" customFormat="1" ht="15" customHeight="1" x14ac:dyDescent="0.25"/>
    <row r="1111" customFormat="1" ht="15" customHeight="1" x14ac:dyDescent="0.25"/>
    <row r="1112" customFormat="1" ht="15" customHeight="1" x14ac:dyDescent="0.25"/>
    <row r="1113" customFormat="1" ht="15" customHeight="1" x14ac:dyDescent="0.25"/>
    <row r="1114" customFormat="1" ht="15" customHeight="1" x14ac:dyDescent="0.25"/>
    <row r="1115" customFormat="1" ht="15" customHeight="1" x14ac:dyDescent="0.25"/>
    <row r="1116" customFormat="1" ht="15" customHeight="1" x14ac:dyDescent="0.25"/>
    <row r="1117" customFormat="1" ht="15" customHeight="1" x14ac:dyDescent="0.25"/>
    <row r="1118" customFormat="1" ht="15" customHeight="1" x14ac:dyDescent="0.25"/>
    <row r="1119" customFormat="1" ht="15" customHeight="1" x14ac:dyDescent="0.25"/>
    <row r="1120" customFormat="1" ht="15" customHeight="1" x14ac:dyDescent="0.25"/>
    <row r="1121" customFormat="1" ht="15" customHeight="1" x14ac:dyDescent="0.25"/>
    <row r="1122" customFormat="1" ht="15" customHeight="1" x14ac:dyDescent="0.25"/>
    <row r="1123" customFormat="1" ht="15" customHeight="1" x14ac:dyDescent="0.25"/>
    <row r="1124" customFormat="1" ht="15" customHeight="1" x14ac:dyDescent="0.25"/>
    <row r="1125" customFormat="1" ht="15" customHeight="1" x14ac:dyDescent="0.25"/>
    <row r="1126" customFormat="1" ht="15" customHeight="1" x14ac:dyDescent="0.25"/>
    <row r="1127" customFormat="1" ht="15" customHeight="1" x14ac:dyDescent="0.25"/>
    <row r="1128" customFormat="1" ht="15" customHeight="1" x14ac:dyDescent="0.25"/>
    <row r="1129" customFormat="1" ht="15" customHeight="1" x14ac:dyDescent="0.25"/>
    <row r="1130" customFormat="1" ht="15" customHeight="1" x14ac:dyDescent="0.25"/>
    <row r="1131" customFormat="1" ht="15" customHeight="1" x14ac:dyDescent="0.25"/>
    <row r="1132" customFormat="1" ht="15" customHeight="1" x14ac:dyDescent="0.25"/>
    <row r="1133" customFormat="1" ht="15" customHeight="1" x14ac:dyDescent="0.25"/>
    <row r="1134" customFormat="1" ht="15" customHeight="1" x14ac:dyDescent="0.25"/>
    <row r="1135" customFormat="1" ht="15" customHeight="1" x14ac:dyDescent="0.25"/>
    <row r="1136" customFormat="1" ht="15" customHeight="1" x14ac:dyDescent="0.25"/>
    <row r="1137" customFormat="1" ht="15" customHeight="1" x14ac:dyDescent="0.25"/>
    <row r="1138" customFormat="1" ht="15" customHeight="1" x14ac:dyDescent="0.25"/>
    <row r="1139" customFormat="1" ht="15" customHeight="1" x14ac:dyDescent="0.25"/>
    <row r="1140" customFormat="1" ht="15" customHeight="1" x14ac:dyDescent="0.25"/>
    <row r="1141" customFormat="1" ht="15" customHeight="1" x14ac:dyDescent="0.25"/>
    <row r="1142" customFormat="1" ht="15" customHeight="1" x14ac:dyDescent="0.25"/>
    <row r="1143" customFormat="1" ht="15" customHeight="1" x14ac:dyDescent="0.25"/>
    <row r="1144" customFormat="1" ht="15" customHeight="1" x14ac:dyDescent="0.25"/>
    <row r="1145" customFormat="1" ht="15" customHeight="1" x14ac:dyDescent="0.25"/>
    <row r="1146" customFormat="1" ht="15" customHeight="1" x14ac:dyDescent="0.25"/>
    <row r="1147" customFormat="1" ht="15" customHeight="1" x14ac:dyDescent="0.25"/>
    <row r="1148" customFormat="1" ht="15" customHeight="1" x14ac:dyDescent="0.25"/>
    <row r="1149" customFormat="1" ht="15" customHeight="1" x14ac:dyDescent="0.25"/>
    <row r="1150" customFormat="1" ht="15" customHeight="1" x14ac:dyDescent="0.25"/>
    <row r="1151" customFormat="1" ht="15" customHeight="1" x14ac:dyDescent="0.25"/>
    <row r="1152" customFormat="1" ht="15" customHeight="1" x14ac:dyDescent="0.25"/>
    <row r="1153" customFormat="1" ht="15" customHeight="1" x14ac:dyDescent="0.25"/>
    <row r="1154" customFormat="1" ht="15" customHeight="1" x14ac:dyDescent="0.25"/>
    <row r="1155" customFormat="1" ht="15" customHeight="1" x14ac:dyDescent="0.25"/>
    <row r="1156" customFormat="1" ht="15" customHeight="1" x14ac:dyDescent="0.25"/>
    <row r="1157" customFormat="1" ht="15" customHeight="1" x14ac:dyDescent="0.25"/>
    <row r="1158" customFormat="1" ht="15" customHeight="1" x14ac:dyDescent="0.25"/>
    <row r="1159" customFormat="1" ht="15" customHeight="1" x14ac:dyDescent="0.25"/>
    <row r="1160" customFormat="1" ht="15" customHeight="1" x14ac:dyDescent="0.25"/>
    <row r="1161" customFormat="1" ht="15" customHeight="1" x14ac:dyDescent="0.25"/>
    <row r="1162" customFormat="1" ht="15" customHeight="1" x14ac:dyDescent="0.25"/>
    <row r="1163" customFormat="1" ht="15" customHeight="1" x14ac:dyDescent="0.25"/>
    <row r="1164" customFormat="1" ht="15" customHeight="1" x14ac:dyDescent="0.25"/>
    <row r="1165" customFormat="1" ht="15" customHeight="1" x14ac:dyDescent="0.25"/>
    <row r="1166" customFormat="1" ht="15" customHeight="1" x14ac:dyDescent="0.25"/>
    <row r="1167" customFormat="1" ht="15" customHeight="1" x14ac:dyDescent="0.25"/>
    <row r="1168" customFormat="1" ht="15" customHeight="1" x14ac:dyDescent="0.25"/>
    <row r="1169" customFormat="1" ht="15" customHeight="1" x14ac:dyDescent="0.25"/>
    <row r="1170" customFormat="1" ht="15" customHeight="1" x14ac:dyDescent="0.25"/>
    <row r="1171" customFormat="1" ht="15" customHeight="1" x14ac:dyDescent="0.25"/>
    <row r="1172" customFormat="1" ht="15" customHeight="1" x14ac:dyDescent="0.25"/>
    <row r="1173" customFormat="1" ht="15" customHeight="1" x14ac:dyDescent="0.25"/>
    <row r="1174" customFormat="1" ht="15" customHeight="1" x14ac:dyDescent="0.25"/>
    <row r="1175" customFormat="1" ht="15" customHeight="1" x14ac:dyDescent="0.25"/>
    <row r="1176" customFormat="1" ht="15" customHeight="1" x14ac:dyDescent="0.25"/>
    <row r="1177" customFormat="1" ht="15" customHeight="1" x14ac:dyDescent="0.25"/>
    <row r="1178" customFormat="1" ht="15" customHeight="1" x14ac:dyDescent="0.25"/>
    <row r="1179" customFormat="1" ht="15" customHeight="1" x14ac:dyDescent="0.25"/>
    <row r="1180" customFormat="1" ht="15" customHeight="1" x14ac:dyDescent="0.25"/>
    <row r="1181" customFormat="1" ht="15" customHeight="1" x14ac:dyDescent="0.25"/>
    <row r="1182" customFormat="1" ht="15" customHeight="1" x14ac:dyDescent="0.25"/>
    <row r="1183" customFormat="1" ht="15" customHeight="1" x14ac:dyDescent="0.25"/>
    <row r="1184" customFormat="1" ht="15" customHeight="1" x14ac:dyDescent="0.25"/>
    <row r="1185" customFormat="1" ht="15" customHeight="1" x14ac:dyDescent="0.25"/>
    <row r="1186" customFormat="1" ht="15" customHeight="1" x14ac:dyDescent="0.25"/>
    <row r="1187" customFormat="1" ht="15" customHeight="1" x14ac:dyDescent="0.25"/>
    <row r="1188" customFormat="1" ht="15" customHeight="1" x14ac:dyDescent="0.25"/>
    <row r="1189" customFormat="1" ht="15" customHeight="1" x14ac:dyDescent="0.25"/>
    <row r="1190" customFormat="1" ht="15" customHeight="1" x14ac:dyDescent="0.25"/>
    <row r="1191" customFormat="1" ht="15" customHeight="1" x14ac:dyDescent="0.25"/>
    <row r="1192" customFormat="1" ht="15" customHeight="1" x14ac:dyDescent="0.25"/>
    <row r="1193" customFormat="1" ht="15" customHeight="1" x14ac:dyDescent="0.25"/>
    <row r="1194" customFormat="1" ht="15" customHeight="1" x14ac:dyDescent="0.25"/>
    <row r="1195" customFormat="1" ht="15" customHeight="1" x14ac:dyDescent="0.25"/>
    <row r="1196" customFormat="1" ht="15" customHeight="1" x14ac:dyDescent="0.25"/>
    <row r="1197" customFormat="1" ht="15" customHeight="1" x14ac:dyDescent="0.25"/>
    <row r="1198" customFormat="1" ht="15" customHeight="1" x14ac:dyDescent="0.25"/>
    <row r="1199" customFormat="1" ht="15" customHeight="1" x14ac:dyDescent="0.25"/>
    <row r="1200" customFormat="1" ht="15" customHeight="1" x14ac:dyDescent="0.25"/>
    <row r="1201" customFormat="1" ht="15" customHeight="1" x14ac:dyDescent="0.25"/>
    <row r="1202" customFormat="1" ht="15" customHeight="1" x14ac:dyDescent="0.25"/>
    <row r="1203" customFormat="1" ht="15" customHeight="1" x14ac:dyDescent="0.25"/>
    <row r="1204" customFormat="1" ht="15" customHeight="1" x14ac:dyDescent="0.25"/>
    <row r="1205" customFormat="1" ht="15" customHeight="1" x14ac:dyDescent="0.25"/>
    <row r="1206" customFormat="1" ht="15" customHeight="1" x14ac:dyDescent="0.25"/>
    <row r="1207" customFormat="1" ht="15" customHeight="1" x14ac:dyDescent="0.25"/>
    <row r="1208" customFormat="1" ht="15" customHeight="1" x14ac:dyDescent="0.25"/>
    <row r="1209" customFormat="1" ht="15" customHeight="1" x14ac:dyDescent="0.25"/>
    <row r="1210" customFormat="1" ht="15" customHeight="1" x14ac:dyDescent="0.25"/>
    <row r="1211" customFormat="1" ht="15" customHeight="1" x14ac:dyDescent="0.25"/>
    <row r="1212" customFormat="1" ht="15" customHeight="1" x14ac:dyDescent="0.25"/>
    <row r="1213" customFormat="1" ht="15" customHeight="1" x14ac:dyDescent="0.25"/>
    <row r="1214" customFormat="1" ht="15" customHeight="1" x14ac:dyDescent="0.25"/>
    <row r="1215" customFormat="1" ht="15" customHeight="1" x14ac:dyDescent="0.25"/>
    <row r="1216" customFormat="1" ht="15" customHeight="1" x14ac:dyDescent="0.25"/>
    <row r="1217" customFormat="1" ht="15" customHeight="1" x14ac:dyDescent="0.25"/>
    <row r="1218" customFormat="1" ht="15" customHeight="1" x14ac:dyDescent="0.25"/>
    <row r="1219" customFormat="1" ht="15" customHeight="1" x14ac:dyDescent="0.25"/>
    <row r="1220" customFormat="1" ht="15" customHeight="1" x14ac:dyDescent="0.25"/>
    <row r="1221" customFormat="1" ht="15" customHeight="1" x14ac:dyDescent="0.25"/>
    <row r="1222" customFormat="1" ht="15" customHeight="1" x14ac:dyDescent="0.25"/>
    <row r="1223" customFormat="1" ht="15" customHeight="1" x14ac:dyDescent="0.25"/>
    <row r="1224" customFormat="1" ht="15" customHeight="1" x14ac:dyDescent="0.25"/>
    <row r="1225" customFormat="1" ht="15" customHeight="1" x14ac:dyDescent="0.25"/>
    <row r="1226" customFormat="1" ht="15" customHeight="1" x14ac:dyDescent="0.25"/>
    <row r="1227" customFormat="1" ht="15" customHeight="1" x14ac:dyDescent="0.25"/>
    <row r="1228" customFormat="1" ht="15" customHeight="1" x14ac:dyDescent="0.25"/>
    <row r="1229" customFormat="1" ht="15" customHeight="1" x14ac:dyDescent="0.25"/>
    <row r="1230" customFormat="1" ht="15" customHeight="1" x14ac:dyDescent="0.25"/>
    <row r="1231" customFormat="1" ht="15" customHeight="1" x14ac:dyDescent="0.25"/>
    <row r="1232" customFormat="1" ht="15" customHeight="1" x14ac:dyDescent="0.25"/>
    <row r="1233" customFormat="1" ht="15" customHeight="1" x14ac:dyDescent="0.25"/>
    <row r="1234" customFormat="1" ht="15" customHeight="1" x14ac:dyDescent="0.25"/>
    <row r="1235" customFormat="1" ht="15" customHeight="1" x14ac:dyDescent="0.25"/>
    <row r="1236" customFormat="1" ht="15" customHeight="1" x14ac:dyDescent="0.25"/>
    <row r="1237" customFormat="1" ht="15" customHeight="1" x14ac:dyDescent="0.25"/>
    <row r="1238" customFormat="1" ht="15" customHeight="1" x14ac:dyDescent="0.25"/>
    <row r="1239" customFormat="1" ht="15" customHeight="1" x14ac:dyDescent="0.25"/>
    <row r="1240" customFormat="1" ht="15" customHeight="1" x14ac:dyDescent="0.25"/>
    <row r="1241" customFormat="1" ht="15" customHeight="1" x14ac:dyDescent="0.25"/>
    <row r="1242" customFormat="1" ht="15" customHeight="1" x14ac:dyDescent="0.25"/>
    <row r="1243" customFormat="1" ht="15" customHeight="1" x14ac:dyDescent="0.25"/>
    <row r="1244" customFormat="1" ht="15" customHeight="1" x14ac:dyDescent="0.25"/>
    <row r="1245" customFormat="1" ht="15" customHeight="1" x14ac:dyDescent="0.25"/>
    <row r="1246" customFormat="1" ht="15" customHeight="1" x14ac:dyDescent="0.25"/>
    <row r="1247" customFormat="1" ht="15" customHeight="1" x14ac:dyDescent="0.25"/>
    <row r="1248" customFormat="1" ht="15" customHeight="1" x14ac:dyDescent="0.25"/>
    <row r="1249" customFormat="1" ht="15" customHeight="1" x14ac:dyDescent="0.25"/>
    <row r="1250" customFormat="1" ht="15" customHeight="1" x14ac:dyDescent="0.25"/>
    <row r="1251" customFormat="1" ht="15" customHeight="1" x14ac:dyDescent="0.25"/>
    <row r="1252" customFormat="1" ht="15" customHeight="1" x14ac:dyDescent="0.25"/>
    <row r="1253" customFormat="1" ht="15" customHeight="1" x14ac:dyDescent="0.25"/>
    <row r="1254" customFormat="1" ht="15" customHeight="1" x14ac:dyDescent="0.25"/>
    <row r="1255" customFormat="1" ht="15" customHeight="1" x14ac:dyDescent="0.25"/>
    <row r="1256" customFormat="1" ht="15" customHeight="1" x14ac:dyDescent="0.25"/>
    <row r="1257" customFormat="1" ht="15" customHeight="1" x14ac:dyDescent="0.25"/>
    <row r="1258" customFormat="1" ht="15" customHeight="1" x14ac:dyDescent="0.25"/>
    <row r="1259" customFormat="1" ht="15" customHeight="1" x14ac:dyDescent="0.25"/>
    <row r="1260" customFormat="1" ht="15" customHeight="1" x14ac:dyDescent="0.25"/>
    <row r="1261" customFormat="1" ht="15" customHeight="1" x14ac:dyDescent="0.25"/>
    <row r="1262" customFormat="1" ht="15" customHeight="1" x14ac:dyDescent="0.25"/>
    <row r="1263" customFormat="1" ht="15" customHeight="1" x14ac:dyDescent="0.25"/>
    <row r="1264" customFormat="1" ht="15" customHeight="1" x14ac:dyDescent="0.25"/>
    <row r="1265" customFormat="1" ht="15" customHeight="1" x14ac:dyDescent="0.25"/>
    <row r="1266" customFormat="1" ht="15" customHeight="1" x14ac:dyDescent="0.25"/>
    <row r="1267" customFormat="1" ht="15" customHeight="1" x14ac:dyDescent="0.25"/>
    <row r="1268" customFormat="1" ht="15" customHeight="1" x14ac:dyDescent="0.25"/>
    <row r="1269" customFormat="1" ht="15" customHeight="1" x14ac:dyDescent="0.25"/>
    <row r="1270" customFormat="1" ht="15" customHeight="1" x14ac:dyDescent="0.25"/>
    <row r="1271" customFormat="1" ht="15" customHeight="1" x14ac:dyDescent="0.25"/>
    <row r="1272" customFormat="1" ht="15" customHeight="1" x14ac:dyDescent="0.25"/>
    <row r="1273" customFormat="1" ht="15" customHeight="1" x14ac:dyDescent="0.25"/>
    <row r="1274" customFormat="1" ht="15" customHeight="1" x14ac:dyDescent="0.25"/>
    <row r="1275" customFormat="1" ht="15" customHeight="1" x14ac:dyDescent="0.25"/>
    <row r="1276" customFormat="1" ht="15" customHeight="1" x14ac:dyDescent="0.25"/>
    <row r="1277" customFormat="1" ht="15" customHeight="1" x14ac:dyDescent="0.25"/>
    <row r="1278" customFormat="1" ht="15" customHeight="1" x14ac:dyDescent="0.25"/>
    <row r="1279" customFormat="1" ht="15" customHeight="1" x14ac:dyDescent="0.25"/>
    <row r="1280" customFormat="1" ht="15" customHeight="1" x14ac:dyDescent="0.25"/>
    <row r="1281" customFormat="1" ht="15" customHeight="1" x14ac:dyDescent="0.25"/>
    <row r="1282" customFormat="1" ht="15" customHeight="1" x14ac:dyDescent="0.25"/>
    <row r="1283" customFormat="1" ht="15" customHeight="1" x14ac:dyDescent="0.25"/>
    <row r="1284" customFormat="1" ht="15" customHeight="1" x14ac:dyDescent="0.25"/>
    <row r="1285" customFormat="1" ht="15" customHeight="1" x14ac:dyDescent="0.25"/>
    <row r="1286" customFormat="1" ht="15" customHeight="1" x14ac:dyDescent="0.25"/>
    <row r="1287" customFormat="1" ht="15" customHeight="1" x14ac:dyDescent="0.25"/>
    <row r="1288" customFormat="1" ht="15" customHeight="1" x14ac:dyDescent="0.25"/>
    <row r="1289" customFormat="1" ht="15" customHeight="1" x14ac:dyDescent="0.25"/>
    <row r="1290" customFormat="1" ht="15" customHeight="1" x14ac:dyDescent="0.25"/>
    <row r="1291" customFormat="1" ht="15" customHeight="1" x14ac:dyDescent="0.25"/>
    <row r="1292" customFormat="1" ht="15" customHeight="1" x14ac:dyDescent="0.25"/>
    <row r="1293" customFormat="1" ht="15" customHeight="1" x14ac:dyDescent="0.25"/>
    <row r="1294" customFormat="1" ht="15" customHeight="1" x14ac:dyDescent="0.25"/>
    <row r="1295" customFormat="1" ht="15" customHeight="1" x14ac:dyDescent="0.25"/>
    <row r="1296" customFormat="1" ht="15" customHeight="1" x14ac:dyDescent="0.25"/>
    <row r="1297" customFormat="1" ht="15" customHeight="1" x14ac:dyDescent="0.25"/>
    <row r="1298" customFormat="1" ht="15" customHeight="1" x14ac:dyDescent="0.25"/>
    <row r="1299" customFormat="1" ht="15" customHeight="1" x14ac:dyDescent="0.25"/>
    <row r="1300" customFormat="1" ht="15" customHeight="1" x14ac:dyDescent="0.25"/>
    <row r="1301" customFormat="1" ht="15" customHeight="1" x14ac:dyDescent="0.25"/>
    <row r="1302" customFormat="1" ht="15" customHeight="1" x14ac:dyDescent="0.25"/>
    <row r="1303" customFormat="1" ht="15" customHeight="1" x14ac:dyDescent="0.25"/>
    <row r="1304" customFormat="1" ht="15" customHeight="1" x14ac:dyDescent="0.25"/>
    <row r="1305" customFormat="1" ht="15" customHeight="1" x14ac:dyDescent="0.25"/>
    <row r="1306" customFormat="1" ht="15" customHeight="1" x14ac:dyDescent="0.25"/>
    <row r="1307" customFormat="1" ht="15" customHeight="1" x14ac:dyDescent="0.25"/>
    <row r="1308" customFormat="1" ht="15" customHeight="1" x14ac:dyDescent="0.25"/>
    <row r="1309" customFormat="1" ht="15" customHeight="1" x14ac:dyDescent="0.25"/>
    <row r="1310" customFormat="1" ht="15" customHeight="1" x14ac:dyDescent="0.25"/>
    <row r="1311" customFormat="1" ht="15" customHeight="1" x14ac:dyDescent="0.25"/>
    <row r="1312" customFormat="1" ht="15" customHeight="1" x14ac:dyDescent="0.25"/>
    <row r="1313" customFormat="1" ht="15" customHeight="1" x14ac:dyDescent="0.25"/>
    <row r="1314" customFormat="1" ht="15" customHeight="1" x14ac:dyDescent="0.25"/>
    <row r="1315" customFormat="1" ht="15" customHeight="1" x14ac:dyDescent="0.25"/>
    <row r="1316" customFormat="1" ht="15" customHeight="1" x14ac:dyDescent="0.25"/>
    <row r="1317" customFormat="1" ht="15" customHeight="1" x14ac:dyDescent="0.25"/>
    <row r="1318" customFormat="1" ht="15" customHeight="1" x14ac:dyDescent="0.25"/>
    <row r="1319" customFormat="1" ht="15" customHeight="1" x14ac:dyDescent="0.25"/>
    <row r="1320" customFormat="1" ht="15" customHeight="1" x14ac:dyDescent="0.25"/>
    <row r="1321" customFormat="1" ht="15" customHeight="1" x14ac:dyDescent="0.25"/>
    <row r="1322" customFormat="1" ht="15" customHeight="1" x14ac:dyDescent="0.25"/>
    <row r="1323" customFormat="1" ht="15" customHeight="1" x14ac:dyDescent="0.25"/>
    <row r="1324" customFormat="1" ht="15" customHeight="1" x14ac:dyDescent="0.25"/>
    <row r="1325" customFormat="1" ht="15" customHeight="1" x14ac:dyDescent="0.25"/>
    <row r="1326" customFormat="1" ht="15" customHeight="1" x14ac:dyDescent="0.25"/>
    <row r="1327" customFormat="1" ht="15" customHeight="1" x14ac:dyDescent="0.25"/>
    <row r="1328" customFormat="1" ht="15" customHeight="1" x14ac:dyDescent="0.25"/>
    <row r="1329" customFormat="1" ht="15" customHeight="1" x14ac:dyDescent="0.25"/>
    <row r="1330" customFormat="1" ht="15" customHeight="1" x14ac:dyDescent="0.25"/>
    <row r="1331" customFormat="1" ht="15" customHeight="1" x14ac:dyDescent="0.25"/>
    <row r="1332" customFormat="1" ht="15" customHeight="1" x14ac:dyDescent="0.25"/>
    <row r="1333" customFormat="1" ht="15" customHeight="1" x14ac:dyDescent="0.25"/>
    <row r="1334" customFormat="1" ht="15" customHeight="1" x14ac:dyDescent="0.25"/>
    <row r="1335" customFormat="1" ht="15" customHeight="1" x14ac:dyDescent="0.25"/>
    <row r="1336" customFormat="1" ht="15" customHeight="1" x14ac:dyDescent="0.25"/>
    <row r="1337" customFormat="1" ht="15" customHeight="1" x14ac:dyDescent="0.25"/>
    <row r="1338" customFormat="1" ht="15" customHeight="1" x14ac:dyDescent="0.25"/>
    <row r="1339" customFormat="1" ht="15" customHeight="1" x14ac:dyDescent="0.25"/>
    <row r="1340" customFormat="1" ht="15" customHeight="1" x14ac:dyDescent="0.25"/>
    <row r="1341" customFormat="1" ht="15" customHeight="1" x14ac:dyDescent="0.25"/>
    <row r="1342" customFormat="1" ht="15" customHeight="1" x14ac:dyDescent="0.25"/>
    <row r="1343" customFormat="1" ht="15" customHeight="1" x14ac:dyDescent="0.25"/>
    <row r="1344" customFormat="1" ht="15" customHeight="1" x14ac:dyDescent="0.25"/>
    <row r="1345" customFormat="1" ht="15" customHeight="1" x14ac:dyDescent="0.25"/>
    <row r="1346" customFormat="1" ht="15" customHeight="1" x14ac:dyDescent="0.25"/>
    <row r="1347" customFormat="1" ht="15" customHeight="1" x14ac:dyDescent="0.25"/>
    <row r="1348" customFormat="1" ht="15" customHeight="1" x14ac:dyDescent="0.25"/>
    <row r="1349" customFormat="1" ht="15" customHeight="1" x14ac:dyDescent="0.25"/>
    <row r="1350" customFormat="1" ht="15" customHeight="1" x14ac:dyDescent="0.25"/>
    <row r="1351" customFormat="1" ht="15" customHeight="1" x14ac:dyDescent="0.25"/>
    <row r="1352" customFormat="1" ht="15" customHeight="1" x14ac:dyDescent="0.25"/>
    <row r="1353" customFormat="1" ht="15" customHeight="1" x14ac:dyDescent="0.25"/>
    <row r="1354" customFormat="1" ht="15" customHeight="1" x14ac:dyDescent="0.25"/>
    <row r="1355" customFormat="1" ht="15" customHeight="1" x14ac:dyDescent="0.25"/>
    <row r="1356" customFormat="1" ht="15" customHeight="1" x14ac:dyDescent="0.25"/>
    <row r="1357" customFormat="1" ht="15" customHeight="1" x14ac:dyDescent="0.25"/>
    <row r="1358" customFormat="1" ht="15" customHeight="1" x14ac:dyDescent="0.25"/>
    <row r="1359" customFormat="1" ht="15" customHeight="1" x14ac:dyDescent="0.25"/>
    <row r="1360" customFormat="1" ht="15" customHeight="1" x14ac:dyDescent="0.25"/>
    <row r="1361" customFormat="1" ht="15" customHeight="1" x14ac:dyDescent="0.25"/>
    <row r="1362" customFormat="1" ht="15" customHeight="1" x14ac:dyDescent="0.25"/>
    <row r="1363" customFormat="1" ht="15" customHeight="1" x14ac:dyDescent="0.25"/>
    <row r="1364" customFormat="1" ht="15" customHeight="1" x14ac:dyDescent="0.25"/>
    <row r="1365" customFormat="1" ht="15" customHeight="1" x14ac:dyDescent="0.25"/>
    <row r="1366" customFormat="1" ht="15" customHeight="1" x14ac:dyDescent="0.25"/>
    <row r="1367" customFormat="1" ht="15" customHeight="1" x14ac:dyDescent="0.25"/>
    <row r="1368" customFormat="1" ht="15" customHeight="1" x14ac:dyDescent="0.25"/>
    <row r="1369" customFormat="1" ht="15" customHeight="1" x14ac:dyDescent="0.25"/>
    <row r="1370" customFormat="1" ht="15" customHeight="1" x14ac:dyDescent="0.25"/>
    <row r="1371" customFormat="1" ht="15" customHeight="1" x14ac:dyDescent="0.25"/>
    <row r="1372" customFormat="1" ht="15" customHeight="1" x14ac:dyDescent="0.25"/>
    <row r="1373" customFormat="1" ht="15" customHeight="1" x14ac:dyDescent="0.25"/>
    <row r="1374" customFormat="1" ht="15" customHeight="1" x14ac:dyDescent="0.25"/>
    <row r="1375" customFormat="1" ht="15" customHeight="1" x14ac:dyDescent="0.25"/>
    <row r="1376" customFormat="1" ht="15" customHeight="1" x14ac:dyDescent="0.25"/>
    <row r="1377" customFormat="1" ht="15" customHeight="1" x14ac:dyDescent="0.25"/>
    <row r="1378" customFormat="1" ht="15" customHeight="1" x14ac:dyDescent="0.25"/>
    <row r="1379" customFormat="1" ht="15" customHeight="1" x14ac:dyDescent="0.25"/>
    <row r="1380" customFormat="1" ht="15" customHeight="1" x14ac:dyDescent="0.25"/>
    <row r="1381" customFormat="1" ht="15" customHeight="1" x14ac:dyDescent="0.25"/>
    <row r="1382" customFormat="1" ht="15" customHeight="1" x14ac:dyDescent="0.25"/>
    <row r="1383" customFormat="1" ht="15" customHeight="1" x14ac:dyDescent="0.25"/>
    <row r="1384" customFormat="1" ht="15" customHeight="1" x14ac:dyDescent="0.25"/>
    <row r="1385" customFormat="1" ht="15" customHeight="1" x14ac:dyDescent="0.25"/>
    <row r="1386" customFormat="1" ht="15" customHeight="1" x14ac:dyDescent="0.25"/>
    <row r="1387" customFormat="1" ht="15" customHeight="1" x14ac:dyDescent="0.25"/>
    <row r="1388" customFormat="1" ht="15" customHeight="1" x14ac:dyDescent="0.25"/>
    <row r="1389" customFormat="1" ht="15" customHeight="1" x14ac:dyDescent="0.25"/>
    <row r="1390" customFormat="1" ht="15" customHeight="1" x14ac:dyDescent="0.25"/>
    <row r="1391" customFormat="1" ht="15" customHeight="1" x14ac:dyDescent="0.25"/>
    <row r="1392" customFormat="1" ht="15" customHeight="1" x14ac:dyDescent="0.25"/>
    <row r="1393" customFormat="1" ht="15" customHeight="1" x14ac:dyDescent="0.25"/>
    <row r="1394" customFormat="1" ht="15" customHeight="1" x14ac:dyDescent="0.25"/>
    <row r="1395" customFormat="1" ht="15" customHeight="1" x14ac:dyDescent="0.25"/>
    <row r="1396" customFormat="1" ht="15" customHeight="1" x14ac:dyDescent="0.25"/>
    <row r="1397" customFormat="1" ht="15" customHeight="1" x14ac:dyDescent="0.25"/>
    <row r="1398" customFormat="1" ht="15" customHeight="1" x14ac:dyDescent="0.25"/>
    <row r="1399" customFormat="1" ht="15" customHeight="1" x14ac:dyDescent="0.25"/>
  </sheetData>
  <mergeCells count="4">
    <mergeCell ref="B2:AF2"/>
    <mergeCell ref="A11:AG11"/>
    <mergeCell ref="A2:A3"/>
    <mergeCell ref="AG2:AG3"/>
  </mergeCells>
  <conditionalFormatting sqref="B5:AF9">
    <cfRule type="expression" priority="1" stopIfTrue="1">
      <formula>B5=""</formula>
    </cfRule>
    <cfRule type="expression" dxfId="841" priority="2" stopIfTrue="1">
      <formula>B5=KeyCustom2</formula>
    </cfRule>
    <cfRule type="expression" dxfId="840" priority="3" stopIfTrue="1">
      <formula>B5=KeyCustom1</formula>
    </cfRule>
    <cfRule type="expression" dxfId="839" priority="4" stopIfTrue="1">
      <formula>B5=KeySick</formula>
    </cfRule>
    <cfRule type="expression" dxfId="838" priority="5" stopIfTrue="1">
      <formula>B5=KeyPersonal</formula>
    </cfRule>
    <cfRule type="expression" dxfId="837" priority="6" stopIfTrue="1">
      <formula>B5=KeyVacation</formula>
    </cfRule>
  </conditionalFormatting>
  <conditionalFormatting sqref="AG5:AG9">
    <cfRule type="dataBar" priority="18">
      <dataBar>
        <cfvo type="min"/>
        <cfvo type="num" val="31"/>
        <color theme="2" tint="-0.249977111117893"/>
      </dataBar>
      <extLst>
        <ext xmlns:x14="http://schemas.microsoft.com/office/spreadsheetml/2009/9/main" uri="{B025F937-C7B1-47D3-B67F-A62EFF666E3E}">
          <x14:id>{ECCE2C3C-1B01-4700-B60E-DAAAB19A9C1A}</x14:id>
        </ext>
      </extLst>
    </cfRule>
  </conditionalFormatting>
  <printOptions horizontalCentered="1"/>
  <pageMargins left="0.25" right="0.25" top="0.75" bottom="0.75" header="0.3" footer="0.3"/>
  <pageSetup scale="67" fitToHeight="0"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autoMin"/>
              <x14:cfvo type="num">
                <xm:f>31</xm:f>
              </x14:cfvo>
              <x14:negativeFillColor rgb="FFFF0000"/>
              <x14:axisColor rgb="FF000000"/>
            </x14:dataBar>
          </x14:cfRule>
          <xm:sqref>AG5:AG9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249977111117893"/>
    <pageSetUpPr fitToPage="1"/>
  </sheetPr>
  <dimension ref="A1:AH12"/>
  <sheetViews>
    <sheetView showGridLines="0" zoomScaleNormal="10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60</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TEXT(WEEKDAY(DATE(CalendarYear,10,1),1),"aaa")</f>
        <v>Thu</v>
      </c>
      <c r="C3" s="29" t="str">
        <f>TEXT(WEEKDAY(DATE(CalendarYear,10,2),1),"aaa")</f>
        <v>Fri</v>
      </c>
      <c r="D3" s="29" t="str">
        <f>TEXT(WEEKDAY(DATE(CalendarYear,10,3),1),"aaa")</f>
        <v>Sat</v>
      </c>
      <c r="E3" s="29" t="str">
        <f>TEXT(WEEKDAY(DATE(CalendarYear,10,4),1),"aaa")</f>
        <v>Sun</v>
      </c>
      <c r="F3" s="29" t="str">
        <f>TEXT(WEEKDAY(DATE(CalendarYear,10,5),1),"aaa")</f>
        <v>Mon</v>
      </c>
      <c r="G3" s="29" t="str">
        <f>TEXT(WEEKDAY(DATE(CalendarYear,10,6),1),"aaa")</f>
        <v>Tue</v>
      </c>
      <c r="H3" s="29" t="str">
        <f>TEXT(WEEKDAY(DATE(CalendarYear,10,7),1),"aaa")</f>
        <v>Wed</v>
      </c>
      <c r="I3" s="29" t="str">
        <f>TEXT(WEEKDAY(DATE(CalendarYear,10,8),1),"aaa")</f>
        <v>Thu</v>
      </c>
      <c r="J3" s="29" t="str">
        <f>TEXT(WEEKDAY(DATE(CalendarYear,10,9),1),"aaa")</f>
        <v>Fri</v>
      </c>
      <c r="K3" s="29" t="str">
        <f>TEXT(WEEKDAY(DATE(CalendarYear,10,10),1),"aaa")</f>
        <v>Sat</v>
      </c>
      <c r="L3" s="29" t="str">
        <f>TEXT(WEEKDAY(DATE(CalendarYear,10,11),1),"aaa")</f>
        <v>Sun</v>
      </c>
      <c r="M3" s="29" t="str">
        <f>TEXT(WEEKDAY(DATE(CalendarYear,10,12),1),"aaa")</f>
        <v>Mon</v>
      </c>
      <c r="N3" s="29" t="str">
        <f>TEXT(WEEKDAY(DATE(CalendarYear,10,13),1),"aaa")</f>
        <v>Tue</v>
      </c>
      <c r="O3" s="29" t="str">
        <f>TEXT(WEEKDAY(DATE(CalendarYear,10,14),1),"aaa")</f>
        <v>Wed</v>
      </c>
      <c r="P3" s="29" t="str">
        <f>TEXT(WEEKDAY(DATE(CalendarYear,10,15),1),"aaa")</f>
        <v>Thu</v>
      </c>
      <c r="Q3" s="29" t="str">
        <f>TEXT(WEEKDAY(DATE(CalendarYear,10,16),1),"aaa")</f>
        <v>Fri</v>
      </c>
      <c r="R3" s="29" t="str">
        <f>TEXT(WEEKDAY(DATE(CalendarYear,10,17),1),"aaa")</f>
        <v>Sat</v>
      </c>
      <c r="S3" s="29" t="str">
        <f>TEXT(WEEKDAY(DATE(CalendarYear,10,18),1),"aaa")</f>
        <v>Sun</v>
      </c>
      <c r="T3" s="29" t="str">
        <f>TEXT(WEEKDAY(DATE(CalendarYear,10,19),1),"aaa")</f>
        <v>Mon</v>
      </c>
      <c r="U3" s="29" t="str">
        <f>TEXT(WEEKDAY(DATE(CalendarYear,10,20),1),"aaa")</f>
        <v>Tue</v>
      </c>
      <c r="V3" s="29" t="str">
        <f>TEXT(WEEKDAY(DATE(CalendarYear,10,21),1),"aaa")</f>
        <v>Wed</v>
      </c>
      <c r="W3" s="29" t="str">
        <f>TEXT(WEEKDAY(DATE(CalendarYear,10,22),1),"aaa")</f>
        <v>Thu</v>
      </c>
      <c r="X3" s="29" t="str">
        <f>TEXT(WEEKDAY(DATE(CalendarYear,10,23),1),"aaa")</f>
        <v>Fri</v>
      </c>
      <c r="Y3" s="29" t="str">
        <f>TEXT(WEEKDAY(DATE(CalendarYear,10,24),1),"aaa")</f>
        <v>Sat</v>
      </c>
      <c r="Z3" s="29" t="str">
        <f>TEXT(WEEKDAY(DATE(CalendarYear,10,25),1),"aaa")</f>
        <v>Sun</v>
      </c>
      <c r="AA3" s="29" t="str">
        <f>TEXT(WEEKDAY(DATE(CalendarYear,10,26),1),"aaa")</f>
        <v>Mon</v>
      </c>
      <c r="AB3" s="29" t="str">
        <f>TEXT(WEEKDAY(DATE(CalendarYear,10,27),1),"aaa")</f>
        <v>Tue</v>
      </c>
      <c r="AC3" s="29" t="str">
        <f>TEXT(WEEKDAY(DATE(CalendarYear,10,28),1),"aaa")</f>
        <v>Wed</v>
      </c>
      <c r="AD3" s="29" t="str">
        <f>TEXT(WEEKDAY(DATE(CalendarYear,10,29),1),"aaa")</f>
        <v>Thu</v>
      </c>
      <c r="AE3" s="29" t="str">
        <f>TEXT(WEEKDAY(DATE(CalendarYear,10,30),1),"aaa")</f>
        <v>Fri</v>
      </c>
      <c r="AF3" s="29" t="str">
        <f>TEXT(WEEKDAY(DATE(CalendarYear,10,31),1),"aaa")</f>
        <v>Sat</v>
      </c>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33</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COUNTA(tblOctober[[#This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COUNTA(tblOctober[[#This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COUNTA(tblOctober[[#This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COUNTA(tblOctober[[#This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COUNTA(tblOctober[[#This Row],[1]:[29]])</f>
        <v>0</v>
      </c>
    </row>
    <row r="10" spans="1:34" ht="15" customHeight="1" x14ac:dyDescent="0.25">
      <c r="A10" s="39" t="str">
        <f>MonthName&amp;" Total"</f>
        <v>October Total</v>
      </c>
      <c r="B10" s="11">
        <f>SUBTOTAL(103,tblOctober[1])</f>
        <v>0</v>
      </c>
      <c r="C10" s="11">
        <f>SUBTOTAL(103,tblOctober[2])</f>
        <v>0</v>
      </c>
      <c r="D10" s="11">
        <f>SUBTOTAL(103,tblOctober[3])</f>
        <v>0</v>
      </c>
      <c r="E10" s="11">
        <f>SUBTOTAL(103,tblOctober[4])</f>
        <v>0</v>
      </c>
      <c r="F10" s="11">
        <f>SUBTOTAL(103,tblOctober[5])</f>
        <v>0</v>
      </c>
      <c r="G10" s="11">
        <f>SUBTOTAL(103,tblOctober[6])</f>
        <v>0</v>
      </c>
      <c r="H10" s="11">
        <f>SUBTOTAL(103,tblOctober[7])</f>
        <v>0</v>
      </c>
      <c r="I10" s="11">
        <f>SUBTOTAL(103,tblOctober[8])</f>
        <v>0</v>
      </c>
      <c r="J10" s="11">
        <f>SUBTOTAL(103,tblOctober[9])</f>
        <v>0</v>
      </c>
      <c r="K10" s="11">
        <f>SUBTOTAL(103,tblOctober[10])</f>
        <v>0</v>
      </c>
      <c r="L10" s="11">
        <f>SUBTOTAL(103,tblOctober[11])</f>
        <v>0</v>
      </c>
      <c r="M10" s="11">
        <f>SUBTOTAL(103,tblOctober[12])</f>
        <v>0</v>
      </c>
      <c r="N10" s="11">
        <f>SUBTOTAL(103,tblOctober[13])</f>
        <v>0</v>
      </c>
      <c r="O10" s="11">
        <f>SUBTOTAL(103,tblOctober[14])</f>
        <v>0</v>
      </c>
      <c r="P10" s="11">
        <f>SUBTOTAL(103,tblOctober[15])</f>
        <v>0</v>
      </c>
      <c r="Q10" s="11">
        <f>SUBTOTAL(103,tblOctober[16])</f>
        <v>0</v>
      </c>
      <c r="R10" s="11">
        <f>SUBTOTAL(103,tblOctober[17])</f>
        <v>0</v>
      </c>
      <c r="S10" s="11">
        <f>SUBTOTAL(103,tblOctober[18])</f>
        <v>0</v>
      </c>
      <c r="T10" s="11">
        <f>SUBTOTAL(103,tblOctober[19])</f>
        <v>0</v>
      </c>
      <c r="U10" s="11">
        <f>SUBTOTAL(103,tblOctober[20])</f>
        <v>0</v>
      </c>
      <c r="V10" s="11">
        <f>SUBTOTAL(103,tblOctober[21])</f>
        <v>0</v>
      </c>
      <c r="W10" s="11">
        <f>SUBTOTAL(103,tblOctober[22])</f>
        <v>0</v>
      </c>
      <c r="X10" s="11">
        <f>SUBTOTAL(103,tblOctober[23])</f>
        <v>0</v>
      </c>
      <c r="Y10" s="11">
        <f>SUBTOTAL(103,tblOctober[24])</f>
        <v>0</v>
      </c>
      <c r="Z10" s="11">
        <f>SUBTOTAL(103,tblOctober[25])</f>
        <v>0</v>
      </c>
      <c r="AA10" s="11">
        <f>SUBTOTAL(103,tblOctober[26])</f>
        <v>0</v>
      </c>
      <c r="AB10" s="11">
        <f>SUBTOTAL(103,tblOctober[27])</f>
        <v>0</v>
      </c>
      <c r="AC10" s="11">
        <f>SUBTOTAL(103,tblOctober[28])</f>
        <v>0</v>
      </c>
      <c r="AD10" s="11">
        <f>SUBTOTAL(103,tblOctober[29])</f>
        <v>0</v>
      </c>
      <c r="AE10" s="11"/>
      <c r="AF10" s="11"/>
      <c r="AG10" s="11">
        <f>SUBTOTAL(109,tblOctober[Total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209" priority="2" stopIfTrue="1">
      <formula>B5=KeyCustom2</formula>
    </cfRule>
    <cfRule type="expression" dxfId="208" priority="3" stopIfTrue="1">
      <formula>B5=KeyCustom1</formula>
    </cfRule>
    <cfRule type="expression" dxfId="207" priority="4" stopIfTrue="1">
      <formula>B5=KeySick</formula>
    </cfRule>
    <cfRule type="expression" dxfId="206" priority="5" stopIfTrue="1">
      <formula>B5=KeyPersonal</formula>
    </cfRule>
    <cfRule type="expression" dxfId="205" priority="6" stopIfTrue="1">
      <formula>B5=KeyVacation</formula>
    </cfRule>
  </conditionalFormatting>
  <conditionalFormatting sqref="AG5:AG9">
    <cfRule type="dataBar" priority="28">
      <dataBar>
        <cfvo type="min"/>
        <cfvo type="formula" val="DATEDIF(DATE(CalendarYear,2,1),DATE(CalendarYear,3,1),&quot;d&quot;)"/>
        <color theme="2" tint="-0.249977111117893"/>
      </dataBar>
      <extLst>
        <ext xmlns:x14="http://schemas.microsoft.com/office/spreadsheetml/2009/9/main" uri="{B025F937-C7B1-47D3-B67F-A62EFF666E3E}">
          <x14:id>{A550AEEE-9357-4FFF-B99F-F96B7CA41630}</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550AEEE-9357-4FFF-B99F-F96B7CA41630}">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tint="-0.249977111117893"/>
    <pageSetUpPr fitToPage="1"/>
  </sheetPr>
  <dimension ref="A1:AH12"/>
  <sheetViews>
    <sheetView showGridLines="0" zoomScaleNormal="10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61</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TEXT(WEEKDAY(DATE(CalendarYear,11,1),1),"aaa")</f>
        <v>Sun</v>
      </c>
      <c r="C3" s="29" t="str">
        <f>TEXT(WEEKDAY(DATE(CalendarYear,11,2),1),"aaa")</f>
        <v>Mon</v>
      </c>
      <c r="D3" s="29" t="str">
        <f>TEXT(WEEKDAY(DATE(CalendarYear,11,3),1),"aaa")</f>
        <v>Tue</v>
      </c>
      <c r="E3" s="29" t="str">
        <f>TEXT(WEEKDAY(DATE(CalendarYear,11,4),1),"aaa")</f>
        <v>Wed</v>
      </c>
      <c r="F3" s="29" t="str">
        <f>TEXT(WEEKDAY(DATE(CalendarYear,11,5),1),"aaa")</f>
        <v>Thu</v>
      </c>
      <c r="G3" s="29" t="str">
        <f>TEXT(WEEKDAY(DATE(CalendarYear,11,6),1),"aaa")</f>
        <v>Fri</v>
      </c>
      <c r="H3" s="29" t="str">
        <f>TEXT(WEEKDAY(DATE(CalendarYear,11,7),1),"aaa")</f>
        <v>Sat</v>
      </c>
      <c r="I3" s="29" t="str">
        <f>TEXT(WEEKDAY(DATE(CalendarYear,11,8),1),"aaa")</f>
        <v>Sun</v>
      </c>
      <c r="J3" s="29" t="str">
        <f>TEXT(WEEKDAY(DATE(CalendarYear,11,9),1),"aaa")</f>
        <v>Mon</v>
      </c>
      <c r="K3" s="29" t="str">
        <f>TEXT(WEEKDAY(DATE(CalendarYear,11,10),1),"aaa")</f>
        <v>Tue</v>
      </c>
      <c r="L3" s="29" t="str">
        <f>TEXT(WEEKDAY(DATE(CalendarYear,11,11),1),"aaa")</f>
        <v>Wed</v>
      </c>
      <c r="M3" s="29" t="str">
        <f>TEXT(WEEKDAY(DATE(CalendarYear,11,12),1),"aaa")</f>
        <v>Thu</v>
      </c>
      <c r="N3" s="29" t="str">
        <f>TEXT(WEEKDAY(DATE(CalendarYear,11,13),1),"aaa")</f>
        <v>Fri</v>
      </c>
      <c r="O3" s="29" t="str">
        <f>TEXT(WEEKDAY(DATE(CalendarYear,11,14),1),"aaa")</f>
        <v>Sat</v>
      </c>
      <c r="P3" s="29" t="str">
        <f>TEXT(WEEKDAY(DATE(CalendarYear,11,15),1),"aaa")</f>
        <v>Sun</v>
      </c>
      <c r="Q3" s="29" t="str">
        <f>TEXT(WEEKDAY(DATE(CalendarYear,11,16),1),"aaa")</f>
        <v>Mon</v>
      </c>
      <c r="R3" s="29" t="str">
        <f>TEXT(WEEKDAY(DATE(CalendarYear,11,17),1),"aaa")</f>
        <v>Tue</v>
      </c>
      <c r="S3" s="29" t="str">
        <f>TEXT(WEEKDAY(DATE(CalendarYear,11,18),1),"aaa")</f>
        <v>Wed</v>
      </c>
      <c r="T3" s="29" t="str">
        <f>TEXT(WEEKDAY(DATE(CalendarYear,11,19),1),"aaa")</f>
        <v>Thu</v>
      </c>
      <c r="U3" s="29" t="str">
        <f>TEXT(WEEKDAY(DATE(CalendarYear,11,20),1),"aaa")</f>
        <v>Fri</v>
      </c>
      <c r="V3" s="29" t="str">
        <f>TEXT(WEEKDAY(DATE(CalendarYear,11,21),1),"aaa")</f>
        <v>Sat</v>
      </c>
      <c r="W3" s="29" t="str">
        <f>TEXT(WEEKDAY(DATE(CalendarYear,11,22),1),"aaa")</f>
        <v>Sun</v>
      </c>
      <c r="X3" s="29" t="str">
        <f>TEXT(WEEKDAY(DATE(CalendarYear,11,23),1),"aaa")</f>
        <v>Mon</v>
      </c>
      <c r="Y3" s="29" t="str">
        <f>TEXT(WEEKDAY(DATE(CalendarYear,11,24),1),"aaa")</f>
        <v>Tue</v>
      </c>
      <c r="Z3" s="29" t="str">
        <f>TEXT(WEEKDAY(DATE(CalendarYear,11,25),1),"aaa")</f>
        <v>Wed</v>
      </c>
      <c r="AA3" s="29" t="str">
        <f>TEXT(WEEKDAY(DATE(CalendarYear,11,26),1),"aaa")</f>
        <v>Thu</v>
      </c>
      <c r="AB3" s="29" t="str">
        <f>TEXT(WEEKDAY(DATE(CalendarYear,11,27),1),"aaa")</f>
        <v>Fri</v>
      </c>
      <c r="AC3" s="29" t="str">
        <f>TEXT(WEEKDAY(DATE(CalendarYear,11,28),1),"aaa")</f>
        <v>Sat</v>
      </c>
      <c r="AD3" s="29" t="str">
        <f>TEXT(WEEKDAY(DATE(CalendarYear,11,29),1),"aaa")</f>
        <v>Sun</v>
      </c>
      <c r="AE3" s="29" t="str">
        <f>TEXT(WEEKDAY(DATE(CalendarYear,11,30),1),"aaa")</f>
        <v>Mon</v>
      </c>
      <c r="AF3" s="29"/>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39</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COUNTA(tblNovember[[#This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COUNTA(tblNovember[[#This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COUNTA(tblNovember[[#This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COUNTA(tblNovember[[#This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COUNTA(tblNovember[[#This Row],[1]:[29]])</f>
        <v>0</v>
      </c>
    </row>
    <row r="10" spans="1:34" ht="15" customHeight="1" x14ac:dyDescent="0.25">
      <c r="A10" s="39" t="str">
        <f>MonthName&amp;" Total"</f>
        <v>November Total</v>
      </c>
      <c r="B10" s="11">
        <f>SUBTOTAL(103,tblNovember[1])</f>
        <v>0</v>
      </c>
      <c r="C10" s="11">
        <f>SUBTOTAL(103,tblNovember[2])</f>
        <v>0</v>
      </c>
      <c r="D10" s="11">
        <f>SUBTOTAL(103,tblNovember[3])</f>
        <v>0</v>
      </c>
      <c r="E10" s="11">
        <f>SUBTOTAL(103,tblNovember[4])</f>
        <v>0</v>
      </c>
      <c r="F10" s="11">
        <f>SUBTOTAL(103,tblNovember[5])</f>
        <v>0</v>
      </c>
      <c r="G10" s="11">
        <f>SUBTOTAL(103,tblNovember[6])</f>
        <v>0</v>
      </c>
      <c r="H10" s="11">
        <f>SUBTOTAL(103,tblNovember[7])</f>
        <v>0</v>
      </c>
      <c r="I10" s="11">
        <f>SUBTOTAL(103,tblNovember[8])</f>
        <v>0</v>
      </c>
      <c r="J10" s="11">
        <f>SUBTOTAL(103,tblNovember[9])</f>
        <v>0</v>
      </c>
      <c r="K10" s="11">
        <f>SUBTOTAL(103,tblNovember[10])</f>
        <v>0</v>
      </c>
      <c r="L10" s="11">
        <f>SUBTOTAL(103,tblNovember[11])</f>
        <v>0</v>
      </c>
      <c r="M10" s="11">
        <f>SUBTOTAL(103,tblNovember[12])</f>
        <v>0</v>
      </c>
      <c r="N10" s="11">
        <f>SUBTOTAL(103,tblNovember[13])</f>
        <v>0</v>
      </c>
      <c r="O10" s="11">
        <f>SUBTOTAL(103,tblNovember[14])</f>
        <v>0</v>
      </c>
      <c r="P10" s="11">
        <f>SUBTOTAL(103,tblNovember[15])</f>
        <v>0</v>
      </c>
      <c r="Q10" s="11">
        <f>SUBTOTAL(103,tblNovember[16])</f>
        <v>0</v>
      </c>
      <c r="R10" s="11">
        <f>SUBTOTAL(103,tblNovember[17])</f>
        <v>0</v>
      </c>
      <c r="S10" s="11">
        <f>SUBTOTAL(103,tblNovember[18])</f>
        <v>0</v>
      </c>
      <c r="T10" s="11">
        <f>SUBTOTAL(103,tblNovember[19])</f>
        <v>0</v>
      </c>
      <c r="U10" s="11">
        <f>SUBTOTAL(103,tblNovember[20])</f>
        <v>0</v>
      </c>
      <c r="V10" s="11">
        <f>SUBTOTAL(103,tblNovember[21])</f>
        <v>0</v>
      </c>
      <c r="W10" s="11">
        <f>SUBTOTAL(103,tblNovember[22])</f>
        <v>0</v>
      </c>
      <c r="X10" s="11">
        <f>SUBTOTAL(103,tblNovember[23])</f>
        <v>0</v>
      </c>
      <c r="Y10" s="11">
        <f>SUBTOTAL(103,tblNovember[24])</f>
        <v>0</v>
      </c>
      <c r="Z10" s="11">
        <f>SUBTOTAL(103,tblNovember[25])</f>
        <v>0</v>
      </c>
      <c r="AA10" s="11">
        <f>SUBTOTAL(103,tblNovember[26])</f>
        <v>0</v>
      </c>
      <c r="AB10" s="11">
        <f>SUBTOTAL(103,tblNovember[27])</f>
        <v>0</v>
      </c>
      <c r="AC10" s="11">
        <f>SUBTOTAL(103,tblNovember[28])</f>
        <v>0</v>
      </c>
      <c r="AD10" s="11">
        <f>SUBTOTAL(103,tblNovember[29])</f>
        <v>0</v>
      </c>
      <c r="AE10" s="11"/>
      <c r="AF10" s="11"/>
      <c r="AG10" s="11">
        <f>SUBTOTAL(109,tblNovember[Total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139" priority="2" stopIfTrue="1">
      <formula>B5=KeyCustom2</formula>
    </cfRule>
    <cfRule type="expression" dxfId="138" priority="3" stopIfTrue="1">
      <formula>B5=KeyCustom1</formula>
    </cfRule>
    <cfRule type="expression" dxfId="137" priority="4" stopIfTrue="1">
      <formula>B5=KeySick</formula>
    </cfRule>
    <cfRule type="expression" dxfId="136" priority="5" stopIfTrue="1">
      <formula>B5=KeyPersonal</formula>
    </cfRule>
    <cfRule type="expression" dxfId="135" priority="6" stopIfTrue="1">
      <formula>B5=KeyVacation</formula>
    </cfRule>
  </conditionalFormatting>
  <conditionalFormatting sqref="AG5:AG9">
    <cfRule type="dataBar" priority="29">
      <dataBar>
        <cfvo type="min"/>
        <cfvo type="formula" val="DATEDIF(DATE(CalendarYear,2,1),DATE(CalendarYear,3,1),&quot;d&quot;)"/>
        <color theme="2" tint="-0.249977111117893"/>
      </dataBar>
      <extLst>
        <ext xmlns:x14="http://schemas.microsoft.com/office/spreadsheetml/2009/9/main" uri="{B025F937-C7B1-47D3-B67F-A62EFF666E3E}">
          <x14:id>{A15D8916-F091-4425-9705-45472C7168ED}</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5D8916-F091-4425-9705-45472C7168ED}">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pageSetUpPr fitToPage="1"/>
  </sheetPr>
  <dimension ref="A1:AH12"/>
  <sheetViews>
    <sheetView showGridLines="0" zoomScaleNormal="100" workbookViewId="0">
      <selection activeCell="E29" sqref="E29"/>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62</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TEXT(WEEKDAY(DATE(CalendarYear,12,1),1),"aaa")</f>
        <v>Tue</v>
      </c>
      <c r="C3" s="29" t="str">
        <f>TEXT(WEEKDAY(DATE(CalendarYear,12,2),1),"aaa")</f>
        <v>Wed</v>
      </c>
      <c r="D3" s="29" t="str">
        <f>TEXT(WEEKDAY(DATE(CalendarYear,12,3),1),"aaa")</f>
        <v>Thu</v>
      </c>
      <c r="E3" s="29" t="str">
        <f>TEXT(WEEKDAY(DATE(CalendarYear,12,4),1),"aaa")</f>
        <v>Fri</v>
      </c>
      <c r="F3" s="29" t="str">
        <f>TEXT(WEEKDAY(DATE(CalendarYear,12,5),1),"aaa")</f>
        <v>Sat</v>
      </c>
      <c r="G3" s="29" t="str">
        <f>TEXT(WEEKDAY(DATE(CalendarYear,12,6),1),"aaa")</f>
        <v>Sun</v>
      </c>
      <c r="H3" s="29" t="str">
        <f>TEXT(WEEKDAY(DATE(CalendarYear,12,7),1),"aaa")</f>
        <v>Mon</v>
      </c>
      <c r="I3" s="29" t="str">
        <f>TEXT(WEEKDAY(DATE(CalendarYear,12,8),1),"aaa")</f>
        <v>Tue</v>
      </c>
      <c r="J3" s="29" t="str">
        <f>TEXT(WEEKDAY(DATE(CalendarYear,12,9),1),"aaa")</f>
        <v>Wed</v>
      </c>
      <c r="K3" s="29" t="str">
        <f>TEXT(WEEKDAY(DATE(CalendarYear,12,10),1),"aaa")</f>
        <v>Thu</v>
      </c>
      <c r="L3" s="29" t="str">
        <f>TEXT(WEEKDAY(DATE(CalendarYear,12,11),1),"aaa")</f>
        <v>Fri</v>
      </c>
      <c r="M3" s="29" t="str">
        <f>TEXT(WEEKDAY(DATE(CalendarYear,12,12),1),"aaa")</f>
        <v>Sat</v>
      </c>
      <c r="N3" s="29" t="str">
        <f>TEXT(WEEKDAY(DATE(CalendarYear,12,13),1),"aaa")</f>
        <v>Sun</v>
      </c>
      <c r="O3" s="29" t="str">
        <f>TEXT(WEEKDAY(DATE(CalendarYear,12,14),1),"aaa")</f>
        <v>Mon</v>
      </c>
      <c r="P3" s="29" t="str">
        <f>TEXT(WEEKDAY(DATE(CalendarYear,12,15),1),"aaa")</f>
        <v>Tue</v>
      </c>
      <c r="Q3" s="29" t="str">
        <f>TEXT(WEEKDAY(DATE(CalendarYear,12,16),1),"aaa")</f>
        <v>Wed</v>
      </c>
      <c r="R3" s="29" t="str">
        <f>TEXT(WEEKDAY(DATE(CalendarYear,12,17),1),"aaa")</f>
        <v>Thu</v>
      </c>
      <c r="S3" s="29" t="str">
        <f>TEXT(WEEKDAY(DATE(CalendarYear,12,18),1),"aaa")</f>
        <v>Fri</v>
      </c>
      <c r="T3" s="29" t="str">
        <f>TEXT(WEEKDAY(DATE(CalendarYear,12,19),1),"aaa")</f>
        <v>Sat</v>
      </c>
      <c r="U3" s="29" t="str">
        <f>TEXT(WEEKDAY(DATE(CalendarYear,12,20),1),"aaa")</f>
        <v>Sun</v>
      </c>
      <c r="V3" s="29" t="str">
        <f>TEXT(WEEKDAY(DATE(CalendarYear,12,21),1),"aaa")</f>
        <v>Mon</v>
      </c>
      <c r="W3" s="29" t="str">
        <f>TEXT(WEEKDAY(DATE(CalendarYear,12,22),1),"aaa")</f>
        <v>Tue</v>
      </c>
      <c r="X3" s="29" t="str">
        <f>TEXT(WEEKDAY(DATE(CalendarYear,12,23),1),"aaa")</f>
        <v>Wed</v>
      </c>
      <c r="Y3" s="29" t="str">
        <f>TEXT(WEEKDAY(DATE(CalendarYear,12,24),1),"aaa")</f>
        <v>Thu</v>
      </c>
      <c r="Z3" s="29" t="str">
        <f>TEXT(WEEKDAY(DATE(CalendarYear,12,25),1),"aaa")</f>
        <v>Fri</v>
      </c>
      <c r="AA3" s="29" t="str">
        <f>TEXT(WEEKDAY(DATE(CalendarYear,12,26),1),"aaa")</f>
        <v>Sat</v>
      </c>
      <c r="AB3" s="29" t="str">
        <f>TEXT(WEEKDAY(DATE(CalendarYear,12,27),1),"aaa")</f>
        <v>Sun</v>
      </c>
      <c r="AC3" s="29" t="str">
        <f>TEXT(WEEKDAY(DATE(CalendarYear,12,28),1),"aaa")</f>
        <v>Mon</v>
      </c>
      <c r="AD3" s="29" t="str">
        <f>TEXT(WEEKDAY(DATE(CalendarYear,12,29),1),"aaa")</f>
        <v>Tue</v>
      </c>
      <c r="AE3" s="29" t="str">
        <f>TEXT(WEEKDAY(DATE(CalendarYear,12,30),1),"aaa")</f>
        <v>Wed</v>
      </c>
      <c r="AF3" s="29" t="str">
        <f>TEXT(WEEKDAY(DATE(CalendarYear,12,31),1),"aaa")</f>
        <v>Thu</v>
      </c>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33</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COUNTA(tblDecember[[#This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COUNTA(tblDecember[[#This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COUNTA(tblDecember[[#This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COUNTA(tblDecember[[#This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COUNTA(tblDecember[[#This Row],[1]:[29]])</f>
        <v>0</v>
      </c>
    </row>
    <row r="10" spans="1:34" ht="15" customHeight="1" x14ac:dyDescent="0.25">
      <c r="A10" s="39" t="str">
        <f>MonthName&amp;" Total"</f>
        <v>December Total</v>
      </c>
      <c r="B10" s="11">
        <f>SUBTOTAL(103,tblDecember[1])</f>
        <v>0</v>
      </c>
      <c r="C10" s="11">
        <f>SUBTOTAL(103,tblDecember[2])</f>
        <v>0</v>
      </c>
      <c r="D10" s="11">
        <f>SUBTOTAL(103,tblDecember[3])</f>
        <v>0</v>
      </c>
      <c r="E10" s="11">
        <f>SUBTOTAL(103,tblDecember[4])</f>
        <v>0</v>
      </c>
      <c r="F10" s="11">
        <f>SUBTOTAL(103,tblDecember[5])</f>
        <v>0</v>
      </c>
      <c r="G10" s="11">
        <f>SUBTOTAL(103,tblDecember[6])</f>
        <v>0</v>
      </c>
      <c r="H10" s="11">
        <f>SUBTOTAL(103,tblDecember[7])</f>
        <v>0</v>
      </c>
      <c r="I10" s="11">
        <f>SUBTOTAL(103,tblDecember[8])</f>
        <v>0</v>
      </c>
      <c r="J10" s="11">
        <f>SUBTOTAL(103,tblDecember[9])</f>
        <v>0</v>
      </c>
      <c r="K10" s="11">
        <f>SUBTOTAL(103,tblDecember[10])</f>
        <v>0</v>
      </c>
      <c r="L10" s="11">
        <f>SUBTOTAL(103,tblDecember[11])</f>
        <v>0</v>
      </c>
      <c r="M10" s="11">
        <f>SUBTOTAL(103,tblDecember[12])</f>
        <v>0</v>
      </c>
      <c r="N10" s="11">
        <f>SUBTOTAL(103,tblDecember[13])</f>
        <v>0</v>
      </c>
      <c r="O10" s="11">
        <f>SUBTOTAL(103,tblDecember[14])</f>
        <v>0</v>
      </c>
      <c r="P10" s="11">
        <f>SUBTOTAL(103,tblDecember[15])</f>
        <v>0</v>
      </c>
      <c r="Q10" s="11">
        <f>SUBTOTAL(103,tblDecember[16])</f>
        <v>0</v>
      </c>
      <c r="R10" s="11">
        <f>SUBTOTAL(103,tblDecember[17])</f>
        <v>0</v>
      </c>
      <c r="S10" s="11">
        <f>SUBTOTAL(103,tblDecember[18])</f>
        <v>0</v>
      </c>
      <c r="T10" s="11">
        <f>SUBTOTAL(103,tblDecember[19])</f>
        <v>0</v>
      </c>
      <c r="U10" s="11">
        <f>SUBTOTAL(103,tblDecember[20])</f>
        <v>0</v>
      </c>
      <c r="V10" s="11">
        <f>SUBTOTAL(103,tblDecember[21])</f>
        <v>0</v>
      </c>
      <c r="W10" s="11">
        <f>SUBTOTAL(103,tblDecember[22])</f>
        <v>0</v>
      </c>
      <c r="X10" s="11">
        <f>SUBTOTAL(103,tblDecember[23])</f>
        <v>0</v>
      </c>
      <c r="Y10" s="11">
        <f>SUBTOTAL(103,tblDecember[24])</f>
        <v>0</v>
      </c>
      <c r="Z10" s="11">
        <f>SUBTOTAL(103,tblDecember[25])</f>
        <v>0</v>
      </c>
      <c r="AA10" s="11">
        <f>SUBTOTAL(103,tblDecember[26])</f>
        <v>0</v>
      </c>
      <c r="AB10" s="11">
        <f>SUBTOTAL(103,tblDecember[27])</f>
        <v>0</v>
      </c>
      <c r="AC10" s="11">
        <f>SUBTOTAL(103,tblDecember[28])</f>
        <v>0</v>
      </c>
      <c r="AD10" s="11">
        <f>SUBTOTAL(103,tblDecember[29])</f>
        <v>0</v>
      </c>
      <c r="AE10" s="11"/>
      <c r="AF10" s="11"/>
      <c r="AG10" s="11">
        <f>SUBTOTAL(109,tblDecember[Total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69" priority="2" stopIfTrue="1">
      <formula>B5=KeyCustom2</formula>
    </cfRule>
    <cfRule type="expression" dxfId="68" priority="3" stopIfTrue="1">
      <formula>B5=KeyCustom1</formula>
    </cfRule>
    <cfRule type="expression" dxfId="67" priority="4" stopIfTrue="1">
      <formula>B5=KeySick</formula>
    </cfRule>
    <cfRule type="expression" dxfId="66" priority="5" stopIfTrue="1">
      <formula>B5=KeyPersonal</formula>
    </cfRule>
    <cfRule type="expression" dxfId="65" priority="6" stopIfTrue="1">
      <formula>B5=KeyVacation</formula>
    </cfRule>
  </conditionalFormatting>
  <conditionalFormatting sqref="AG5:AG9">
    <cfRule type="dataBar" priority="3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749992370372631"/>
    <pageSetUpPr fitToPage="1"/>
  </sheetPr>
  <dimension ref="A1:AH12"/>
  <sheetViews>
    <sheetView showGridLines="0" zoomScaleNormal="10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49</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TEXT(WEEKDAY(DATE(CalendarYear,2,1),1),"aaa")</f>
        <v>Sun</v>
      </c>
      <c r="C3" s="29" t="str">
        <f>TEXT(WEEKDAY(DATE(CalendarYear,2,2),1),"aaa")</f>
        <v>Mon</v>
      </c>
      <c r="D3" s="29" t="str">
        <f>TEXT(WEEKDAY(DATE(CalendarYear,2,3),1),"aaa")</f>
        <v>Tue</v>
      </c>
      <c r="E3" s="29" t="str">
        <f>TEXT(WEEKDAY(DATE(CalendarYear,2,4),1),"aaa")</f>
        <v>Wed</v>
      </c>
      <c r="F3" s="29" t="str">
        <f>TEXT(WEEKDAY(DATE(CalendarYear,2,5),1),"aaa")</f>
        <v>Thu</v>
      </c>
      <c r="G3" s="29" t="str">
        <f>TEXT(WEEKDAY(DATE(CalendarYear,2,6),1),"aaa")</f>
        <v>Fri</v>
      </c>
      <c r="H3" s="29" t="str">
        <f>TEXT(WEEKDAY(DATE(CalendarYear,2,7),1),"aaa")</f>
        <v>Sat</v>
      </c>
      <c r="I3" s="29" t="str">
        <f>TEXT(WEEKDAY(DATE(CalendarYear,2,8),1),"aaa")</f>
        <v>Sun</v>
      </c>
      <c r="J3" s="29" t="str">
        <f>TEXT(WEEKDAY(DATE(CalendarYear,2,9),1),"aaa")</f>
        <v>Mon</v>
      </c>
      <c r="K3" s="29" t="str">
        <f>TEXT(WEEKDAY(DATE(CalendarYear,2,10),1),"aaa")</f>
        <v>Tue</v>
      </c>
      <c r="L3" s="29" t="str">
        <f>TEXT(WEEKDAY(DATE(CalendarYear,2,11),1),"aaa")</f>
        <v>Wed</v>
      </c>
      <c r="M3" s="29" t="str">
        <f>TEXT(WEEKDAY(DATE(CalendarYear,2,12),1),"aaa")</f>
        <v>Thu</v>
      </c>
      <c r="N3" s="29" t="str">
        <f>TEXT(WEEKDAY(DATE(CalendarYear,2,13),1),"aaa")</f>
        <v>Fri</v>
      </c>
      <c r="O3" s="29" t="str">
        <f>TEXT(WEEKDAY(DATE(CalendarYear,2,14),1),"aaa")</f>
        <v>Sat</v>
      </c>
      <c r="P3" s="29" t="str">
        <f>TEXT(WEEKDAY(DATE(CalendarYear,2,15),1),"aaa")</f>
        <v>Sun</v>
      </c>
      <c r="Q3" s="29" t="str">
        <f>TEXT(WEEKDAY(DATE(CalendarYear,2,16),1),"aaa")</f>
        <v>Mon</v>
      </c>
      <c r="R3" s="29" t="str">
        <f>TEXT(WEEKDAY(DATE(CalendarYear,2,17),1),"aaa")</f>
        <v>Tue</v>
      </c>
      <c r="S3" s="29" t="str">
        <f>TEXT(WEEKDAY(DATE(CalendarYear,2,18),1),"aaa")</f>
        <v>Wed</v>
      </c>
      <c r="T3" s="29" t="str">
        <f>TEXT(WEEKDAY(DATE(CalendarYear,2,19),1),"aaa")</f>
        <v>Thu</v>
      </c>
      <c r="U3" s="29" t="str">
        <f>TEXT(WEEKDAY(DATE(CalendarYear,2,20),1),"aaa")</f>
        <v>Fri</v>
      </c>
      <c r="V3" s="29" t="str">
        <f>TEXT(WEEKDAY(DATE(CalendarYear,2,21),1),"aaa")</f>
        <v>Sat</v>
      </c>
      <c r="W3" s="29" t="str">
        <f>TEXT(WEEKDAY(DATE(CalendarYear,2,22),1),"aaa")</f>
        <v>Sun</v>
      </c>
      <c r="X3" s="29" t="str">
        <f>TEXT(WEEKDAY(DATE(CalendarYear,2,23),1),"aaa")</f>
        <v>Mon</v>
      </c>
      <c r="Y3" s="29" t="str">
        <f>TEXT(WEEKDAY(DATE(CalendarYear,2,24),1),"aaa")</f>
        <v>Tue</v>
      </c>
      <c r="Z3" s="29" t="str">
        <f>TEXT(WEEKDAY(DATE(CalendarYear,2,25),1),"aaa")</f>
        <v>Wed</v>
      </c>
      <c r="AA3" s="29" t="str">
        <f>TEXT(WEEKDAY(DATE(CalendarYear,2,26),1),"aaa")</f>
        <v>Thu</v>
      </c>
      <c r="AB3" s="29" t="str">
        <f>TEXT(WEEKDAY(DATE(CalendarYear,2,27),1),"aaa")</f>
        <v>Fri</v>
      </c>
      <c r="AC3" s="29" t="str">
        <f>TEXT(WEEKDAY(DATE(CalendarYear,2,28),1),"aaa")</f>
        <v>Sat</v>
      </c>
      <c r="AD3" s="29" t="str">
        <f>TEXT(WEEKDAY(DATE(CalendarYear,2,29),1),"aaa")</f>
        <v>Sun</v>
      </c>
      <c r="AE3" s="29"/>
      <c r="AF3" s="30"/>
      <c r="AG3" s="50"/>
    </row>
    <row r="4" spans="1:34" s="13" customFormat="1" x14ac:dyDescent="0.25">
      <c r="A4" s="38" t="s">
        <v>2</v>
      </c>
      <c r="B4" s="7" t="s">
        <v>3</v>
      </c>
      <c r="C4" s="7" t="s">
        <v>4</v>
      </c>
      <c r="D4" s="7" t="s">
        <v>5</v>
      </c>
      <c r="E4" s="7" t="s">
        <v>6</v>
      </c>
      <c r="F4" s="7" t="s">
        <v>7</v>
      </c>
      <c r="G4" s="7" t="s">
        <v>8</v>
      </c>
      <c r="H4" s="7" t="s">
        <v>9</v>
      </c>
      <c r="I4" s="7" t="s">
        <v>10</v>
      </c>
      <c r="J4" s="7" t="s">
        <v>11</v>
      </c>
      <c r="K4" s="7" t="s">
        <v>12</v>
      </c>
      <c r="L4" s="7" t="s">
        <v>13</v>
      </c>
      <c r="M4" s="7" t="s">
        <v>14</v>
      </c>
      <c r="N4" s="7" t="s">
        <v>15</v>
      </c>
      <c r="O4" s="7" t="s">
        <v>16</v>
      </c>
      <c r="P4" s="7" t="s">
        <v>17</v>
      </c>
      <c r="Q4" s="7" t="s">
        <v>18</v>
      </c>
      <c r="R4" s="7" t="s">
        <v>19</v>
      </c>
      <c r="S4" s="7" t="s">
        <v>20</v>
      </c>
      <c r="T4" s="7" t="s">
        <v>21</v>
      </c>
      <c r="U4" s="7" t="s">
        <v>22</v>
      </c>
      <c r="V4" s="7" t="s">
        <v>23</v>
      </c>
      <c r="W4" s="7" t="s">
        <v>24</v>
      </c>
      <c r="X4" s="7" t="s">
        <v>25</v>
      </c>
      <c r="Y4" s="7" t="s">
        <v>26</v>
      </c>
      <c r="Z4" s="7" t="s">
        <v>27</v>
      </c>
      <c r="AA4" s="7" t="s">
        <v>28</v>
      </c>
      <c r="AB4" s="7" t="s">
        <v>29</v>
      </c>
      <c r="AC4" s="7" t="s">
        <v>30</v>
      </c>
      <c r="AD4" s="17" t="s">
        <v>31</v>
      </c>
      <c r="AE4" s="7" t="s">
        <v>39</v>
      </c>
      <c r="AF4" s="7" t="s">
        <v>40</v>
      </c>
      <c r="AG4" s="7" t="s">
        <v>34</v>
      </c>
      <c r="AH4" s="12"/>
    </row>
    <row r="5" spans="1:34" s="13" customFormat="1" x14ac:dyDescent="0.25">
      <c r="A5" s="45" t="s">
        <v>35</v>
      </c>
      <c r="B5" s="7"/>
      <c r="C5" s="7"/>
      <c r="D5" s="7" t="s">
        <v>37</v>
      </c>
      <c r="E5" s="7" t="s">
        <v>37</v>
      </c>
      <c r="F5" s="7" t="s">
        <v>37</v>
      </c>
      <c r="G5" s="7" t="s">
        <v>37</v>
      </c>
      <c r="H5" s="7"/>
      <c r="I5" s="7"/>
      <c r="J5" s="7"/>
      <c r="K5" s="7"/>
      <c r="L5" s="7"/>
      <c r="M5" s="7"/>
      <c r="N5" s="7" t="s">
        <v>37</v>
      </c>
      <c r="O5" s="7"/>
      <c r="P5" s="7"/>
      <c r="Q5" s="7"/>
      <c r="R5" s="7"/>
      <c r="S5" s="7"/>
      <c r="T5" s="7"/>
      <c r="U5" s="7"/>
      <c r="V5" s="7"/>
      <c r="W5" s="7"/>
      <c r="X5" s="7"/>
      <c r="Y5" s="7"/>
      <c r="Z5" s="7"/>
      <c r="AA5" s="7"/>
      <c r="AB5" s="7"/>
      <c r="AC5" s="7"/>
      <c r="AD5" s="7"/>
      <c r="AE5" s="7"/>
      <c r="AF5" s="7"/>
      <c r="AG5" s="11">
        <f>COUNTA(tblFebruary[[#This Row],[1]:[29]])</f>
        <v>5</v>
      </c>
      <c r="AH5" s="12"/>
    </row>
    <row r="6" spans="1:34" s="13" customFormat="1" x14ac:dyDescent="0.25">
      <c r="A6" s="45" t="s">
        <v>38</v>
      </c>
      <c r="B6" s="7"/>
      <c r="C6" s="7"/>
      <c r="D6" s="7"/>
      <c r="E6" s="7"/>
      <c r="F6" s="7" t="s">
        <v>36</v>
      </c>
      <c r="G6" s="7" t="s">
        <v>36</v>
      </c>
      <c r="H6" s="7"/>
      <c r="I6" s="7"/>
      <c r="J6" s="7"/>
      <c r="K6" s="7"/>
      <c r="L6" s="7" t="s">
        <v>41</v>
      </c>
      <c r="M6" s="7"/>
      <c r="N6" s="7"/>
      <c r="O6" s="7"/>
      <c r="P6" s="7"/>
      <c r="Q6" s="7"/>
      <c r="R6" s="7"/>
      <c r="S6" s="7"/>
      <c r="T6" s="7"/>
      <c r="U6" s="7" t="s">
        <v>36</v>
      </c>
      <c r="V6" s="7"/>
      <c r="W6" s="7"/>
      <c r="X6" s="7"/>
      <c r="Y6" s="7"/>
      <c r="Z6" s="7" t="s">
        <v>37</v>
      </c>
      <c r="AA6" s="7" t="s">
        <v>37</v>
      </c>
      <c r="AB6" s="7" t="s">
        <v>37</v>
      </c>
      <c r="AC6" s="7"/>
      <c r="AD6" s="7"/>
      <c r="AE6" s="7"/>
      <c r="AF6" s="7"/>
      <c r="AG6" s="11">
        <f>COUNTA(tblFebruary[[#This Row],[1]:[29]])</f>
        <v>7</v>
      </c>
      <c r="AH6" s="12"/>
    </row>
    <row r="7" spans="1:34" ht="15" customHeight="1" x14ac:dyDescent="0.25">
      <c r="A7" s="45" t="s">
        <v>50</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11">
        <f>COUNTA(tblFebruary[[#This Row],[1]:[29]])</f>
        <v>0</v>
      </c>
    </row>
    <row r="8" spans="1:34" ht="15" customHeight="1" x14ac:dyDescent="0.25">
      <c r="A8" s="45" t="s">
        <v>51</v>
      </c>
      <c r="B8" s="7"/>
      <c r="C8" s="7"/>
      <c r="D8" s="7" t="s">
        <v>36</v>
      </c>
      <c r="E8" s="7"/>
      <c r="F8" s="7"/>
      <c r="G8" s="7"/>
      <c r="H8" s="7"/>
      <c r="I8" s="7"/>
      <c r="J8" s="7"/>
      <c r="K8" s="7"/>
      <c r="L8" s="7"/>
      <c r="M8" s="7"/>
      <c r="N8" s="7"/>
      <c r="O8" s="7" t="s">
        <v>36</v>
      </c>
      <c r="P8" s="7"/>
      <c r="Q8" s="7"/>
      <c r="R8" s="7"/>
      <c r="S8" s="7" t="s">
        <v>41</v>
      </c>
      <c r="T8" s="7"/>
      <c r="U8" s="7"/>
      <c r="V8" s="7"/>
      <c r="W8" s="7"/>
      <c r="X8" s="7"/>
      <c r="Y8" s="7"/>
      <c r="Z8" s="7"/>
      <c r="AA8" s="7"/>
      <c r="AB8" s="7"/>
      <c r="AC8" s="7" t="s">
        <v>36</v>
      </c>
      <c r="AD8" s="7"/>
      <c r="AE8" s="7"/>
      <c r="AF8" s="7"/>
      <c r="AG8" s="11">
        <f>COUNTA(tblFebruary[[#This Row],[1]:[29]])</f>
        <v>4</v>
      </c>
    </row>
    <row r="9" spans="1:34" s="15" customFormat="1" ht="15" customHeight="1" x14ac:dyDescent="0.25">
      <c r="A9" s="45" t="s">
        <v>52</v>
      </c>
      <c r="B9" s="7"/>
      <c r="C9" s="7"/>
      <c r="D9" s="7"/>
      <c r="E9" s="7"/>
      <c r="F9" s="7"/>
      <c r="G9" s="7"/>
      <c r="H9" s="7"/>
      <c r="I9" s="7" t="s">
        <v>37</v>
      </c>
      <c r="J9" s="7" t="s">
        <v>37</v>
      </c>
      <c r="K9" s="7" t="s">
        <v>37</v>
      </c>
      <c r="L9" s="7" t="s">
        <v>37</v>
      </c>
      <c r="M9" s="7"/>
      <c r="N9" s="7"/>
      <c r="O9" s="7"/>
      <c r="P9" s="7"/>
      <c r="Q9" s="7"/>
      <c r="R9" s="7"/>
      <c r="S9" s="7"/>
      <c r="T9" s="7"/>
      <c r="U9" s="7"/>
      <c r="V9" s="7"/>
      <c r="W9" s="7"/>
      <c r="X9" s="7"/>
      <c r="Y9" s="7" t="s">
        <v>36</v>
      </c>
      <c r="Z9" s="7"/>
      <c r="AA9" s="7"/>
      <c r="AB9" s="7"/>
      <c r="AC9" s="7"/>
      <c r="AD9" s="7"/>
      <c r="AE9" s="7"/>
      <c r="AF9" s="7"/>
      <c r="AG9" s="11">
        <f>COUNTA(tblFebruary[[#This Row],[1]:[29]])</f>
        <v>5</v>
      </c>
    </row>
    <row r="10" spans="1:34" ht="15" customHeight="1" x14ac:dyDescent="0.25">
      <c r="A10" s="39" t="str">
        <f>MonthName&amp;" Total"</f>
        <v>February Total</v>
      </c>
      <c r="B10" s="11">
        <f>SUBTOTAL(103,tblFebruary[1])</f>
        <v>0</v>
      </c>
      <c r="C10" s="11">
        <f>SUBTOTAL(103,tblFebruary[2])</f>
        <v>0</v>
      </c>
      <c r="D10" s="11">
        <f>SUBTOTAL(103,tblFebruary[3])</f>
        <v>2</v>
      </c>
      <c r="E10" s="11">
        <f>SUBTOTAL(103,tblFebruary[4])</f>
        <v>1</v>
      </c>
      <c r="F10" s="11">
        <f>SUBTOTAL(103,tblFebruary[5])</f>
        <v>2</v>
      </c>
      <c r="G10" s="11">
        <f>SUBTOTAL(103,tblFebruary[6])</f>
        <v>2</v>
      </c>
      <c r="H10" s="11">
        <f>SUBTOTAL(103,tblFebruary[7])</f>
        <v>0</v>
      </c>
      <c r="I10" s="11">
        <f>SUBTOTAL(103,tblFebruary[8])</f>
        <v>1</v>
      </c>
      <c r="J10" s="11">
        <f>SUBTOTAL(103,tblFebruary[9])</f>
        <v>1</v>
      </c>
      <c r="K10" s="11">
        <f>SUBTOTAL(103,tblFebruary[10])</f>
        <v>1</v>
      </c>
      <c r="L10" s="11">
        <f>SUBTOTAL(103,tblFebruary[11])</f>
        <v>2</v>
      </c>
      <c r="M10" s="11">
        <f>SUBTOTAL(103,tblFebruary[12])</f>
        <v>0</v>
      </c>
      <c r="N10" s="11">
        <f>SUBTOTAL(103,tblFebruary[13])</f>
        <v>1</v>
      </c>
      <c r="O10" s="11">
        <f>SUBTOTAL(103,tblFebruary[14])</f>
        <v>1</v>
      </c>
      <c r="P10" s="11">
        <f>SUBTOTAL(103,tblFebruary[15])</f>
        <v>0</v>
      </c>
      <c r="Q10" s="11">
        <f>SUBTOTAL(103,tblFebruary[16])</f>
        <v>0</v>
      </c>
      <c r="R10" s="11">
        <f>SUBTOTAL(103,tblFebruary[17])</f>
        <v>0</v>
      </c>
      <c r="S10" s="11">
        <f>SUBTOTAL(103,tblFebruary[18])</f>
        <v>1</v>
      </c>
      <c r="T10" s="11">
        <f>SUBTOTAL(103,tblFebruary[19])</f>
        <v>0</v>
      </c>
      <c r="U10" s="11">
        <f>SUBTOTAL(103,tblFebruary[20])</f>
        <v>1</v>
      </c>
      <c r="V10" s="11">
        <f>SUBTOTAL(103,tblFebruary[21])</f>
        <v>0</v>
      </c>
      <c r="W10" s="11">
        <f>SUBTOTAL(103,tblFebruary[22])</f>
        <v>0</v>
      </c>
      <c r="X10" s="11">
        <f>SUBTOTAL(103,tblFebruary[23])</f>
        <v>0</v>
      </c>
      <c r="Y10" s="11">
        <f>SUBTOTAL(103,tblFebruary[24])</f>
        <v>1</v>
      </c>
      <c r="Z10" s="11">
        <f>SUBTOTAL(103,tblFebruary[25])</f>
        <v>1</v>
      </c>
      <c r="AA10" s="11">
        <f>SUBTOTAL(103,tblFebruary[26])</f>
        <v>1</v>
      </c>
      <c r="AB10" s="11">
        <f>SUBTOTAL(103,tblFebruary[27])</f>
        <v>1</v>
      </c>
      <c r="AC10" s="11">
        <f>SUBTOTAL(103,tblFebruary[28])</f>
        <v>1</v>
      </c>
      <c r="AD10" s="11">
        <f>SUBTOTAL(103,tblFebruary[29])</f>
        <v>0</v>
      </c>
      <c r="AE10" s="11"/>
      <c r="AF10" s="11"/>
      <c r="AG10" s="11">
        <f>SUBTOTAL(109,tblFebruary[Total Days])</f>
        <v>21</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B2:AF2"/>
    <mergeCell ref="A11:AG11"/>
    <mergeCell ref="A2:A3"/>
    <mergeCell ref="AG2:AG3"/>
  </mergeCells>
  <conditionalFormatting sqref="AD4">
    <cfRule type="expression" dxfId="771" priority="14">
      <formula>MONTH(DATE(CalendarYear,2,29))&lt;&gt;2</formula>
    </cfRule>
  </conditionalFormatting>
  <conditionalFormatting sqref="AD3">
    <cfRule type="expression" dxfId="770" priority="13">
      <formula>MONTH(DATE(CalendarYear,2,29))&lt;&gt;2</formula>
    </cfRule>
  </conditionalFormatting>
  <conditionalFormatting sqref="B5:AF9">
    <cfRule type="expression" priority="1" stopIfTrue="1">
      <formula>B5=""</formula>
    </cfRule>
  </conditionalFormatting>
  <conditionalFormatting sqref="B5:AF9">
    <cfRule type="expression" dxfId="769" priority="2" stopIfTrue="1">
      <formula>B5=KeyCustom2</formula>
    </cfRule>
    <cfRule type="expression" dxfId="768" priority="3" stopIfTrue="1">
      <formula>B5=KeyCustom1</formula>
    </cfRule>
    <cfRule type="expression" dxfId="767" priority="4" stopIfTrue="1">
      <formula>B5=KeySick</formula>
    </cfRule>
    <cfRule type="expression" dxfId="766" priority="5" stopIfTrue="1">
      <formula>B5=KeyPersonal</formula>
    </cfRule>
    <cfRule type="expression" dxfId="765" priority="6" stopIfTrue="1">
      <formula>B5=KeyVacation</formula>
    </cfRule>
  </conditionalFormatting>
  <conditionalFormatting sqref="AG5:AG9">
    <cfRule type="dataBar" priority="19">
      <dataBar>
        <cfvo type="min"/>
        <cfvo type="formula" val="DATEDIF(DATE(CalendarYear,2,1),DATE(CalendarYear,3,1),&quot;d&quot;)"/>
        <color theme="2" tint="-0.249977111117893"/>
      </dataBar>
      <extLst>
        <ext xmlns:x14="http://schemas.microsoft.com/office/spreadsheetml/2009/9/main" uri="{B025F937-C7B1-47D3-B67F-A62EFF666E3E}">
          <x14:id>{94738C71-AB78-40C3-A818-D083AE35CC38}</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AH12"/>
  <sheetViews>
    <sheetView showGridLines="0" zoomScaleNormal="10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53</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TEXT(WEEKDAY(DATE(CalendarYear,3,1),1),"aaa")</f>
        <v>Sun</v>
      </c>
      <c r="C3" s="29" t="str">
        <f>TEXT(WEEKDAY(DATE(CalendarYear,3,2),1),"aaa")</f>
        <v>Mon</v>
      </c>
      <c r="D3" s="29" t="str">
        <f>TEXT(WEEKDAY(DATE(CalendarYear,3,3),1),"aaa")</f>
        <v>Tue</v>
      </c>
      <c r="E3" s="29" t="str">
        <f>TEXT(WEEKDAY(DATE(CalendarYear,3,4),1),"aaa")</f>
        <v>Wed</v>
      </c>
      <c r="F3" s="29" t="str">
        <f>TEXT(WEEKDAY(DATE(CalendarYear,3,5),1),"aaa")</f>
        <v>Thu</v>
      </c>
      <c r="G3" s="29" t="str">
        <f>TEXT(WEEKDAY(DATE(CalendarYear,3,6),1),"aaa")</f>
        <v>Fri</v>
      </c>
      <c r="H3" s="29" t="str">
        <f>TEXT(WEEKDAY(DATE(CalendarYear,3,7),1),"aaa")</f>
        <v>Sat</v>
      </c>
      <c r="I3" s="29" t="str">
        <f>TEXT(WEEKDAY(DATE(CalendarYear,3,8),1),"aaa")</f>
        <v>Sun</v>
      </c>
      <c r="J3" s="29" t="str">
        <f>TEXT(WEEKDAY(DATE(CalendarYear,3,9),1),"aaa")</f>
        <v>Mon</v>
      </c>
      <c r="K3" s="29" t="str">
        <f>TEXT(WEEKDAY(DATE(CalendarYear,3,10),1),"aaa")</f>
        <v>Tue</v>
      </c>
      <c r="L3" s="29" t="str">
        <f>TEXT(WEEKDAY(DATE(CalendarYear,3,11),1),"aaa")</f>
        <v>Wed</v>
      </c>
      <c r="M3" s="29" t="str">
        <f>TEXT(WEEKDAY(DATE(CalendarYear,3,12),1),"aaa")</f>
        <v>Thu</v>
      </c>
      <c r="N3" s="29" t="str">
        <f>TEXT(WEEKDAY(DATE(CalendarYear,3,13),1),"aaa")</f>
        <v>Fri</v>
      </c>
      <c r="O3" s="29" t="str">
        <f>TEXT(WEEKDAY(DATE(CalendarYear,3,14),1),"aaa")</f>
        <v>Sat</v>
      </c>
      <c r="P3" s="29" t="str">
        <f>TEXT(WEEKDAY(DATE(CalendarYear,3,15),1),"aaa")</f>
        <v>Sun</v>
      </c>
      <c r="Q3" s="29" t="str">
        <f>TEXT(WEEKDAY(DATE(CalendarYear,3,16),1),"aaa")</f>
        <v>Mon</v>
      </c>
      <c r="R3" s="29" t="str">
        <f>TEXT(WEEKDAY(DATE(CalendarYear,3,17),1),"aaa")</f>
        <v>Tue</v>
      </c>
      <c r="S3" s="29" t="str">
        <f>TEXT(WEEKDAY(DATE(CalendarYear,3,18),1),"aaa")</f>
        <v>Wed</v>
      </c>
      <c r="T3" s="29" t="str">
        <f>TEXT(WEEKDAY(DATE(CalendarYear,3,19),1),"aaa")</f>
        <v>Thu</v>
      </c>
      <c r="U3" s="29" t="str">
        <f>TEXT(WEEKDAY(DATE(CalendarYear,3,20),1),"aaa")</f>
        <v>Fri</v>
      </c>
      <c r="V3" s="29" t="str">
        <f>TEXT(WEEKDAY(DATE(CalendarYear,3,21),1),"aaa")</f>
        <v>Sat</v>
      </c>
      <c r="W3" s="29" t="str">
        <f>TEXT(WEEKDAY(DATE(CalendarYear,3,22),1),"aaa")</f>
        <v>Sun</v>
      </c>
      <c r="X3" s="29" t="str">
        <f>TEXT(WEEKDAY(DATE(CalendarYear,3,23),1),"aaa")</f>
        <v>Mon</v>
      </c>
      <c r="Y3" s="29" t="str">
        <f>TEXT(WEEKDAY(DATE(CalendarYear,3,24),1),"aaa")</f>
        <v>Tue</v>
      </c>
      <c r="Z3" s="29" t="str">
        <f>TEXT(WEEKDAY(DATE(CalendarYear,3,25),1),"aaa")</f>
        <v>Wed</v>
      </c>
      <c r="AA3" s="29" t="str">
        <f>TEXT(WEEKDAY(DATE(CalendarYear,3,26),1),"aaa")</f>
        <v>Thu</v>
      </c>
      <c r="AB3" s="29" t="str">
        <f>TEXT(WEEKDAY(DATE(CalendarYear,3,27),1),"aaa")</f>
        <v>Fri</v>
      </c>
      <c r="AC3" s="29" t="str">
        <f>TEXT(WEEKDAY(DATE(CalendarYear,3,28),1),"aaa")</f>
        <v>Sat</v>
      </c>
      <c r="AD3" s="29" t="str">
        <f>TEXT(WEEKDAY(DATE(CalendarYear,3,29),1),"aaa")</f>
        <v>Sun</v>
      </c>
      <c r="AE3" s="29" t="str">
        <f>TEXT(WEEKDAY(DATE(CalendarYear,3,30),1),"aaa")</f>
        <v>Mon</v>
      </c>
      <c r="AF3" s="29" t="str">
        <f>TEXT(WEEKDAY(DATE(CalendarYear,3,31),1),"aaa")</f>
        <v>Tue</v>
      </c>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33</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COUNTA(tblMarch[[#This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COUNTA(tblMarch[[#This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COUNTA(tblMarch[[#This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COUNTA(tblMarch[[#This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COUNTA(tblMarch[[#This Row],[1]:[29]])</f>
        <v>0</v>
      </c>
    </row>
    <row r="10" spans="1:34" ht="15" customHeight="1" x14ac:dyDescent="0.25">
      <c r="A10" s="39" t="str">
        <f>MonthName&amp;" Total"</f>
        <v>March Total</v>
      </c>
      <c r="B10" s="11">
        <f>SUBTOTAL(103,tblMarch[1])</f>
        <v>0</v>
      </c>
      <c r="C10" s="11">
        <f>SUBTOTAL(103,tblMarch[2])</f>
        <v>0</v>
      </c>
      <c r="D10" s="11">
        <f>SUBTOTAL(103,tblMarch[3])</f>
        <v>0</v>
      </c>
      <c r="E10" s="11">
        <f>SUBTOTAL(103,tblMarch[4])</f>
        <v>0</v>
      </c>
      <c r="F10" s="11">
        <f>SUBTOTAL(103,tblMarch[5])</f>
        <v>0</v>
      </c>
      <c r="G10" s="11">
        <f>SUBTOTAL(103,tblMarch[6])</f>
        <v>0</v>
      </c>
      <c r="H10" s="11">
        <f>SUBTOTAL(103,tblMarch[7])</f>
        <v>0</v>
      </c>
      <c r="I10" s="11">
        <f>SUBTOTAL(103,tblMarch[8])</f>
        <v>0</v>
      </c>
      <c r="J10" s="11">
        <f>SUBTOTAL(103,tblMarch[9])</f>
        <v>0</v>
      </c>
      <c r="K10" s="11">
        <f>SUBTOTAL(103,tblMarch[10])</f>
        <v>0</v>
      </c>
      <c r="L10" s="11">
        <f>SUBTOTAL(103,tblMarch[11])</f>
        <v>0</v>
      </c>
      <c r="M10" s="11">
        <f>SUBTOTAL(103,tblMarch[12])</f>
        <v>0</v>
      </c>
      <c r="N10" s="11">
        <f>SUBTOTAL(103,tblMarch[13])</f>
        <v>0</v>
      </c>
      <c r="O10" s="11">
        <f>SUBTOTAL(103,tblMarch[14])</f>
        <v>0</v>
      </c>
      <c r="P10" s="11">
        <f>SUBTOTAL(103,tblMarch[15])</f>
        <v>0</v>
      </c>
      <c r="Q10" s="11">
        <f>SUBTOTAL(103,tblMarch[16])</f>
        <v>0</v>
      </c>
      <c r="R10" s="11">
        <f>SUBTOTAL(103,tblMarch[17])</f>
        <v>0</v>
      </c>
      <c r="S10" s="11">
        <f>SUBTOTAL(103,tblMarch[18])</f>
        <v>0</v>
      </c>
      <c r="T10" s="11">
        <f>SUBTOTAL(103,tblMarch[19])</f>
        <v>0</v>
      </c>
      <c r="U10" s="11">
        <f>SUBTOTAL(103,tblMarch[20])</f>
        <v>0</v>
      </c>
      <c r="V10" s="11">
        <f>SUBTOTAL(103,tblMarch[21])</f>
        <v>0</v>
      </c>
      <c r="W10" s="11">
        <f>SUBTOTAL(103,tblMarch[22])</f>
        <v>0</v>
      </c>
      <c r="X10" s="11">
        <f>SUBTOTAL(103,tblMarch[23])</f>
        <v>0</v>
      </c>
      <c r="Y10" s="11">
        <f>SUBTOTAL(103,tblMarch[24])</f>
        <v>0</v>
      </c>
      <c r="Z10" s="11">
        <f>SUBTOTAL(103,tblMarch[25])</f>
        <v>0</v>
      </c>
      <c r="AA10" s="11">
        <f>SUBTOTAL(103,tblMarch[26])</f>
        <v>0</v>
      </c>
      <c r="AB10" s="11">
        <f>SUBTOTAL(103,tblMarch[27])</f>
        <v>0</v>
      </c>
      <c r="AC10" s="11">
        <f>SUBTOTAL(103,tblMarch[28])</f>
        <v>0</v>
      </c>
      <c r="AD10" s="11">
        <f>SUBTOTAL(103,tblMarch[29])</f>
        <v>0</v>
      </c>
      <c r="AE10" s="11"/>
      <c r="AF10" s="11"/>
      <c r="AG10" s="11">
        <f>SUBTOTAL(109,tblMarch[Total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699" priority="2" stopIfTrue="1">
      <formula>B5=KeyCustom2</formula>
    </cfRule>
    <cfRule type="expression" dxfId="698" priority="3" stopIfTrue="1">
      <formula>B5=KeyCustom1</formula>
    </cfRule>
    <cfRule type="expression" dxfId="697" priority="4" stopIfTrue="1">
      <formula>B5=KeySick</formula>
    </cfRule>
    <cfRule type="expression" dxfId="696" priority="5" stopIfTrue="1">
      <formula>B5=KeyPersonal</formula>
    </cfRule>
    <cfRule type="expression" dxfId="695" priority="6" stopIfTrue="1">
      <formula>B5=KeyVacation</formula>
    </cfRule>
  </conditionalFormatting>
  <conditionalFormatting sqref="AG5:AG9">
    <cfRule type="dataBar" priority="21">
      <dataBar>
        <cfvo type="min"/>
        <cfvo type="formula" val="DATEDIF(DATE(CalendarYear,2,1),DATE(CalendarYear,3,1),&quot;d&quot;)"/>
        <color theme="2" tint="-0.249977111117893"/>
      </dataBar>
      <extLst>
        <ext xmlns:x14="http://schemas.microsoft.com/office/spreadsheetml/2009/9/main" uri="{B025F937-C7B1-47D3-B67F-A62EFF666E3E}">
          <x14:id>{6E72CF57-6FDE-4024-BC4C-B2350417DE61}</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E72CF57-6FDE-4024-BC4C-B2350417DE61}">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tint="-0.249977111117893"/>
    <pageSetUpPr fitToPage="1"/>
  </sheetPr>
  <dimension ref="A1:AH12"/>
  <sheetViews>
    <sheetView showGridLines="0" zoomScale="130" zoomScaleNormal="130" workbookViewId="0">
      <selection activeCell="AL23" sqref="AL23"/>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63</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54</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TEXT(WEEKDAY(DATE(CalendarYear,4,1),1),"aaa")</f>
        <v>Wed</v>
      </c>
      <c r="C3" s="29" t="str">
        <f>TEXT(WEEKDAY(DATE(CalendarYear,4,2),1),"aaa")</f>
        <v>Thu</v>
      </c>
      <c r="D3" s="29" t="str">
        <f>TEXT(WEEKDAY(DATE(CalendarYear,4,3),1),"aaa")</f>
        <v>Fri</v>
      </c>
      <c r="E3" s="29" t="str">
        <f>TEXT(WEEKDAY(DATE(CalendarYear,4,4),1),"aaa")</f>
        <v>Sat</v>
      </c>
      <c r="F3" s="29" t="str">
        <f>TEXT(WEEKDAY(DATE(CalendarYear,4,5),1),"aaa")</f>
        <v>Sun</v>
      </c>
      <c r="G3" s="29" t="str">
        <f>TEXT(WEEKDAY(DATE(CalendarYear,4,6),1),"aaa")</f>
        <v>Mon</v>
      </c>
      <c r="H3" s="29" t="str">
        <f>TEXT(WEEKDAY(DATE(CalendarYear,4,7),1),"aaa")</f>
        <v>Tue</v>
      </c>
      <c r="I3" s="29" t="str">
        <f>TEXT(WEEKDAY(DATE(CalendarYear,4,8),1),"aaa")</f>
        <v>Wed</v>
      </c>
      <c r="J3" s="29" t="str">
        <f>TEXT(WEEKDAY(DATE(CalendarYear,4,9),1),"aaa")</f>
        <v>Thu</v>
      </c>
      <c r="K3" s="29" t="str">
        <f>TEXT(WEEKDAY(DATE(CalendarYear,4,10),1),"aaa")</f>
        <v>Fri</v>
      </c>
      <c r="L3" s="29" t="str">
        <f>TEXT(WEEKDAY(DATE(CalendarYear,4,11),1),"aaa")</f>
        <v>Sat</v>
      </c>
      <c r="M3" s="29" t="str">
        <f>TEXT(WEEKDAY(DATE(CalendarYear,4,12),1),"aaa")</f>
        <v>Sun</v>
      </c>
      <c r="N3" s="29" t="str">
        <f>TEXT(WEEKDAY(DATE(CalendarYear,4,13),1),"aaa")</f>
        <v>Mon</v>
      </c>
      <c r="O3" s="29" t="str">
        <f>TEXT(WEEKDAY(DATE(CalendarYear,4,14),1),"aaa")</f>
        <v>Tue</v>
      </c>
      <c r="P3" s="29" t="str">
        <f>TEXT(WEEKDAY(DATE(CalendarYear,4,15),1),"aaa")</f>
        <v>Wed</v>
      </c>
      <c r="Q3" s="29" t="str">
        <f>TEXT(WEEKDAY(DATE(CalendarYear,4,16),1),"aaa")</f>
        <v>Thu</v>
      </c>
      <c r="R3" s="29" t="str">
        <f>TEXT(WEEKDAY(DATE(CalendarYear,4,17),1),"aaa")</f>
        <v>Fri</v>
      </c>
      <c r="S3" s="29" t="str">
        <f>TEXT(WEEKDAY(DATE(CalendarYear,4,18),1),"aaa")</f>
        <v>Sat</v>
      </c>
      <c r="T3" s="29" t="str">
        <f>TEXT(WEEKDAY(DATE(CalendarYear,4,19),1),"aaa")</f>
        <v>Sun</v>
      </c>
      <c r="U3" s="29" t="str">
        <f>TEXT(WEEKDAY(DATE(CalendarYear,4,20),1),"aaa")</f>
        <v>Mon</v>
      </c>
      <c r="V3" s="29" t="str">
        <f>TEXT(WEEKDAY(DATE(CalendarYear,4,21),1),"aaa")</f>
        <v>Tue</v>
      </c>
      <c r="W3" s="29" t="str">
        <f>TEXT(WEEKDAY(DATE(CalendarYear,4,22),1),"aaa")</f>
        <v>Wed</v>
      </c>
      <c r="X3" s="29" t="str">
        <f>TEXT(WEEKDAY(DATE(CalendarYear,4,23),1),"aaa")</f>
        <v>Thu</v>
      </c>
      <c r="Y3" s="29" t="str">
        <f>TEXT(WEEKDAY(DATE(CalendarYear,4,24),1),"aaa")</f>
        <v>Fri</v>
      </c>
      <c r="Z3" s="29" t="str">
        <f>TEXT(WEEKDAY(DATE(CalendarYear,4,25),1),"aaa")</f>
        <v>Sat</v>
      </c>
      <c r="AA3" s="29" t="str">
        <f>TEXT(WEEKDAY(DATE(CalendarYear,4,26),1),"aaa")</f>
        <v>Sun</v>
      </c>
      <c r="AB3" s="29" t="str">
        <f>TEXT(WEEKDAY(DATE(CalendarYear,4,27),1),"aaa")</f>
        <v>Mon</v>
      </c>
      <c r="AC3" s="29" t="str">
        <f>TEXT(WEEKDAY(DATE(CalendarYear,4,28),1),"aaa")</f>
        <v>Tue</v>
      </c>
      <c r="AD3" s="29" t="str">
        <f>TEXT(WEEKDAY(DATE(CalendarYear,4,29),1),"aaa")</f>
        <v>Wed</v>
      </c>
      <c r="AE3" s="29" t="str">
        <f>TEXT(WEEKDAY(DATE(CalendarYear,4,30),1),"aaa")</f>
        <v>Thu</v>
      </c>
      <c r="AF3" s="29"/>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39</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COUNTA(tblApril[[#This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COUNTA(tblApril[[#This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COUNTA(tblApril[[#This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COUNTA(tblApril[[#This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COUNTA(tblApril[[#This Row],[1]:[29]])</f>
        <v>0</v>
      </c>
    </row>
    <row r="10" spans="1:34" ht="15" customHeight="1" x14ac:dyDescent="0.25">
      <c r="A10" s="39" t="str">
        <f>MonthName&amp;" Total"</f>
        <v>April Total</v>
      </c>
      <c r="B10" s="11">
        <f>SUBTOTAL(103,tblApril[1])</f>
        <v>0</v>
      </c>
      <c r="C10" s="11">
        <f>SUBTOTAL(103,tblApril[2])</f>
        <v>0</v>
      </c>
      <c r="D10" s="11">
        <f>SUBTOTAL(103,tblApril[3])</f>
        <v>0</v>
      </c>
      <c r="E10" s="11">
        <f>SUBTOTAL(103,tblApril[4])</f>
        <v>0</v>
      </c>
      <c r="F10" s="11">
        <f>SUBTOTAL(103,tblApril[5])</f>
        <v>0</v>
      </c>
      <c r="G10" s="11">
        <f>SUBTOTAL(103,tblApril[6])</f>
        <v>0</v>
      </c>
      <c r="H10" s="11">
        <f>SUBTOTAL(103,tblApril[7])</f>
        <v>0</v>
      </c>
      <c r="I10" s="11">
        <f>SUBTOTAL(103,tblApril[8])</f>
        <v>0</v>
      </c>
      <c r="J10" s="11">
        <f>SUBTOTAL(103,tblApril[9])</f>
        <v>0</v>
      </c>
      <c r="K10" s="11">
        <f>SUBTOTAL(103,tblApril[10])</f>
        <v>0</v>
      </c>
      <c r="L10" s="11">
        <f>SUBTOTAL(103,tblApril[11])</f>
        <v>0</v>
      </c>
      <c r="M10" s="11">
        <f>SUBTOTAL(103,tblApril[12])</f>
        <v>0</v>
      </c>
      <c r="N10" s="11">
        <f>SUBTOTAL(103,tblApril[13])</f>
        <v>0</v>
      </c>
      <c r="O10" s="11">
        <f>SUBTOTAL(103,tblApril[14])</f>
        <v>0</v>
      </c>
      <c r="P10" s="11">
        <f>SUBTOTAL(103,tblApril[15])</f>
        <v>0</v>
      </c>
      <c r="Q10" s="11">
        <f>SUBTOTAL(103,tblApril[16])</f>
        <v>0</v>
      </c>
      <c r="R10" s="11">
        <f>SUBTOTAL(103,tblApril[17])</f>
        <v>0</v>
      </c>
      <c r="S10" s="11">
        <f>SUBTOTAL(103,tblApril[18])</f>
        <v>0</v>
      </c>
      <c r="T10" s="11">
        <f>SUBTOTAL(103,tblApril[19])</f>
        <v>0</v>
      </c>
      <c r="U10" s="11">
        <f>SUBTOTAL(103,tblApril[20])</f>
        <v>0</v>
      </c>
      <c r="V10" s="11">
        <f>SUBTOTAL(103,tblApril[21])</f>
        <v>0</v>
      </c>
      <c r="W10" s="11">
        <f>SUBTOTAL(103,tblApril[22])</f>
        <v>0</v>
      </c>
      <c r="X10" s="11">
        <f>SUBTOTAL(103,tblApril[23])</f>
        <v>0</v>
      </c>
      <c r="Y10" s="11">
        <f>SUBTOTAL(103,tblApril[24])</f>
        <v>0</v>
      </c>
      <c r="Z10" s="11">
        <f>SUBTOTAL(103,tblApril[25])</f>
        <v>0</v>
      </c>
      <c r="AA10" s="11">
        <f>SUBTOTAL(103,tblApril[26])</f>
        <v>0</v>
      </c>
      <c r="AB10" s="11">
        <f>SUBTOTAL(103,tblApril[27])</f>
        <v>0</v>
      </c>
      <c r="AC10" s="11">
        <f>SUBTOTAL(103,tblApril[28])</f>
        <v>0</v>
      </c>
      <c r="AD10" s="11">
        <f>SUBTOTAL(103,tblApril[29])</f>
        <v>0</v>
      </c>
      <c r="AE10" s="11"/>
      <c r="AF10" s="11"/>
      <c r="AG10" s="11">
        <f>SUBTOTAL(109,tblApril[Total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629" priority="2" stopIfTrue="1">
      <formula>B5=KeyCustom2</formula>
    </cfRule>
    <cfRule type="expression" dxfId="628" priority="3" stopIfTrue="1">
      <formula>B5=KeyCustom1</formula>
    </cfRule>
    <cfRule type="expression" dxfId="627" priority="4" stopIfTrue="1">
      <formula>B5=KeySick</formula>
    </cfRule>
    <cfRule type="expression" dxfId="626" priority="5" stopIfTrue="1">
      <formula>B5=KeyPersonal</formula>
    </cfRule>
    <cfRule type="expression" dxfId="625" priority="6" stopIfTrue="1">
      <formula>B5=KeyVacation</formula>
    </cfRule>
  </conditionalFormatting>
  <conditionalFormatting sqref="AG5:AG9">
    <cfRule type="dataBar" priority="22">
      <dataBar>
        <cfvo type="min"/>
        <cfvo type="formula" val="DATEDIF(DATE(CalendarYear,2,1),DATE(CalendarYear,3,1),&quot;d&quot;)"/>
        <color theme="2" tint="-0.249977111117893"/>
      </dataBar>
      <extLst>
        <ext xmlns:x14="http://schemas.microsoft.com/office/spreadsheetml/2009/9/main" uri="{B025F937-C7B1-47D3-B67F-A62EFF666E3E}">
          <x14:id>{9F84199F-9F40-4560-9610-01EAA5EACF75}</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F84199F-9F40-4560-9610-01EAA5EACF75}">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9.9978637043366805E-2"/>
    <pageSetUpPr fitToPage="1"/>
  </sheetPr>
  <dimension ref="A1:AH12"/>
  <sheetViews>
    <sheetView showGridLines="0" zoomScaleNormal="10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55</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TEXT(WEEKDAY(DATE(CalendarYear,5,1),1),"aaa")</f>
        <v>Fri</v>
      </c>
      <c r="C3" s="29" t="str">
        <f>TEXT(WEEKDAY(DATE(CalendarYear,5,2),1),"aaa")</f>
        <v>Sat</v>
      </c>
      <c r="D3" s="29" t="str">
        <f>TEXT(WEEKDAY(DATE(CalendarYear,5,3),1),"aaa")</f>
        <v>Sun</v>
      </c>
      <c r="E3" s="29" t="str">
        <f>TEXT(WEEKDAY(DATE(CalendarYear,5,4),1),"aaa")</f>
        <v>Mon</v>
      </c>
      <c r="F3" s="29" t="str">
        <f>TEXT(WEEKDAY(DATE(CalendarYear,5,5),1),"aaa")</f>
        <v>Tue</v>
      </c>
      <c r="G3" s="29" t="str">
        <f>TEXT(WEEKDAY(DATE(CalendarYear,5,6),1),"aaa")</f>
        <v>Wed</v>
      </c>
      <c r="H3" s="29" t="str">
        <f>TEXT(WEEKDAY(DATE(CalendarYear,5,7),1),"aaa")</f>
        <v>Thu</v>
      </c>
      <c r="I3" s="29" t="str">
        <f>TEXT(WEEKDAY(DATE(CalendarYear,5,8),1),"aaa")</f>
        <v>Fri</v>
      </c>
      <c r="J3" s="29" t="str">
        <f>TEXT(WEEKDAY(DATE(CalendarYear,5,9),1),"aaa")</f>
        <v>Sat</v>
      </c>
      <c r="K3" s="29" t="str">
        <f>TEXT(WEEKDAY(DATE(CalendarYear,5,10),1),"aaa")</f>
        <v>Sun</v>
      </c>
      <c r="L3" s="29" t="str">
        <f>TEXT(WEEKDAY(DATE(CalendarYear,5,11),1),"aaa")</f>
        <v>Mon</v>
      </c>
      <c r="M3" s="29" t="str">
        <f>TEXT(WEEKDAY(DATE(CalendarYear,5,12),1),"aaa")</f>
        <v>Tue</v>
      </c>
      <c r="N3" s="29" t="str">
        <f>TEXT(WEEKDAY(DATE(CalendarYear,5,13),1),"aaa")</f>
        <v>Wed</v>
      </c>
      <c r="O3" s="29" t="str">
        <f>TEXT(WEEKDAY(DATE(CalendarYear,5,14),1),"aaa")</f>
        <v>Thu</v>
      </c>
      <c r="P3" s="29" t="str">
        <f>TEXT(WEEKDAY(DATE(CalendarYear,5,15),1),"aaa")</f>
        <v>Fri</v>
      </c>
      <c r="Q3" s="29" t="str">
        <f>TEXT(WEEKDAY(DATE(CalendarYear,5,16),1),"aaa")</f>
        <v>Sat</v>
      </c>
      <c r="R3" s="29" t="str">
        <f>TEXT(WEEKDAY(DATE(CalendarYear,5,17),1),"aaa")</f>
        <v>Sun</v>
      </c>
      <c r="S3" s="29" t="str">
        <f>TEXT(WEEKDAY(DATE(CalendarYear,5,18),1),"aaa")</f>
        <v>Mon</v>
      </c>
      <c r="T3" s="29" t="str">
        <f>TEXT(WEEKDAY(DATE(CalendarYear,5,19),1),"aaa")</f>
        <v>Tue</v>
      </c>
      <c r="U3" s="29" t="str">
        <f>TEXT(WEEKDAY(DATE(CalendarYear,5,20),1),"aaa")</f>
        <v>Wed</v>
      </c>
      <c r="V3" s="29" t="str">
        <f>TEXT(WEEKDAY(DATE(CalendarYear,5,21),1),"aaa")</f>
        <v>Thu</v>
      </c>
      <c r="W3" s="29" t="str">
        <f>TEXT(WEEKDAY(DATE(CalendarYear,5,22),1),"aaa")</f>
        <v>Fri</v>
      </c>
      <c r="X3" s="29" t="str">
        <f>TEXT(WEEKDAY(DATE(CalendarYear,5,23),1),"aaa")</f>
        <v>Sat</v>
      </c>
      <c r="Y3" s="29" t="str">
        <f>TEXT(WEEKDAY(DATE(CalendarYear,5,24),1),"aaa")</f>
        <v>Sun</v>
      </c>
      <c r="Z3" s="29" t="str">
        <f>TEXT(WEEKDAY(DATE(CalendarYear,5,25),1),"aaa")</f>
        <v>Mon</v>
      </c>
      <c r="AA3" s="29" t="str">
        <f>TEXT(WEEKDAY(DATE(CalendarYear,5,26),1),"aaa")</f>
        <v>Tue</v>
      </c>
      <c r="AB3" s="29" t="str">
        <f>TEXT(WEEKDAY(DATE(CalendarYear,5,27),1),"aaa")</f>
        <v>Wed</v>
      </c>
      <c r="AC3" s="29" t="str">
        <f>TEXT(WEEKDAY(DATE(CalendarYear,5,28),1),"aaa")</f>
        <v>Thu</v>
      </c>
      <c r="AD3" s="29" t="str">
        <f>TEXT(WEEKDAY(DATE(CalendarYear,5,29),1),"aaa")</f>
        <v>Fri</v>
      </c>
      <c r="AE3" s="29" t="str">
        <f>TEXT(WEEKDAY(DATE(CalendarYear,5,30),1),"aaa")</f>
        <v>Sat</v>
      </c>
      <c r="AF3" s="29" t="str">
        <f>TEXT(WEEKDAY(DATE(CalendarYear,5,31),1),"aaa")</f>
        <v>Sun</v>
      </c>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33</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COUNTA(tblMay[[#This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COUNTA(tblMay[[#This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COUNTA(tblMay[[#This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COUNTA(tblMay[[#This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COUNTA(tblMay[[#This Row],[1]:[29]])</f>
        <v>0</v>
      </c>
    </row>
    <row r="10" spans="1:34" ht="15" customHeight="1" x14ac:dyDescent="0.25">
      <c r="A10" s="39" t="str">
        <f>MonthName&amp;" Total"</f>
        <v>May Total</v>
      </c>
      <c r="B10" s="11">
        <f>SUBTOTAL(103,tblMay[1])</f>
        <v>0</v>
      </c>
      <c r="C10" s="11">
        <f>SUBTOTAL(103,tblMay[2])</f>
        <v>0</v>
      </c>
      <c r="D10" s="11">
        <f>SUBTOTAL(103,tblMay[3])</f>
        <v>0</v>
      </c>
      <c r="E10" s="11">
        <f>SUBTOTAL(103,tblMay[4])</f>
        <v>0</v>
      </c>
      <c r="F10" s="11">
        <f>SUBTOTAL(103,tblMay[5])</f>
        <v>0</v>
      </c>
      <c r="G10" s="11">
        <f>SUBTOTAL(103,tblMay[6])</f>
        <v>0</v>
      </c>
      <c r="H10" s="11">
        <f>SUBTOTAL(103,tblMay[7])</f>
        <v>0</v>
      </c>
      <c r="I10" s="11">
        <f>SUBTOTAL(103,tblMay[8])</f>
        <v>0</v>
      </c>
      <c r="J10" s="11">
        <f>SUBTOTAL(103,tblMay[9])</f>
        <v>0</v>
      </c>
      <c r="K10" s="11">
        <f>SUBTOTAL(103,tblMay[10])</f>
        <v>0</v>
      </c>
      <c r="L10" s="11">
        <f>SUBTOTAL(103,tblMay[11])</f>
        <v>0</v>
      </c>
      <c r="M10" s="11">
        <f>SUBTOTAL(103,tblMay[12])</f>
        <v>0</v>
      </c>
      <c r="N10" s="11">
        <f>SUBTOTAL(103,tblMay[13])</f>
        <v>0</v>
      </c>
      <c r="O10" s="11">
        <f>SUBTOTAL(103,tblMay[14])</f>
        <v>0</v>
      </c>
      <c r="P10" s="11">
        <f>SUBTOTAL(103,tblMay[15])</f>
        <v>0</v>
      </c>
      <c r="Q10" s="11">
        <f>SUBTOTAL(103,tblMay[16])</f>
        <v>0</v>
      </c>
      <c r="R10" s="11">
        <f>SUBTOTAL(103,tblMay[17])</f>
        <v>0</v>
      </c>
      <c r="S10" s="11">
        <f>SUBTOTAL(103,tblMay[18])</f>
        <v>0</v>
      </c>
      <c r="T10" s="11">
        <f>SUBTOTAL(103,tblMay[19])</f>
        <v>0</v>
      </c>
      <c r="U10" s="11">
        <f>SUBTOTAL(103,tblMay[20])</f>
        <v>0</v>
      </c>
      <c r="V10" s="11">
        <f>SUBTOTAL(103,tblMay[21])</f>
        <v>0</v>
      </c>
      <c r="W10" s="11">
        <f>SUBTOTAL(103,tblMay[22])</f>
        <v>0</v>
      </c>
      <c r="X10" s="11">
        <f>SUBTOTAL(103,tblMay[23])</f>
        <v>0</v>
      </c>
      <c r="Y10" s="11">
        <f>SUBTOTAL(103,tblMay[24])</f>
        <v>0</v>
      </c>
      <c r="Z10" s="11">
        <f>SUBTOTAL(103,tblMay[25])</f>
        <v>0</v>
      </c>
      <c r="AA10" s="11">
        <f>SUBTOTAL(103,tblMay[26])</f>
        <v>0</v>
      </c>
      <c r="AB10" s="11">
        <f>SUBTOTAL(103,tblMay[27])</f>
        <v>0</v>
      </c>
      <c r="AC10" s="11">
        <f>SUBTOTAL(103,tblMay[28])</f>
        <v>0</v>
      </c>
      <c r="AD10" s="11">
        <f>SUBTOTAL(103,tblMay[29])</f>
        <v>0</v>
      </c>
      <c r="AE10" s="11"/>
      <c r="AF10" s="11"/>
      <c r="AG10" s="11">
        <f>SUBTOTAL(109,tblMay[Total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559" priority="2" stopIfTrue="1">
      <formula>B5=KeyCustom2</formula>
    </cfRule>
    <cfRule type="expression" dxfId="558" priority="3" stopIfTrue="1">
      <formula>B5=KeyCustom1</formula>
    </cfRule>
    <cfRule type="expression" dxfId="557" priority="4" stopIfTrue="1">
      <formula>B5=KeySick</formula>
    </cfRule>
    <cfRule type="expression" dxfId="556" priority="5" stopIfTrue="1">
      <formula>B5=KeyPersonal</formula>
    </cfRule>
    <cfRule type="expression" dxfId="555" priority="6" stopIfTrue="1">
      <formula>B5=KeyVacation</formula>
    </cfRule>
  </conditionalFormatting>
  <conditionalFormatting sqref="AG5:AG9">
    <cfRule type="dataBar" priority="23">
      <dataBar>
        <cfvo type="min"/>
        <cfvo type="formula" val="DATEDIF(DATE(CalendarYear,2,1),DATE(CalendarYear,3,1),&quot;d&quot;)"/>
        <color theme="2" tint="-0.249977111117893"/>
      </dataBar>
      <extLst>
        <ext xmlns:x14="http://schemas.microsoft.com/office/spreadsheetml/2009/9/main" uri="{B025F937-C7B1-47D3-B67F-A62EFF666E3E}">
          <x14:id>{21200745-4ED2-4331-A492-FDEB5AAF3195}</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1200745-4ED2-4331-A492-FDEB5AAF3195}">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pageSetUpPr fitToPage="1"/>
  </sheetPr>
  <dimension ref="A1:AH12"/>
  <sheetViews>
    <sheetView showGridLines="0" zoomScaleNormal="10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56</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TEXT(WEEKDAY(DATE(CalendarYear,6,1),1),"aaa")</f>
        <v>Mon</v>
      </c>
      <c r="C3" s="29" t="str">
        <f>TEXT(WEEKDAY(DATE(CalendarYear,6,2),1),"aaa")</f>
        <v>Tue</v>
      </c>
      <c r="D3" s="29" t="str">
        <f>TEXT(WEEKDAY(DATE(CalendarYear,6,3),1),"aaa")</f>
        <v>Wed</v>
      </c>
      <c r="E3" s="29" t="str">
        <f>TEXT(WEEKDAY(DATE(CalendarYear,6,4),1),"aaa")</f>
        <v>Thu</v>
      </c>
      <c r="F3" s="29" t="str">
        <f>TEXT(WEEKDAY(DATE(CalendarYear,6,5),1),"aaa")</f>
        <v>Fri</v>
      </c>
      <c r="G3" s="29" t="str">
        <f>TEXT(WEEKDAY(DATE(CalendarYear,6,6),1),"aaa")</f>
        <v>Sat</v>
      </c>
      <c r="H3" s="29" t="str">
        <f>TEXT(WEEKDAY(DATE(CalendarYear,6,7),1),"aaa")</f>
        <v>Sun</v>
      </c>
      <c r="I3" s="29" t="str">
        <f>TEXT(WEEKDAY(DATE(CalendarYear,6,8),1),"aaa")</f>
        <v>Mon</v>
      </c>
      <c r="J3" s="29" t="str">
        <f>TEXT(WEEKDAY(DATE(CalendarYear,6,9),1),"aaa")</f>
        <v>Tue</v>
      </c>
      <c r="K3" s="29" t="str">
        <f>TEXT(WEEKDAY(DATE(CalendarYear,6,10),1),"aaa")</f>
        <v>Wed</v>
      </c>
      <c r="L3" s="29" t="str">
        <f>TEXT(WEEKDAY(DATE(CalendarYear,6,11),1),"aaa")</f>
        <v>Thu</v>
      </c>
      <c r="M3" s="29" t="str">
        <f>TEXT(WEEKDAY(DATE(CalendarYear,6,12),1),"aaa")</f>
        <v>Fri</v>
      </c>
      <c r="N3" s="29" t="str">
        <f>TEXT(WEEKDAY(DATE(CalendarYear,6,13),1),"aaa")</f>
        <v>Sat</v>
      </c>
      <c r="O3" s="29" t="str">
        <f>TEXT(WEEKDAY(DATE(CalendarYear,6,14),1),"aaa")</f>
        <v>Sun</v>
      </c>
      <c r="P3" s="29" t="str">
        <f>TEXT(WEEKDAY(DATE(CalendarYear,6,15),1),"aaa")</f>
        <v>Mon</v>
      </c>
      <c r="Q3" s="29" t="str">
        <f>TEXT(WEEKDAY(DATE(CalendarYear,6,16),1),"aaa")</f>
        <v>Tue</v>
      </c>
      <c r="R3" s="29" t="str">
        <f>TEXT(WEEKDAY(DATE(CalendarYear,6,17),1),"aaa")</f>
        <v>Wed</v>
      </c>
      <c r="S3" s="29" t="str">
        <f>TEXT(WEEKDAY(DATE(CalendarYear,6,18),1),"aaa")</f>
        <v>Thu</v>
      </c>
      <c r="T3" s="29" t="str">
        <f>TEXT(WEEKDAY(DATE(CalendarYear,6,19),1),"aaa")</f>
        <v>Fri</v>
      </c>
      <c r="U3" s="29" t="str">
        <f>TEXT(WEEKDAY(DATE(CalendarYear,6,20),1),"aaa")</f>
        <v>Sat</v>
      </c>
      <c r="V3" s="29" t="str">
        <f>TEXT(WEEKDAY(DATE(CalendarYear,6,21),1),"aaa")</f>
        <v>Sun</v>
      </c>
      <c r="W3" s="29" t="str">
        <f>TEXT(WEEKDAY(DATE(CalendarYear,6,22),1),"aaa")</f>
        <v>Mon</v>
      </c>
      <c r="X3" s="29" t="str">
        <f>TEXT(WEEKDAY(DATE(CalendarYear,6,23),1),"aaa")</f>
        <v>Tue</v>
      </c>
      <c r="Y3" s="29" t="str">
        <f>TEXT(WEEKDAY(DATE(CalendarYear,6,24),1),"aaa")</f>
        <v>Wed</v>
      </c>
      <c r="Z3" s="29" t="str">
        <f>TEXT(WEEKDAY(DATE(CalendarYear,6,25),1),"aaa")</f>
        <v>Thu</v>
      </c>
      <c r="AA3" s="29" t="str">
        <f>TEXT(WEEKDAY(DATE(CalendarYear,6,26),1),"aaa")</f>
        <v>Fri</v>
      </c>
      <c r="AB3" s="29" t="str">
        <f>TEXT(WEEKDAY(DATE(CalendarYear,6,27),1),"aaa")</f>
        <v>Sat</v>
      </c>
      <c r="AC3" s="29" t="str">
        <f>TEXT(WEEKDAY(DATE(CalendarYear,6,28),1),"aaa")</f>
        <v>Sun</v>
      </c>
      <c r="AD3" s="29" t="str">
        <f>TEXT(WEEKDAY(DATE(CalendarYear,6,29),1),"aaa")</f>
        <v>Mon</v>
      </c>
      <c r="AE3" s="29" t="str">
        <f>TEXT(WEEKDAY(DATE(CalendarYear,6,30),1),"aaa")</f>
        <v>Tue</v>
      </c>
      <c r="AF3" s="29"/>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39</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COUNTA(tblJune[[#This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COUNTA(tblJune[[#This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COUNTA(tblJune[[#This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COUNTA(tblJune[[#This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COUNTA(tblJune[[#This Row],[1]:[29]])</f>
        <v>0</v>
      </c>
    </row>
    <row r="10" spans="1:34" ht="15" customHeight="1" x14ac:dyDescent="0.25">
      <c r="A10" s="39" t="str">
        <f>MonthName&amp;" Total"</f>
        <v>June Total</v>
      </c>
      <c r="B10" s="11">
        <f>SUBTOTAL(103,tblJune[1])</f>
        <v>0</v>
      </c>
      <c r="C10" s="11">
        <f>SUBTOTAL(103,tblJune[2])</f>
        <v>0</v>
      </c>
      <c r="D10" s="11">
        <f>SUBTOTAL(103,tblJune[3])</f>
        <v>0</v>
      </c>
      <c r="E10" s="11">
        <f>SUBTOTAL(103,tblJune[4])</f>
        <v>0</v>
      </c>
      <c r="F10" s="11">
        <f>SUBTOTAL(103,tblJune[5])</f>
        <v>0</v>
      </c>
      <c r="G10" s="11">
        <f>SUBTOTAL(103,tblJune[6])</f>
        <v>0</v>
      </c>
      <c r="H10" s="11">
        <f>SUBTOTAL(103,tblJune[7])</f>
        <v>0</v>
      </c>
      <c r="I10" s="11">
        <f>SUBTOTAL(103,tblJune[8])</f>
        <v>0</v>
      </c>
      <c r="J10" s="11">
        <f>SUBTOTAL(103,tblJune[9])</f>
        <v>0</v>
      </c>
      <c r="K10" s="11">
        <f>SUBTOTAL(103,tblJune[10])</f>
        <v>0</v>
      </c>
      <c r="L10" s="11">
        <f>SUBTOTAL(103,tblJune[11])</f>
        <v>0</v>
      </c>
      <c r="M10" s="11">
        <f>SUBTOTAL(103,tblJune[12])</f>
        <v>0</v>
      </c>
      <c r="N10" s="11">
        <f>SUBTOTAL(103,tblJune[13])</f>
        <v>0</v>
      </c>
      <c r="O10" s="11">
        <f>SUBTOTAL(103,tblJune[14])</f>
        <v>0</v>
      </c>
      <c r="P10" s="11">
        <f>SUBTOTAL(103,tblJune[15])</f>
        <v>0</v>
      </c>
      <c r="Q10" s="11">
        <f>SUBTOTAL(103,tblJune[16])</f>
        <v>0</v>
      </c>
      <c r="R10" s="11">
        <f>SUBTOTAL(103,tblJune[17])</f>
        <v>0</v>
      </c>
      <c r="S10" s="11">
        <f>SUBTOTAL(103,tblJune[18])</f>
        <v>0</v>
      </c>
      <c r="T10" s="11">
        <f>SUBTOTAL(103,tblJune[19])</f>
        <v>0</v>
      </c>
      <c r="U10" s="11">
        <f>SUBTOTAL(103,tblJune[20])</f>
        <v>0</v>
      </c>
      <c r="V10" s="11">
        <f>SUBTOTAL(103,tblJune[21])</f>
        <v>0</v>
      </c>
      <c r="W10" s="11">
        <f>SUBTOTAL(103,tblJune[22])</f>
        <v>0</v>
      </c>
      <c r="X10" s="11">
        <f>SUBTOTAL(103,tblJune[23])</f>
        <v>0</v>
      </c>
      <c r="Y10" s="11">
        <f>SUBTOTAL(103,tblJune[24])</f>
        <v>0</v>
      </c>
      <c r="Z10" s="11">
        <f>SUBTOTAL(103,tblJune[25])</f>
        <v>0</v>
      </c>
      <c r="AA10" s="11">
        <f>SUBTOTAL(103,tblJune[26])</f>
        <v>0</v>
      </c>
      <c r="AB10" s="11">
        <f>SUBTOTAL(103,tblJune[27])</f>
        <v>0</v>
      </c>
      <c r="AC10" s="11">
        <f>SUBTOTAL(103,tblJune[28])</f>
        <v>0</v>
      </c>
      <c r="AD10" s="11">
        <f>SUBTOTAL(103,tblJune[29])</f>
        <v>0</v>
      </c>
      <c r="AE10" s="11"/>
      <c r="AF10" s="11"/>
      <c r="AG10" s="11">
        <f>SUBTOTAL(109,tblJune[Total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489" priority="2" stopIfTrue="1">
      <formula>B5=KeyCustom2</formula>
    </cfRule>
    <cfRule type="expression" dxfId="488" priority="3" stopIfTrue="1">
      <formula>B5=KeyCustom1</formula>
    </cfRule>
    <cfRule type="expression" dxfId="487" priority="4" stopIfTrue="1">
      <formula>B5=KeySick</formula>
    </cfRule>
    <cfRule type="expression" dxfId="486" priority="5" stopIfTrue="1">
      <formula>B5=KeyPersonal</formula>
    </cfRule>
    <cfRule type="expression" dxfId="485" priority="6" stopIfTrue="1">
      <formula>B5=KeyVacation</formula>
    </cfRule>
  </conditionalFormatting>
  <conditionalFormatting sqref="AG5:AG9">
    <cfRule type="dataBar" priority="24">
      <dataBar>
        <cfvo type="min"/>
        <cfvo type="formula" val="DATEDIF(DATE(CalendarYear,2,1),DATE(CalendarYear,3,1),&quot;d&quot;)"/>
        <color theme="2" tint="-0.249977111117893"/>
      </dataBar>
      <extLst>
        <ext xmlns:x14="http://schemas.microsoft.com/office/spreadsheetml/2009/9/main" uri="{B025F937-C7B1-47D3-B67F-A62EFF666E3E}">
          <x14:id>{FA2C5745-D9F6-46CB-8A63-694F9E52E516}</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A2C5745-D9F6-46CB-8A63-694F9E52E516}">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tint="-0.89999084444715716"/>
    <pageSetUpPr fitToPage="1"/>
  </sheetPr>
  <dimension ref="A1:AH12"/>
  <sheetViews>
    <sheetView showGridLines="0" zoomScaleNormal="10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57</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TEXT(WEEKDAY(DATE(CalendarYear,7,1),1),"aaa")</f>
        <v>Wed</v>
      </c>
      <c r="C3" s="29" t="str">
        <f>TEXT(WEEKDAY(DATE(CalendarYear,7,2),1),"aaa")</f>
        <v>Thu</v>
      </c>
      <c r="D3" s="29" t="str">
        <f>TEXT(WEEKDAY(DATE(CalendarYear,7,3),1),"aaa")</f>
        <v>Fri</v>
      </c>
      <c r="E3" s="29" t="str">
        <f>TEXT(WEEKDAY(DATE(CalendarYear,7,4),1),"aaa")</f>
        <v>Sat</v>
      </c>
      <c r="F3" s="29" t="str">
        <f>TEXT(WEEKDAY(DATE(CalendarYear,7,5),1),"aaa")</f>
        <v>Sun</v>
      </c>
      <c r="G3" s="29" t="str">
        <f>TEXT(WEEKDAY(DATE(CalendarYear,7,6),1),"aaa")</f>
        <v>Mon</v>
      </c>
      <c r="H3" s="29" t="str">
        <f>TEXT(WEEKDAY(DATE(CalendarYear,7,7),1),"aaa")</f>
        <v>Tue</v>
      </c>
      <c r="I3" s="29" t="str">
        <f>TEXT(WEEKDAY(DATE(CalendarYear,7,8),1),"aaa")</f>
        <v>Wed</v>
      </c>
      <c r="J3" s="29" t="str">
        <f>TEXT(WEEKDAY(DATE(CalendarYear,7,9),1),"aaa")</f>
        <v>Thu</v>
      </c>
      <c r="K3" s="29" t="str">
        <f>TEXT(WEEKDAY(DATE(CalendarYear,7,10),1),"aaa")</f>
        <v>Fri</v>
      </c>
      <c r="L3" s="29" t="str">
        <f>TEXT(WEEKDAY(DATE(CalendarYear,7,11),1),"aaa")</f>
        <v>Sat</v>
      </c>
      <c r="M3" s="29" t="str">
        <f>TEXT(WEEKDAY(DATE(CalendarYear,7,12),1),"aaa")</f>
        <v>Sun</v>
      </c>
      <c r="N3" s="29" t="str">
        <f>TEXT(WEEKDAY(DATE(CalendarYear,7,13),1),"aaa")</f>
        <v>Mon</v>
      </c>
      <c r="O3" s="29" t="str">
        <f>TEXT(WEEKDAY(DATE(CalendarYear,7,14),1),"aaa")</f>
        <v>Tue</v>
      </c>
      <c r="P3" s="29" t="str">
        <f>TEXT(WEEKDAY(DATE(CalendarYear,7,15),1),"aaa")</f>
        <v>Wed</v>
      </c>
      <c r="Q3" s="29" t="str">
        <f>TEXT(WEEKDAY(DATE(CalendarYear,7,16),1),"aaa")</f>
        <v>Thu</v>
      </c>
      <c r="R3" s="29" t="str">
        <f>TEXT(WEEKDAY(DATE(CalendarYear,7,17),1),"aaa")</f>
        <v>Fri</v>
      </c>
      <c r="S3" s="29" t="str">
        <f>TEXT(WEEKDAY(DATE(CalendarYear,7,18),1),"aaa")</f>
        <v>Sat</v>
      </c>
      <c r="T3" s="29" t="str">
        <f>TEXT(WEEKDAY(DATE(CalendarYear,7,19),1),"aaa")</f>
        <v>Sun</v>
      </c>
      <c r="U3" s="29" t="str">
        <f>TEXT(WEEKDAY(DATE(CalendarYear,7,20),1),"aaa")</f>
        <v>Mon</v>
      </c>
      <c r="V3" s="29" t="str">
        <f>TEXT(WEEKDAY(DATE(CalendarYear,7,21),1),"aaa")</f>
        <v>Tue</v>
      </c>
      <c r="W3" s="29" t="str">
        <f>TEXT(WEEKDAY(DATE(CalendarYear,7,22),1),"aaa")</f>
        <v>Wed</v>
      </c>
      <c r="X3" s="29" t="str">
        <f>TEXT(WEEKDAY(DATE(CalendarYear,7,23),1),"aaa")</f>
        <v>Thu</v>
      </c>
      <c r="Y3" s="29" t="str">
        <f>TEXT(WEEKDAY(DATE(CalendarYear,7,24),1),"aaa")</f>
        <v>Fri</v>
      </c>
      <c r="Z3" s="29" t="str">
        <f>TEXT(WEEKDAY(DATE(CalendarYear,7,25),1),"aaa")</f>
        <v>Sat</v>
      </c>
      <c r="AA3" s="29" t="str">
        <f>TEXT(WEEKDAY(DATE(CalendarYear,7,26),1),"aaa")</f>
        <v>Sun</v>
      </c>
      <c r="AB3" s="29" t="str">
        <f>TEXT(WEEKDAY(DATE(CalendarYear,7,27),1),"aaa")</f>
        <v>Mon</v>
      </c>
      <c r="AC3" s="29" t="str">
        <f>TEXT(WEEKDAY(DATE(CalendarYear,7,28),1),"aaa")</f>
        <v>Tue</v>
      </c>
      <c r="AD3" s="29" t="str">
        <f>TEXT(WEEKDAY(DATE(CalendarYear,7,29),1),"aaa")</f>
        <v>Wed</v>
      </c>
      <c r="AE3" s="29" t="str">
        <f>TEXT(WEEKDAY(DATE(CalendarYear,7,30),1),"aaa")</f>
        <v>Thu</v>
      </c>
      <c r="AF3" s="29" t="str">
        <f>TEXT(WEEKDAY(DATE(CalendarYear,7,31),1),"aaa")</f>
        <v>Fri</v>
      </c>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33</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COUNTA(tblJuly[[#This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COUNTA(tblJuly[[#This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COUNTA(tblJuly[[#This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COUNTA(tblJuly[[#This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COUNTA(tblJuly[[#This Row],[1]:[29]])</f>
        <v>0</v>
      </c>
    </row>
    <row r="10" spans="1:34" ht="15" customHeight="1" x14ac:dyDescent="0.25">
      <c r="A10" s="39" t="str">
        <f>MonthName&amp;" Total"</f>
        <v>July Total</v>
      </c>
      <c r="B10" s="11">
        <f>SUBTOTAL(103,tblJuly[1])</f>
        <v>0</v>
      </c>
      <c r="C10" s="11">
        <f>SUBTOTAL(103,tblJuly[2])</f>
        <v>0</v>
      </c>
      <c r="D10" s="11">
        <f>SUBTOTAL(103,tblJuly[3])</f>
        <v>0</v>
      </c>
      <c r="E10" s="11">
        <f>SUBTOTAL(103,tblJuly[4])</f>
        <v>0</v>
      </c>
      <c r="F10" s="11">
        <f>SUBTOTAL(103,tblJuly[5])</f>
        <v>0</v>
      </c>
      <c r="G10" s="11">
        <f>SUBTOTAL(103,tblJuly[6])</f>
        <v>0</v>
      </c>
      <c r="H10" s="11">
        <f>SUBTOTAL(103,tblJuly[7])</f>
        <v>0</v>
      </c>
      <c r="I10" s="11">
        <f>SUBTOTAL(103,tblJuly[8])</f>
        <v>0</v>
      </c>
      <c r="J10" s="11">
        <f>SUBTOTAL(103,tblJuly[9])</f>
        <v>0</v>
      </c>
      <c r="K10" s="11">
        <f>SUBTOTAL(103,tblJuly[10])</f>
        <v>0</v>
      </c>
      <c r="L10" s="11">
        <f>SUBTOTAL(103,tblJuly[11])</f>
        <v>0</v>
      </c>
      <c r="M10" s="11">
        <f>SUBTOTAL(103,tblJuly[12])</f>
        <v>0</v>
      </c>
      <c r="N10" s="11">
        <f>SUBTOTAL(103,tblJuly[13])</f>
        <v>0</v>
      </c>
      <c r="O10" s="11">
        <f>SUBTOTAL(103,tblJuly[14])</f>
        <v>0</v>
      </c>
      <c r="P10" s="11">
        <f>SUBTOTAL(103,tblJuly[15])</f>
        <v>0</v>
      </c>
      <c r="Q10" s="11">
        <f>SUBTOTAL(103,tblJuly[16])</f>
        <v>0</v>
      </c>
      <c r="R10" s="11">
        <f>SUBTOTAL(103,tblJuly[17])</f>
        <v>0</v>
      </c>
      <c r="S10" s="11">
        <f>SUBTOTAL(103,tblJuly[18])</f>
        <v>0</v>
      </c>
      <c r="T10" s="11">
        <f>SUBTOTAL(103,tblJuly[19])</f>
        <v>0</v>
      </c>
      <c r="U10" s="11">
        <f>SUBTOTAL(103,tblJuly[20])</f>
        <v>0</v>
      </c>
      <c r="V10" s="11">
        <f>SUBTOTAL(103,tblJuly[21])</f>
        <v>0</v>
      </c>
      <c r="W10" s="11">
        <f>SUBTOTAL(103,tblJuly[22])</f>
        <v>0</v>
      </c>
      <c r="X10" s="11">
        <f>SUBTOTAL(103,tblJuly[23])</f>
        <v>0</v>
      </c>
      <c r="Y10" s="11">
        <f>SUBTOTAL(103,tblJuly[24])</f>
        <v>0</v>
      </c>
      <c r="Z10" s="11">
        <f>SUBTOTAL(103,tblJuly[25])</f>
        <v>0</v>
      </c>
      <c r="AA10" s="11">
        <f>SUBTOTAL(103,tblJuly[26])</f>
        <v>0</v>
      </c>
      <c r="AB10" s="11">
        <f>SUBTOTAL(103,tblJuly[27])</f>
        <v>0</v>
      </c>
      <c r="AC10" s="11">
        <f>SUBTOTAL(103,tblJuly[28])</f>
        <v>0</v>
      </c>
      <c r="AD10" s="11">
        <f>SUBTOTAL(103,tblJuly[29])</f>
        <v>0</v>
      </c>
      <c r="AE10" s="11"/>
      <c r="AF10" s="11"/>
      <c r="AG10" s="11">
        <f>SUBTOTAL(109,tblJuly[Total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419" priority="2" stopIfTrue="1">
      <formula>B5=KeyCustom2</formula>
    </cfRule>
    <cfRule type="expression" dxfId="418" priority="3" stopIfTrue="1">
      <formula>B5=KeyCustom1</formula>
    </cfRule>
    <cfRule type="expression" dxfId="417" priority="4" stopIfTrue="1">
      <formula>B5=KeySick</formula>
    </cfRule>
    <cfRule type="expression" dxfId="416" priority="5" stopIfTrue="1">
      <formula>B5=KeyPersonal</formula>
    </cfRule>
    <cfRule type="expression" dxfId="415" priority="6" stopIfTrue="1">
      <formula>B5=KeyVacation</formula>
    </cfRule>
  </conditionalFormatting>
  <conditionalFormatting sqref="AG5:AG9">
    <cfRule type="dataBar" priority="25">
      <dataBar>
        <cfvo type="min"/>
        <cfvo type="formula" val="DATEDIF(DATE(CalendarYear,2,1),DATE(CalendarYear,3,1),&quot;d&quot;)"/>
        <color theme="2" tint="-0.249977111117893"/>
      </dataBar>
      <extLst>
        <ext xmlns:x14="http://schemas.microsoft.com/office/spreadsheetml/2009/9/main" uri="{B025F937-C7B1-47D3-B67F-A62EFF666E3E}">
          <x14:id>{15FE6D65-ECEC-46F2-A3C1-0385AFBC7710}</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5FE6D65-ECEC-46F2-A3C1-0385AFBC7710}">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749992370372631"/>
    <pageSetUpPr fitToPage="1"/>
  </sheetPr>
  <dimension ref="A1:AH12"/>
  <sheetViews>
    <sheetView showGridLines="0" zoomScaleNormal="10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58</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TEXT(WEEKDAY(DATE(CalendarYear,8,1),1),"aaa")</f>
        <v>Sat</v>
      </c>
      <c r="C3" s="29" t="str">
        <f>TEXT(WEEKDAY(DATE(CalendarYear,8,2),1),"aaa")</f>
        <v>Sun</v>
      </c>
      <c r="D3" s="29" t="str">
        <f>TEXT(WEEKDAY(DATE(CalendarYear,8,3),1),"aaa")</f>
        <v>Mon</v>
      </c>
      <c r="E3" s="29" t="str">
        <f>TEXT(WEEKDAY(DATE(CalendarYear,8,4),1),"aaa")</f>
        <v>Tue</v>
      </c>
      <c r="F3" s="29" t="str">
        <f>TEXT(WEEKDAY(DATE(CalendarYear,8,5),1),"aaa")</f>
        <v>Wed</v>
      </c>
      <c r="G3" s="29" t="str">
        <f>TEXT(WEEKDAY(DATE(CalendarYear,8,6),1),"aaa")</f>
        <v>Thu</v>
      </c>
      <c r="H3" s="29" t="str">
        <f>TEXT(WEEKDAY(DATE(CalendarYear,8,7),1),"aaa")</f>
        <v>Fri</v>
      </c>
      <c r="I3" s="29" t="str">
        <f>TEXT(WEEKDAY(DATE(CalendarYear,8,8),1),"aaa")</f>
        <v>Sat</v>
      </c>
      <c r="J3" s="29" t="str">
        <f>TEXT(WEEKDAY(DATE(CalendarYear,8,9),1),"aaa")</f>
        <v>Sun</v>
      </c>
      <c r="K3" s="29" t="str">
        <f>TEXT(WEEKDAY(DATE(CalendarYear,8,10),1),"aaa")</f>
        <v>Mon</v>
      </c>
      <c r="L3" s="29" t="str">
        <f>TEXT(WEEKDAY(DATE(CalendarYear,8,11),1),"aaa")</f>
        <v>Tue</v>
      </c>
      <c r="M3" s="29" t="str">
        <f>TEXT(WEEKDAY(DATE(CalendarYear,8,12),1),"aaa")</f>
        <v>Wed</v>
      </c>
      <c r="N3" s="29" t="str">
        <f>TEXT(WEEKDAY(DATE(CalendarYear,8,13),1),"aaa")</f>
        <v>Thu</v>
      </c>
      <c r="O3" s="29" t="str">
        <f>TEXT(WEEKDAY(DATE(CalendarYear,8,14),1),"aaa")</f>
        <v>Fri</v>
      </c>
      <c r="P3" s="29" t="str">
        <f>TEXT(WEEKDAY(DATE(CalendarYear,8,15),1),"aaa")</f>
        <v>Sat</v>
      </c>
      <c r="Q3" s="29" t="str">
        <f>TEXT(WEEKDAY(DATE(CalendarYear,8,16),1),"aaa")</f>
        <v>Sun</v>
      </c>
      <c r="R3" s="29" t="str">
        <f>TEXT(WEEKDAY(DATE(CalendarYear,8,17),1),"aaa")</f>
        <v>Mon</v>
      </c>
      <c r="S3" s="29" t="str">
        <f>TEXT(WEEKDAY(DATE(CalendarYear,8,18),1),"aaa")</f>
        <v>Tue</v>
      </c>
      <c r="T3" s="29" t="str">
        <f>TEXT(WEEKDAY(DATE(CalendarYear,8,19),1),"aaa")</f>
        <v>Wed</v>
      </c>
      <c r="U3" s="29" t="str">
        <f>TEXT(WEEKDAY(DATE(CalendarYear,8,20),1),"aaa")</f>
        <v>Thu</v>
      </c>
      <c r="V3" s="29" t="str">
        <f>TEXT(WEEKDAY(DATE(CalendarYear,8,21),1),"aaa")</f>
        <v>Fri</v>
      </c>
      <c r="W3" s="29" t="str">
        <f>TEXT(WEEKDAY(DATE(CalendarYear,8,22),1),"aaa")</f>
        <v>Sat</v>
      </c>
      <c r="X3" s="29" t="str">
        <f>TEXT(WEEKDAY(DATE(CalendarYear,8,23),1),"aaa")</f>
        <v>Sun</v>
      </c>
      <c r="Y3" s="29" t="str">
        <f>TEXT(WEEKDAY(DATE(CalendarYear,8,24),1),"aaa")</f>
        <v>Mon</v>
      </c>
      <c r="Z3" s="29" t="str">
        <f>TEXT(WEEKDAY(DATE(CalendarYear,8,25),1),"aaa")</f>
        <v>Tue</v>
      </c>
      <c r="AA3" s="29" t="str">
        <f>TEXT(WEEKDAY(DATE(CalendarYear,8,26),1),"aaa")</f>
        <v>Wed</v>
      </c>
      <c r="AB3" s="29" t="str">
        <f>TEXT(WEEKDAY(DATE(CalendarYear,8,27),1),"aaa")</f>
        <v>Thu</v>
      </c>
      <c r="AC3" s="29" t="str">
        <f>TEXT(WEEKDAY(DATE(CalendarYear,8,28),1),"aaa")</f>
        <v>Fri</v>
      </c>
      <c r="AD3" s="29" t="str">
        <f>TEXT(WEEKDAY(DATE(CalendarYear,8,29),1),"aaa")</f>
        <v>Sat</v>
      </c>
      <c r="AE3" s="29" t="str">
        <f>TEXT(WEEKDAY(DATE(CalendarYear,8,30),1),"aaa")</f>
        <v>Sun</v>
      </c>
      <c r="AF3" s="29" t="str">
        <f>TEXT(WEEKDAY(DATE(CalendarYear,8,31),1),"aaa")</f>
        <v>Mon</v>
      </c>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33</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COUNTA(tblAugust[[#This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COUNTA(tblAugust[[#This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COUNTA(tblAugust[[#This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COUNTA(tblAugust[[#This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COUNTA(tblAugust[[#This Row],[1]:[29]])</f>
        <v>0</v>
      </c>
    </row>
    <row r="10" spans="1:34" ht="15" customHeight="1" x14ac:dyDescent="0.25">
      <c r="A10" s="39" t="str">
        <f>MonthName&amp;" Total"</f>
        <v>August Total</v>
      </c>
      <c r="B10" s="11">
        <f>SUBTOTAL(103,tblAugust[1])</f>
        <v>0</v>
      </c>
      <c r="C10" s="11">
        <f>SUBTOTAL(103,tblAugust[2])</f>
        <v>0</v>
      </c>
      <c r="D10" s="11">
        <f>SUBTOTAL(103,tblAugust[3])</f>
        <v>0</v>
      </c>
      <c r="E10" s="11">
        <f>SUBTOTAL(103,tblAugust[4])</f>
        <v>0</v>
      </c>
      <c r="F10" s="11">
        <f>SUBTOTAL(103,tblAugust[5])</f>
        <v>0</v>
      </c>
      <c r="G10" s="11">
        <f>SUBTOTAL(103,tblAugust[6])</f>
        <v>0</v>
      </c>
      <c r="H10" s="11">
        <f>SUBTOTAL(103,tblAugust[7])</f>
        <v>0</v>
      </c>
      <c r="I10" s="11">
        <f>SUBTOTAL(103,tblAugust[8])</f>
        <v>0</v>
      </c>
      <c r="J10" s="11">
        <f>SUBTOTAL(103,tblAugust[9])</f>
        <v>0</v>
      </c>
      <c r="K10" s="11">
        <f>SUBTOTAL(103,tblAugust[10])</f>
        <v>0</v>
      </c>
      <c r="L10" s="11">
        <f>SUBTOTAL(103,tblAugust[11])</f>
        <v>0</v>
      </c>
      <c r="M10" s="11">
        <f>SUBTOTAL(103,tblAugust[12])</f>
        <v>0</v>
      </c>
      <c r="N10" s="11">
        <f>SUBTOTAL(103,tblAugust[13])</f>
        <v>0</v>
      </c>
      <c r="O10" s="11">
        <f>SUBTOTAL(103,tblAugust[14])</f>
        <v>0</v>
      </c>
      <c r="P10" s="11">
        <f>SUBTOTAL(103,tblAugust[15])</f>
        <v>0</v>
      </c>
      <c r="Q10" s="11">
        <f>SUBTOTAL(103,tblAugust[16])</f>
        <v>0</v>
      </c>
      <c r="R10" s="11">
        <f>SUBTOTAL(103,tblAugust[17])</f>
        <v>0</v>
      </c>
      <c r="S10" s="11">
        <f>SUBTOTAL(103,tblAugust[18])</f>
        <v>0</v>
      </c>
      <c r="T10" s="11">
        <f>SUBTOTAL(103,tblAugust[19])</f>
        <v>0</v>
      </c>
      <c r="U10" s="11">
        <f>SUBTOTAL(103,tblAugust[20])</f>
        <v>0</v>
      </c>
      <c r="V10" s="11">
        <f>SUBTOTAL(103,tblAugust[21])</f>
        <v>0</v>
      </c>
      <c r="W10" s="11">
        <f>SUBTOTAL(103,tblAugust[22])</f>
        <v>0</v>
      </c>
      <c r="X10" s="11">
        <f>SUBTOTAL(103,tblAugust[23])</f>
        <v>0</v>
      </c>
      <c r="Y10" s="11">
        <f>SUBTOTAL(103,tblAugust[24])</f>
        <v>0</v>
      </c>
      <c r="Z10" s="11">
        <f>SUBTOTAL(103,tblAugust[25])</f>
        <v>0</v>
      </c>
      <c r="AA10" s="11">
        <f>SUBTOTAL(103,tblAugust[26])</f>
        <v>0</v>
      </c>
      <c r="AB10" s="11">
        <f>SUBTOTAL(103,tblAugust[27])</f>
        <v>0</v>
      </c>
      <c r="AC10" s="11">
        <f>SUBTOTAL(103,tblAugust[28])</f>
        <v>0</v>
      </c>
      <c r="AD10" s="11">
        <f>SUBTOTAL(103,tblAugust[29])</f>
        <v>0</v>
      </c>
      <c r="AE10" s="11"/>
      <c r="AF10" s="11"/>
      <c r="AG10" s="11">
        <f>SUBTOTAL(109,tblAugust[Total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349" priority="2" stopIfTrue="1">
      <formula>B5=KeyCustom2</formula>
    </cfRule>
    <cfRule type="expression" dxfId="348" priority="3" stopIfTrue="1">
      <formula>B5=KeyCustom1</formula>
    </cfRule>
    <cfRule type="expression" dxfId="347" priority="4" stopIfTrue="1">
      <formula>B5=KeySick</formula>
    </cfRule>
    <cfRule type="expression" dxfId="346" priority="5" stopIfTrue="1">
      <formula>B5=KeyPersonal</formula>
    </cfRule>
    <cfRule type="expression" dxfId="345" priority="6" stopIfTrue="1">
      <formula>B5=KeyVacation</formula>
    </cfRule>
  </conditionalFormatting>
  <conditionalFormatting sqref="AG5:AG9">
    <cfRule type="dataBar" priority="26">
      <dataBar>
        <cfvo type="min"/>
        <cfvo type="formula" val="DATEDIF(DATE(CalendarYear,2,1),DATE(CalendarYear,3,1),&quot;d&quot;)"/>
        <color theme="2" tint="-0.249977111117893"/>
      </dataBar>
      <extLst>
        <ext xmlns:x14="http://schemas.microsoft.com/office/spreadsheetml/2009/9/main" uri="{B025F937-C7B1-47D3-B67F-A62EFF666E3E}">
          <x14:id>{FC085EDD-0205-4B5F-B398-CECC5AA8DBEE}</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C085EDD-0205-4B5F-B398-CECC5AA8DBEE}">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pageSetUpPr fitToPage="1"/>
  </sheetPr>
  <dimension ref="A1:AH12"/>
  <sheetViews>
    <sheetView showGridLines="0" zoomScaleNormal="100" workbookViewId="0"/>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49" t="s">
        <v>59</v>
      </c>
      <c r="B2" s="47" t="s">
        <v>1</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50">
        <f>CalendarYear</f>
        <v>2015</v>
      </c>
    </row>
    <row r="3" spans="1:34" ht="15.75" customHeight="1" x14ac:dyDescent="0.25">
      <c r="A3" s="49"/>
      <c r="B3" s="28" t="str">
        <f>TEXT(WEEKDAY(DATE(CalendarYear,9,1),1),"aaa")</f>
        <v>Tue</v>
      </c>
      <c r="C3" s="29" t="str">
        <f>TEXT(WEEKDAY(DATE(CalendarYear,9,2),1),"aaa")</f>
        <v>Wed</v>
      </c>
      <c r="D3" s="29" t="str">
        <f>TEXT(WEEKDAY(DATE(CalendarYear,9,3),1),"aaa")</f>
        <v>Thu</v>
      </c>
      <c r="E3" s="29" t="str">
        <f>TEXT(WEEKDAY(DATE(CalendarYear,9,4),1),"aaa")</f>
        <v>Fri</v>
      </c>
      <c r="F3" s="29" t="str">
        <f>TEXT(WEEKDAY(DATE(CalendarYear,9,5),1),"aaa")</f>
        <v>Sat</v>
      </c>
      <c r="G3" s="29" t="str">
        <f>TEXT(WEEKDAY(DATE(CalendarYear,9,6),1),"aaa")</f>
        <v>Sun</v>
      </c>
      <c r="H3" s="29" t="str">
        <f>TEXT(WEEKDAY(DATE(CalendarYear,9,7),1),"aaa")</f>
        <v>Mon</v>
      </c>
      <c r="I3" s="29" t="str">
        <f>TEXT(WEEKDAY(DATE(CalendarYear,9,8),1),"aaa")</f>
        <v>Tue</v>
      </c>
      <c r="J3" s="29" t="str">
        <f>TEXT(WEEKDAY(DATE(CalendarYear,9,9),1),"aaa")</f>
        <v>Wed</v>
      </c>
      <c r="K3" s="29" t="str">
        <f>TEXT(WEEKDAY(DATE(CalendarYear,9,10),1),"aaa")</f>
        <v>Thu</v>
      </c>
      <c r="L3" s="29" t="str">
        <f>TEXT(WEEKDAY(DATE(CalendarYear,9,11),1),"aaa")</f>
        <v>Fri</v>
      </c>
      <c r="M3" s="29" t="str">
        <f>TEXT(WEEKDAY(DATE(CalendarYear,9,12),1),"aaa")</f>
        <v>Sat</v>
      </c>
      <c r="N3" s="29" t="str">
        <f>TEXT(WEEKDAY(DATE(CalendarYear,9,13),1),"aaa")</f>
        <v>Sun</v>
      </c>
      <c r="O3" s="29" t="str">
        <f>TEXT(WEEKDAY(DATE(CalendarYear,9,14),1),"aaa")</f>
        <v>Mon</v>
      </c>
      <c r="P3" s="29" t="str">
        <f>TEXT(WEEKDAY(DATE(CalendarYear,9,15),1),"aaa")</f>
        <v>Tue</v>
      </c>
      <c r="Q3" s="29" t="str">
        <f>TEXT(WEEKDAY(DATE(CalendarYear,9,16),1),"aaa")</f>
        <v>Wed</v>
      </c>
      <c r="R3" s="29" t="str">
        <f>TEXT(WEEKDAY(DATE(CalendarYear,9,17),1),"aaa")</f>
        <v>Thu</v>
      </c>
      <c r="S3" s="29" t="str">
        <f>TEXT(WEEKDAY(DATE(CalendarYear,9,18),1),"aaa")</f>
        <v>Fri</v>
      </c>
      <c r="T3" s="29" t="str">
        <f>TEXT(WEEKDAY(DATE(CalendarYear,9,19),1),"aaa")</f>
        <v>Sat</v>
      </c>
      <c r="U3" s="29" t="str">
        <f>TEXT(WEEKDAY(DATE(CalendarYear,9,20),1),"aaa")</f>
        <v>Sun</v>
      </c>
      <c r="V3" s="29" t="str">
        <f>TEXT(WEEKDAY(DATE(CalendarYear,9,21),1),"aaa")</f>
        <v>Mon</v>
      </c>
      <c r="W3" s="29" t="str">
        <f>TEXT(WEEKDAY(DATE(CalendarYear,9,22),1),"aaa")</f>
        <v>Tue</v>
      </c>
      <c r="X3" s="29" t="str">
        <f>TEXT(WEEKDAY(DATE(CalendarYear,9,23),1),"aaa")</f>
        <v>Wed</v>
      </c>
      <c r="Y3" s="29" t="str">
        <f>TEXT(WEEKDAY(DATE(CalendarYear,9,24),1),"aaa")</f>
        <v>Thu</v>
      </c>
      <c r="Z3" s="29" t="str">
        <f>TEXT(WEEKDAY(DATE(CalendarYear,9,25),1),"aaa")</f>
        <v>Fri</v>
      </c>
      <c r="AA3" s="29" t="str">
        <f>TEXT(WEEKDAY(DATE(CalendarYear,9,26),1),"aaa")</f>
        <v>Sat</v>
      </c>
      <c r="AB3" s="29" t="str">
        <f>TEXT(WEEKDAY(DATE(CalendarYear,9,27),1),"aaa")</f>
        <v>Sun</v>
      </c>
      <c r="AC3" s="29" t="str">
        <f>TEXT(WEEKDAY(DATE(CalendarYear,9,28),1),"aaa")</f>
        <v>Mon</v>
      </c>
      <c r="AD3" s="29" t="str">
        <f>TEXT(WEEKDAY(DATE(CalendarYear,9,29),1),"aaa")</f>
        <v>Tue</v>
      </c>
      <c r="AE3" s="29" t="str">
        <f>TEXT(WEEKDAY(DATE(CalendarYear,9,30),1),"aaa")</f>
        <v>Wed</v>
      </c>
      <c r="AF3" s="29"/>
      <c r="AG3" s="50"/>
    </row>
    <row r="4" spans="1:34" s="13" customFormat="1" x14ac:dyDescent="0.25">
      <c r="A4" s="38" t="s">
        <v>2</v>
      </c>
      <c r="B4" s="46" t="s">
        <v>3</v>
      </c>
      <c r="C4" s="46" t="s">
        <v>4</v>
      </c>
      <c r="D4" s="46" t="s">
        <v>5</v>
      </c>
      <c r="E4" s="46" t="s">
        <v>6</v>
      </c>
      <c r="F4" s="46" t="s">
        <v>7</v>
      </c>
      <c r="G4" s="46" t="s">
        <v>8</v>
      </c>
      <c r="H4" s="46" t="s">
        <v>9</v>
      </c>
      <c r="I4" s="46" t="s">
        <v>10</v>
      </c>
      <c r="J4" s="46" t="s">
        <v>11</v>
      </c>
      <c r="K4" s="46" t="s">
        <v>12</v>
      </c>
      <c r="L4" s="46" t="s">
        <v>13</v>
      </c>
      <c r="M4" s="46" t="s">
        <v>14</v>
      </c>
      <c r="N4" s="46" t="s">
        <v>15</v>
      </c>
      <c r="O4" s="46" t="s">
        <v>16</v>
      </c>
      <c r="P4" s="46" t="s">
        <v>17</v>
      </c>
      <c r="Q4" s="46" t="s">
        <v>18</v>
      </c>
      <c r="R4" s="46" t="s">
        <v>19</v>
      </c>
      <c r="S4" s="46" t="s">
        <v>20</v>
      </c>
      <c r="T4" s="46" t="s">
        <v>21</v>
      </c>
      <c r="U4" s="46" t="s">
        <v>22</v>
      </c>
      <c r="V4" s="46" t="s">
        <v>23</v>
      </c>
      <c r="W4" s="46" t="s">
        <v>24</v>
      </c>
      <c r="X4" s="46" t="s">
        <v>25</v>
      </c>
      <c r="Y4" s="46" t="s">
        <v>26</v>
      </c>
      <c r="Z4" s="46" t="s">
        <v>27</v>
      </c>
      <c r="AA4" s="46" t="s">
        <v>28</v>
      </c>
      <c r="AB4" s="46" t="s">
        <v>29</v>
      </c>
      <c r="AC4" s="46" t="s">
        <v>30</v>
      </c>
      <c r="AD4" s="17" t="s">
        <v>31</v>
      </c>
      <c r="AE4" s="46" t="s">
        <v>32</v>
      </c>
      <c r="AF4" s="46" t="s">
        <v>39</v>
      </c>
      <c r="AG4" s="46" t="s">
        <v>34</v>
      </c>
      <c r="AH4" s="12"/>
    </row>
    <row r="5" spans="1:34" s="13" customFormat="1" x14ac:dyDescent="0.25">
      <c r="A5" s="45" t="s">
        <v>35</v>
      </c>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11">
        <f>COUNTA(tblSeptember[[#This Row],[1]:[29]])</f>
        <v>0</v>
      </c>
      <c r="AH5" s="12"/>
    </row>
    <row r="6" spans="1:34" s="13" customFormat="1" x14ac:dyDescent="0.25">
      <c r="A6" s="45" t="s">
        <v>38</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COUNTA(tblSeptember[[#This Row],[1]:[29]])</f>
        <v>0</v>
      </c>
      <c r="AH6" s="12"/>
    </row>
    <row r="7" spans="1:34" ht="15" customHeight="1" x14ac:dyDescent="0.25">
      <c r="A7" s="45" t="s">
        <v>50</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COUNTA(tblSeptember[[#This Row],[1]:[29]])</f>
        <v>0</v>
      </c>
    </row>
    <row r="8" spans="1:34" ht="15" customHeight="1" x14ac:dyDescent="0.25">
      <c r="A8" s="45" t="s">
        <v>51</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COUNTA(tblSeptember[[#This Row],[1]:[29]])</f>
        <v>0</v>
      </c>
    </row>
    <row r="9" spans="1:34" s="15" customFormat="1" ht="15" customHeight="1" x14ac:dyDescent="0.25">
      <c r="A9" s="45" t="s">
        <v>52</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COUNTA(tblSeptember[[#This Row],[1]:[29]])</f>
        <v>0</v>
      </c>
    </row>
    <row r="10" spans="1:34" ht="15" customHeight="1" x14ac:dyDescent="0.25">
      <c r="A10" s="39" t="str">
        <f>MonthName&amp;" Total"</f>
        <v>September Total</v>
      </c>
      <c r="B10" s="11">
        <f>SUBTOTAL(103,tblSeptember[1])</f>
        <v>0</v>
      </c>
      <c r="C10" s="11">
        <f>SUBTOTAL(103,tblSeptember[2])</f>
        <v>0</v>
      </c>
      <c r="D10" s="11">
        <f>SUBTOTAL(103,tblSeptember[3])</f>
        <v>0</v>
      </c>
      <c r="E10" s="11">
        <f>SUBTOTAL(103,tblSeptember[4])</f>
        <v>0</v>
      </c>
      <c r="F10" s="11">
        <f>SUBTOTAL(103,tblSeptember[5])</f>
        <v>0</v>
      </c>
      <c r="G10" s="11">
        <f>SUBTOTAL(103,tblSeptember[6])</f>
        <v>0</v>
      </c>
      <c r="H10" s="11">
        <f>SUBTOTAL(103,tblSeptember[7])</f>
        <v>0</v>
      </c>
      <c r="I10" s="11">
        <f>SUBTOTAL(103,tblSeptember[8])</f>
        <v>0</v>
      </c>
      <c r="J10" s="11">
        <f>SUBTOTAL(103,tblSeptember[9])</f>
        <v>0</v>
      </c>
      <c r="K10" s="11">
        <f>SUBTOTAL(103,tblSeptember[10])</f>
        <v>0</v>
      </c>
      <c r="L10" s="11">
        <f>SUBTOTAL(103,tblSeptember[11])</f>
        <v>0</v>
      </c>
      <c r="M10" s="11">
        <f>SUBTOTAL(103,tblSeptember[12])</f>
        <v>0</v>
      </c>
      <c r="N10" s="11">
        <f>SUBTOTAL(103,tblSeptember[13])</f>
        <v>0</v>
      </c>
      <c r="O10" s="11">
        <f>SUBTOTAL(103,tblSeptember[14])</f>
        <v>0</v>
      </c>
      <c r="P10" s="11">
        <f>SUBTOTAL(103,tblSeptember[15])</f>
        <v>0</v>
      </c>
      <c r="Q10" s="11">
        <f>SUBTOTAL(103,tblSeptember[16])</f>
        <v>0</v>
      </c>
      <c r="R10" s="11">
        <f>SUBTOTAL(103,tblSeptember[17])</f>
        <v>0</v>
      </c>
      <c r="S10" s="11">
        <f>SUBTOTAL(103,tblSeptember[18])</f>
        <v>0</v>
      </c>
      <c r="T10" s="11">
        <f>SUBTOTAL(103,tblSeptember[19])</f>
        <v>0</v>
      </c>
      <c r="U10" s="11">
        <f>SUBTOTAL(103,tblSeptember[20])</f>
        <v>0</v>
      </c>
      <c r="V10" s="11">
        <f>SUBTOTAL(103,tblSeptember[21])</f>
        <v>0</v>
      </c>
      <c r="W10" s="11">
        <f>SUBTOTAL(103,tblSeptember[22])</f>
        <v>0</v>
      </c>
      <c r="X10" s="11">
        <f>SUBTOTAL(103,tblSeptember[23])</f>
        <v>0</v>
      </c>
      <c r="Y10" s="11">
        <f>SUBTOTAL(103,tblSeptember[24])</f>
        <v>0</v>
      </c>
      <c r="Z10" s="11">
        <f>SUBTOTAL(103,tblSeptember[25])</f>
        <v>0</v>
      </c>
      <c r="AA10" s="11">
        <f>SUBTOTAL(103,tblSeptember[26])</f>
        <v>0</v>
      </c>
      <c r="AB10" s="11">
        <f>SUBTOTAL(103,tblSeptember[27])</f>
        <v>0</v>
      </c>
      <c r="AC10" s="11">
        <f>SUBTOTAL(103,tblSeptember[28])</f>
        <v>0</v>
      </c>
      <c r="AD10" s="11">
        <f>SUBTOTAL(103,tblSeptember[29])</f>
        <v>0</v>
      </c>
      <c r="AE10" s="11"/>
      <c r="AF10" s="11"/>
      <c r="AG10" s="11">
        <f>SUBTOTAL(109,tblSeptember[Total Days])</f>
        <v>0</v>
      </c>
    </row>
    <row r="11" spans="1:34" ht="15" customHeight="1" x14ac:dyDescent="0.2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row>
    <row r="12" spans="1:34" ht="15" customHeight="1" x14ac:dyDescent="0.25">
      <c r="A12"/>
      <c r="B12" s="43" t="str">
        <f>January!B12</f>
        <v>Color Key</v>
      </c>
      <c r="C12" s="43"/>
      <c r="D12" s="43"/>
      <c r="E12" s="43"/>
      <c r="F12" s="44"/>
      <c r="G12" s="26" t="str">
        <f>KeyVacation</f>
        <v>V</v>
      </c>
      <c r="H12" s="40" t="str">
        <f>KeyVacationLabel</f>
        <v>Vacation</v>
      </c>
      <c r="I12" s="41"/>
      <c r="J12" s="41"/>
      <c r="K12" s="22" t="str">
        <f>KeyPersonal</f>
        <v>P</v>
      </c>
      <c r="L12" s="40" t="str">
        <f>KeyPersonalLabel</f>
        <v>Personal</v>
      </c>
      <c r="M12" s="41"/>
      <c r="N12" s="41"/>
      <c r="O12" s="23" t="str">
        <f>KeySick</f>
        <v>S</v>
      </c>
      <c r="P12" s="40" t="str">
        <f>KeySickLabel</f>
        <v>Sick</v>
      </c>
      <c r="Q12" s="41"/>
      <c r="R12" s="41"/>
      <c r="S12" s="24">
        <f>KeyCustom1</f>
        <v>0</v>
      </c>
      <c r="T12" s="40" t="str">
        <f>KeyCustom1Label</f>
        <v>Custom 1</v>
      </c>
      <c r="U12" s="42"/>
      <c r="V12" s="41"/>
      <c r="W12" s="25">
        <f>KeyCustom2</f>
        <v>0</v>
      </c>
      <c r="X12" s="40" t="str">
        <f>KeyCustom2Label</f>
        <v>Custom 2</v>
      </c>
      <c r="Y12" s="41"/>
      <c r="Z12" s="42"/>
    </row>
  </sheetData>
  <mergeCells count="4">
    <mergeCell ref="A2:A3"/>
    <mergeCell ref="B2:AF2"/>
    <mergeCell ref="AG2:AG3"/>
    <mergeCell ref="A11:AG11"/>
  </mergeCells>
  <conditionalFormatting sqref="B5:AF9">
    <cfRule type="expression" priority="1" stopIfTrue="1">
      <formula>B5=""</formula>
    </cfRule>
  </conditionalFormatting>
  <conditionalFormatting sqref="B5:AF9">
    <cfRule type="expression" dxfId="279" priority="2" stopIfTrue="1">
      <formula>B5=KeyCustom2</formula>
    </cfRule>
    <cfRule type="expression" dxfId="278" priority="3" stopIfTrue="1">
      <formula>B5=KeyCustom1</formula>
    </cfRule>
    <cfRule type="expression" dxfId="277" priority="4" stopIfTrue="1">
      <formula>B5=KeySick</formula>
    </cfRule>
    <cfRule type="expression" dxfId="276" priority="5" stopIfTrue="1">
      <formula>B5=KeyPersonal</formula>
    </cfRule>
    <cfRule type="expression" dxfId="275" priority="6" stopIfTrue="1">
      <formula>B5=KeyVacation</formula>
    </cfRule>
  </conditionalFormatting>
  <conditionalFormatting sqref="AG5:AG9">
    <cfRule type="dataBar" priority="27">
      <dataBar>
        <cfvo type="min"/>
        <cfvo type="formula" val="DATEDIF(DATE(CalendarYear,2,1),DATE(CalendarYear,3,1),&quot;d&quot;)"/>
        <color theme="2" tint="-0.249977111117893"/>
      </dataBar>
      <extLst>
        <ext xmlns:x14="http://schemas.microsoft.com/office/spreadsheetml/2009/9/main" uri="{B025F937-C7B1-47D3-B67F-A62EFF666E3E}">
          <x14:id>{1477F465-23A5-4E7F-BDEC-11297175FB9A}</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477F465-23A5-4E7F-BDEC-11297175FB9A}">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2B7C6AD-4757-4354-B044-7DF1C9BC9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23</vt:i4>
      </vt:variant>
    </vt:vector>
  </HeadingPairs>
  <TitlesOfParts>
    <vt:vector size="35" baseType="lpstr">
      <vt:lpstr>January</vt:lpstr>
      <vt:lpstr>February</vt:lpstr>
      <vt:lpstr>March</vt:lpstr>
      <vt:lpstr>April</vt:lpstr>
      <vt:lpstr>May</vt:lpstr>
      <vt:lpstr>June</vt:lpstr>
      <vt:lpstr>July</vt:lpstr>
      <vt:lpstr>August</vt:lpstr>
      <vt:lpstr>September</vt:lpstr>
      <vt:lpstr>October</vt:lpstr>
      <vt:lpstr>November</vt:lpstr>
      <vt:lpstr>December</vt:lpstr>
      <vt:lpstr>CalendarYear</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April!MonthName</vt:lpstr>
      <vt:lpstr>August!MonthName</vt:lpstr>
      <vt:lpstr>December!MonthName</vt:lpstr>
      <vt:lpstr>February!MonthName</vt:lpstr>
      <vt:lpstr>January!MonthName</vt:lpstr>
      <vt:lpstr>July!MonthName</vt:lpstr>
      <vt:lpstr>June!MonthName</vt:lpstr>
      <vt:lpstr>March!MonthName</vt:lpstr>
      <vt:lpstr>May!MonthName</vt:lpstr>
      <vt:lpstr>November!MonthName</vt:lpstr>
      <vt:lpstr>October!MonthName</vt:lpstr>
      <vt:lpstr>September!MonthName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Joadah Consult</cp:lastModifiedBy>
  <dcterms:created xsi:type="dcterms:W3CDTF">2014-01-16T23:59:29Z</dcterms:created>
  <dcterms:modified xsi:type="dcterms:W3CDTF">2020-01-17T14:05:52Z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TC039871679991</vt:lpwstr>
  </property>
</Properties>
</file>