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11A" lockStructure="1"/>
  <bookViews>
    <workbookView showHorizontalScroll="0" showVerticalScroll="0" windowWidth="22488" windowHeight="9347"/>
  </bookViews>
  <sheets>
    <sheet name="苍云" sheetId="2" r:id="rId1"/>
    <sheet name="属性" sheetId="3" state="hidden" r:id="rId2"/>
    <sheet name="木桩" sheetId="4" state="hidden" r:id="rId3"/>
    <sheet name="实战" sheetId="6" state="hidden" r:id="rId4"/>
    <sheet name="身法" sheetId="8" state="hidden" r:id="rId5"/>
    <sheet name="基础攻击" sheetId="9" state="hidden" r:id="rId6"/>
    <sheet name="会效" sheetId="12" state="hidden" r:id="rId7"/>
    <sheet name="会心" sheetId="11" state="hidden" r:id="rId8"/>
    <sheet name="命中" sheetId="10" state="hidden" r:id="rId9"/>
    <sheet name="无双" sheetId="13" state="hidden" r:id="rId10"/>
    <sheet name="基础破防" sheetId="14" state="hidden" r:id="rId11"/>
    <sheet name="武器伤害" sheetId="15" state="hidden" r:id="rId12"/>
    <sheet name="技能比例" sheetId="16" state="hidden" r:id="rId13"/>
    <sheet name="Sheet1" sheetId="17" state="hidden" r:id="rId14"/>
  </sheets>
  <definedNames>
    <definedName name="实战技能表" localSheetId="6">会效!$A$1:$T$18</definedName>
    <definedName name="实战技能表" localSheetId="7">会心!$A$1:$T$18</definedName>
    <definedName name="实战技能表" localSheetId="5">基础攻击!$A$1:$T$18</definedName>
    <definedName name="实战技能表" localSheetId="10">基础破防!$A$1:$T$18</definedName>
    <definedName name="实战技能表" localSheetId="12">技能比例!$A$1:$T$28</definedName>
    <definedName name="实战技能表" localSheetId="8">命中!$A$1:$T$18</definedName>
    <definedName name="实战技能表" localSheetId="2">木桩!$A$1:$T$18</definedName>
    <definedName name="实战技能表" localSheetId="4">身法!$A$1:$T$18</definedName>
    <definedName name="实战技能表" localSheetId="3">实战!$A$1:$T$18</definedName>
    <definedName name="实战技能表" localSheetId="9">无双!$A$1:$T$28</definedName>
    <definedName name="实战技能表" localSheetId="11">武器伤害!$A$1:$T$28</definedName>
  </definedNames>
  <calcPr calcId="144525"/>
</workbook>
</file>

<file path=xl/comments1.xml><?xml version="1.0" encoding="utf-8"?>
<comments xmlns="http://schemas.openxmlformats.org/spreadsheetml/2006/main">
  <authors>
    <author>hasee</author>
    <author>Administrator</author>
  </authors>
  <commentList>
    <comment ref="F5" authorId="0">
      <text>
        <r>
          <rPr>
            <sz val="9"/>
            <rFont val="宋体"/>
            <charset val="134"/>
          </rPr>
          <t xml:space="preserve">
打了头附魔的需要在满血的情况下进行填写数据。
目前不建议打衣服附魔。
</t>
        </r>
      </text>
    </comment>
    <comment ref="J7" authorId="0">
      <text>
        <r>
          <rPr>
            <sz val="9"/>
            <rFont val="宋体"/>
            <charset val="134"/>
          </rPr>
          <t xml:space="preserve">
没选择的情况下默认为100%
</t>
        </r>
      </text>
    </comment>
    <comment ref="I10" authorId="1">
      <text>
        <r>
          <rPr>
            <b/>
            <sz val="9"/>
            <rFont val="宋体"/>
            <charset val="134"/>
          </rPr>
          <t>包括自己的虚弱在内。</t>
        </r>
      </text>
    </comment>
  </commentList>
</comments>
</file>

<file path=xl/sharedStrings.xml><?xml version="1.0" encoding="utf-8"?>
<sst xmlns="http://schemas.openxmlformats.org/spreadsheetml/2006/main" count="2066" uniqueCount="365">
  <si>
    <t>属性</t>
  </si>
  <si>
    <t>收益</t>
  </si>
  <si>
    <r>
      <rPr>
        <sz val="11"/>
        <color theme="9"/>
        <rFont val="微软雅黑 Light"/>
        <charset val="134"/>
      </rPr>
      <t>装备特效</t>
    </r>
    <r>
      <rPr>
        <sz val="9"/>
        <color theme="9"/>
        <rFont val="微软雅黑 Light"/>
        <charset val="134"/>
      </rPr>
      <t>（可在非增益生效）</t>
    </r>
  </si>
  <si>
    <r>
      <rPr>
        <sz val="11"/>
        <color theme="7"/>
        <rFont val="微软雅黑 Light"/>
        <charset val="134"/>
      </rPr>
      <t>实战增益</t>
    </r>
    <r>
      <rPr>
        <sz val="9"/>
        <color theme="7"/>
        <rFont val="微软雅黑 Light"/>
        <charset val="134"/>
      </rPr>
      <t>（仅在有增益下生效）</t>
    </r>
  </si>
  <si>
    <t>奇穴</t>
  </si>
  <si>
    <t>技能比例（木桩，仅供参考）</t>
  </si>
  <si>
    <t>身法</t>
  </si>
  <si>
    <t xml:space="preserve">     大橙武</t>
  </si>
  <si>
    <t xml:space="preserve">   武伤附魔</t>
  </si>
  <si>
    <t>阵法</t>
  </si>
  <si>
    <t>降龙伏虎阵</t>
  </si>
  <si>
    <t>buff</t>
  </si>
  <si>
    <t>第一重</t>
  </si>
  <si>
    <t>刀魂</t>
  </si>
  <si>
    <t>劫刀</t>
  </si>
  <si>
    <t>面板攻击</t>
  </si>
  <si>
    <t>基础攻击</t>
  </si>
  <si>
    <t xml:space="preserve">     小橙武</t>
  </si>
  <si>
    <t xml:space="preserve">   套装(攻击)</t>
  </si>
  <si>
    <t>宴席</t>
  </si>
  <si>
    <t>玉笛谁家听梅落</t>
  </si>
  <si>
    <t xml:space="preserve">         梅隐香</t>
  </si>
  <si>
    <t xml:space="preserve">            袖气</t>
  </si>
  <si>
    <t>第二重</t>
  </si>
  <si>
    <t>炼狱</t>
  </si>
  <si>
    <t>流血</t>
  </si>
  <si>
    <t>会心</t>
  </si>
  <si>
    <t xml:space="preserve">     雷特效</t>
  </si>
  <si>
    <t xml:space="preserve">          套装(技能)</t>
  </si>
  <si>
    <t>烹饪辅助</t>
  </si>
  <si>
    <t>杂锦鱼球粥（紫-身法）</t>
  </si>
  <si>
    <t xml:space="preserve">         碎星辰</t>
  </si>
  <si>
    <t xml:space="preserve">          撼如雷</t>
  </si>
  <si>
    <t>第三重</t>
  </si>
  <si>
    <t>飞瀑</t>
  </si>
  <si>
    <t>盾飞</t>
  </si>
  <si>
    <t>会效</t>
  </si>
  <si>
    <t xml:space="preserve">     水特效</t>
  </si>
  <si>
    <t>头，衣附魔自行加在属性处</t>
  </si>
  <si>
    <t>烹饪增强</t>
  </si>
  <si>
    <t>红烧排骨（紫-破防）</t>
  </si>
  <si>
    <t xml:space="preserve">         酒中仙</t>
  </si>
  <si>
    <t xml:space="preserve">         蒸鱼菜盘</t>
  </si>
  <si>
    <t>第四重</t>
  </si>
  <si>
    <t>劫生</t>
  </si>
  <si>
    <t>卷雪刀</t>
  </si>
  <si>
    <r>
      <rPr>
        <b/>
        <sz val="9"/>
        <color theme="4"/>
        <rFont val="微软雅黑 Light"/>
        <charset val="134"/>
      </rPr>
      <t xml:space="preserve">破防               </t>
    </r>
    <r>
      <rPr>
        <b/>
        <sz val="6"/>
        <color theme="4"/>
        <rFont val="微软雅黑 Light"/>
        <charset val="134"/>
      </rPr>
      <t>（输入百分比数值均可）</t>
    </r>
  </si>
  <si>
    <t>基础破防</t>
  </si>
  <si>
    <t xml:space="preserve">          风特效（腰坠）</t>
  </si>
  <si>
    <t>医术辅助</t>
  </si>
  <si>
    <t>上品轻身丹（紫-身法）</t>
  </si>
  <si>
    <t xml:space="preserve">        舍身弘法</t>
  </si>
  <si>
    <t xml:space="preserve">        炼狱水煮鱼    </t>
  </si>
  <si>
    <t>第五重</t>
  </si>
  <si>
    <t>锋鸣</t>
  </si>
  <si>
    <t>盾猛</t>
  </si>
  <si>
    <t>命中</t>
  </si>
  <si>
    <t xml:space="preserve">         溟啸（腰坠）</t>
  </si>
  <si>
    <t xml:space="preserve">        附魔强化（腰）</t>
  </si>
  <si>
    <t>医术增强</t>
  </si>
  <si>
    <t>上品破秽散（紫-破防）</t>
  </si>
  <si>
    <t xml:space="preserve">         梅花盾（→</t>
  </si>
  <si>
    <t>[梅花盾覆盖率]</t>
  </si>
  <si>
    <t>第六重</t>
  </si>
  <si>
    <t>割裂</t>
  </si>
  <si>
    <t>斩刀</t>
  </si>
  <si>
    <t>无双</t>
  </si>
  <si>
    <t xml:space="preserve">        附魔强化（鞋）</t>
  </si>
  <si>
    <t xml:space="preserve">        附魔强化（手）</t>
  </si>
  <si>
    <t>共战江湖</t>
  </si>
  <si>
    <t>疏狂（小队）</t>
  </si>
  <si>
    <t>第七重</t>
  </si>
  <si>
    <t>活脉</t>
  </si>
  <si>
    <t>闪刀</t>
  </si>
  <si>
    <t>武器品级</t>
  </si>
  <si>
    <t>武器伤害</t>
  </si>
  <si>
    <t xml:space="preserve">     竞技场套装</t>
  </si>
  <si>
    <t>武器熔锭</t>
  </si>
  <si>
    <t>仙踪·瀑沙熔锭（紫）</t>
  </si>
  <si>
    <t>激雷（小队）</t>
  </si>
  <si>
    <t>第八重</t>
  </si>
  <si>
    <t>恋战</t>
  </si>
  <si>
    <t>盾压</t>
  </si>
  <si>
    <t>加速</t>
  </si>
  <si>
    <t>收益类型</t>
  </si>
  <si>
    <t>单分收益</t>
  </si>
  <si>
    <r>
      <rPr>
        <b/>
        <sz val="11"/>
        <color theme="7"/>
        <rFont val="微软雅黑 Light"/>
        <charset val="134"/>
      </rPr>
      <t>T</t>
    </r>
    <r>
      <rPr>
        <sz val="9"/>
        <color theme="7"/>
        <rFont val="微软雅黑 Light"/>
        <charset val="134"/>
      </rPr>
      <t>（仅在有增益下生效）</t>
    </r>
  </si>
  <si>
    <t>狂攻五彩石</t>
  </si>
  <si>
    <t>无</t>
  </si>
  <si>
    <t>虚弱（全团）</t>
  </si>
  <si>
    <t>第九重</t>
  </si>
  <si>
    <t>从容</t>
  </si>
  <si>
    <t>目标等级</t>
  </si>
  <si>
    <t>102级</t>
  </si>
  <si>
    <t xml:space="preserve">    铁牢律</t>
  </si>
  <si>
    <t xml:space="preserve">           铁骨衣</t>
  </si>
  <si>
    <t>孔收益计算</t>
  </si>
  <si>
    <t>八级</t>
  </si>
  <si>
    <t>第十重</t>
  </si>
  <si>
    <t>愤恨</t>
  </si>
  <si>
    <t>战斗时间</t>
  </si>
  <si>
    <t>5分钟</t>
  </si>
  <si>
    <t xml:space="preserve">    洗髓经</t>
  </si>
  <si>
    <t xml:space="preserve">        明尊琉璃体   </t>
  </si>
  <si>
    <t>属性来源</t>
  </si>
  <si>
    <t>属性面板</t>
  </si>
  <si>
    <t>第十一重</t>
  </si>
  <si>
    <t>蔑视</t>
  </si>
  <si>
    <t>dps</t>
  </si>
  <si>
    <t>A+</t>
  </si>
  <si>
    <t>A-</t>
  </si>
  <si>
    <t>B</t>
  </si>
  <si>
    <t>C</t>
  </si>
  <si>
    <t>D</t>
  </si>
  <si>
    <r>
      <t xml:space="preserve">版本号：ver 4.03（怒海争锋）                 更新时间：2019.08.15                              </t>
    </r>
    <r>
      <rPr>
        <sz val="11"/>
        <color theme="7"/>
        <rFont val="微软雅黑 Light"/>
        <charset val="134"/>
      </rPr>
      <t>[数据仅供参考]</t>
    </r>
  </si>
  <si>
    <t>第十二重</t>
  </si>
  <si>
    <t>骇日</t>
  </si>
  <si>
    <t>无增益（木桩）</t>
  </si>
  <si>
    <t>有增益（实战）</t>
  </si>
  <si>
    <t>更新内容（ver 4.03）：实装了19.08.15 pvp技改（实际没有内容）及附魔改动</t>
  </si>
  <si>
    <t>（ver 4.02）： 在【属性】中输入破防数值时，可以直接输入【例】50.3%（百分比）或者7718（数值）了，新增了混子专用蓝色小药和梅花盾覆盖率选项</t>
  </si>
  <si>
    <t>（ver 4.01）： 实装了 昆吾焰晶&amp;砂 的 加成</t>
  </si>
  <si>
    <t>套装攻击</t>
  </si>
  <si>
    <t>套装技能</t>
  </si>
  <si>
    <t xml:space="preserve">      梅隐香</t>
  </si>
  <si>
    <t xml:space="preserve">      袖气</t>
  </si>
  <si>
    <t>大cw</t>
  </si>
  <si>
    <t>小cw</t>
  </si>
  <si>
    <t xml:space="preserve">      碎星辰</t>
  </si>
  <si>
    <t xml:space="preserve">      撼如雷</t>
  </si>
  <si>
    <t>雷特效</t>
  </si>
  <si>
    <t>风特效</t>
  </si>
  <si>
    <t xml:space="preserve">      酒中仙</t>
  </si>
  <si>
    <t xml:space="preserve">      曼舞</t>
  </si>
  <si>
    <t>铁牢</t>
  </si>
  <si>
    <t>铁骨</t>
  </si>
  <si>
    <t xml:space="preserve">      舍生弘法</t>
  </si>
  <si>
    <t xml:space="preserve">      蒸鱼菜盘</t>
  </si>
  <si>
    <t>洗髓</t>
  </si>
  <si>
    <t>明尊</t>
  </si>
  <si>
    <t>梅花盾</t>
  </si>
  <si>
    <t xml:space="preserve">       炼狱水煮鱼    </t>
  </si>
  <si>
    <t>竞技场套装</t>
  </si>
  <si>
    <t>武伤附魔</t>
  </si>
  <si>
    <t>木桩</t>
  </si>
  <si>
    <t>实战</t>
  </si>
  <si>
    <t>腰带附魔</t>
  </si>
  <si>
    <t>手附魔</t>
  </si>
  <si>
    <t>鞋附魔</t>
  </si>
  <si>
    <t>溟啸</t>
  </si>
  <si>
    <t>水晶芙蓉宴</t>
  </si>
  <si>
    <t>武器附魔</t>
  </si>
  <si>
    <r>
      <rPr>
        <sz val="11"/>
        <color theme="1"/>
        <rFont val="宋体"/>
        <charset val="134"/>
      </rPr>
      <t>仙踪</t>
    </r>
    <r>
      <rPr>
        <sz val="11"/>
        <color theme="1"/>
        <rFont val="Tahoma"/>
        <charset val="134"/>
      </rPr>
      <t>·</t>
    </r>
    <r>
      <rPr>
        <sz val="11"/>
        <color theme="1"/>
        <rFont val="宋体"/>
        <charset val="134"/>
      </rPr>
      <t>瀑沙磨石（蓝）</t>
    </r>
  </si>
  <si>
    <r>
      <rPr>
        <sz val="11"/>
        <color theme="1"/>
        <rFont val="宋体"/>
        <charset val="134"/>
      </rPr>
      <t>仙踪</t>
    </r>
    <r>
      <rPr>
        <sz val="11"/>
        <color theme="1"/>
        <rFont val="Tahoma"/>
        <charset val="134"/>
      </rPr>
      <t>·</t>
    </r>
    <r>
      <rPr>
        <sz val="11"/>
        <color theme="1"/>
        <rFont val="宋体"/>
        <charset val="134"/>
      </rPr>
      <t>瀑沙熔锭（紫）</t>
    </r>
  </si>
  <si>
    <t>北斗七星阵</t>
  </si>
  <si>
    <t>卫公冲折阵</t>
  </si>
  <si>
    <t>流星赶月阵</t>
  </si>
  <si>
    <t>依山观澜阵</t>
  </si>
  <si>
    <t>锋凌横绝阵</t>
  </si>
  <si>
    <t>霜岚洗锋阵</t>
  </si>
  <si>
    <t>墟海引归阵</t>
  </si>
  <si>
    <t>上品玉璃散（会心）</t>
  </si>
  <si>
    <t>上品凝神散（命中）</t>
  </si>
  <si>
    <t>上品活气散（加速）</t>
  </si>
  <si>
    <t>上品亢龙散（外伤）</t>
  </si>
  <si>
    <t>中品破秽散（蓝-破防）</t>
  </si>
  <si>
    <t>中品轻身丹（蓝-身法）</t>
  </si>
  <si>
    <t>酸菜鱼（会心）</t>
  </si>
  <si>
    <t>白肉血肠（命中）</t>
  </si>
  <si>
    <t>红烧扣肉（加速）</t>
  </si>
  <si>
    <t>太后饼（外伤）</t>
  </si>
  <si>
    <t>水煮肉片（蓝-破防）</t>
  </si>
  <si>
    <t>杂碎汤（蓝-身法）</t>
  </si>
  <si>
    <t>1分钟</t>
  </si>
  <si>
    <t>3分钟</t>
  </si>
  <si>
    <t>8分钟</t>
  </si>
  <si>
    <r>
      <rPr>
        <sz val="12"/>
        <rFont val="微软雅黑"/>
        <charset val="134"/>
      </rPr>
      <t>1</t>
    </r>
    <r>
      <rPr>
        <sz val="12"/>
        <rFont val="微软雅黑"/>
        <charset val="134"/>
      </rPr>
      <t>02级</t>
    </r>
  </si>
  <si>
    <r>
      <rPr>
        <sz val="12"/>
        <rFont val="微软雅黑"/>
        <charset val="134"/>
      </rPr>
      <t>1</t>
    </r>
    <r>
      <rPr>
        <sz val="12"/>
        <rFont val="微软雅黑"/>
        <charset val="134"/>
      </rPr>
      <t>03级</t>
    </r>
  </si>
  <si>
    <r>
      <rPr>
        <sz val="12"/>
        <rFont val="微软雅黑"/>
        <charset val="134"/>
      </rPr>
      <t>1</t>
    </r>
    <r>
      <rPr>
        <sz val="12"/>
        <rFont val="微软雅黑"/>
        <charset val="134"/>
      </rPr>
      <t>04级</t>
    </r>
  </si>
  <si>
    <t>英雄</t>
  </si>
  <si>
    <t>挑战</t>
  </si>
  <si>
    <t>四级</t>
  </si>
  <si>
    <t>五级</t>
  </si>
  <si>
    <t>六级</t>
  </si>
  <si>
    <t>七级</t>
  </si>
  <si>
    <t>疏狂</t>
  </si>
  <si>
    <t>单点收益</t>
  </si>
  <si>
    <t>孔收益</t>
  </si>
  <si>
    <t>占分</t>
  </si>
  <si>
    <t>-</t>
  </si>
  <si>
    <t>盾覆盖率</t>
  </si>
  <si>
    <t>力道</t>
  </si>
  <si>
    <t>减防</t>
  </si>
  <si>
    <t>面板破防</t>
  </si>
  <si>
    <t>易伤</t>
  </si>
  <si>
    <t>伤害加成</t>
  </si>
  <si>
    <t>裸buff属性</t>
  </si>
  <si>
    <t>实战属性</t>
  </si>
  <si>
    <t>属性换算和加成</t>
  </si>
  <si>
    <t>木桩属性</t>
  </si>
  <si>
    <t>身法心法加成</t>
  </si>
  <si>
    <t>基础身法</t>
  </si>
  <si>
    <t>攻击（最终）</t>
  </si>
  <si>
    <t>力道属性加成</t>
  </si>
  <si>
    <t>身法属性加成</t>
  </si>
  <si>
    <t>破防</t>
  </si>
  <si>
    <t>破防值</t>
  </si>
  <si>
    <t xml:space="preserve">      弘法</t>
  </si>
  <si>
    <t>头附魔</t>
  </si>
  <si>
    <t>虚弱</t>
  </si>
  <si>
    <t>衣服附魔</t>
  </si>
  <si>
    <t>激雷</t>
  </si>
  <si>
    <t>偏离率</t>
  </si>
  <si>
    <t>识破率</t>
  </si>
  <si>
    <t>水特效</t>
  </si>
  <si>
    <t>目标</t>
  </si>
  <si>
    <t>解包数据</t>
  </si>
  <si>
    <t>实战外防</t>
  </si>
  <si>
    <t>防御系数</t>
  </si>
  <si>
    <t>无增益</t>
  </si>
  <si>
    <t>木桩盾击</t>
  </si>
  <si>
    <t>实战盾击</t>
  </si>
  <si>
    <t>属性要求</t>
  </si>
  <si>
    <t>等级</t>
  </si>
  <si>
    <t>命中要求</t>
  </si>
  <si>
    <t>无双要求</t>
  </si>
  <si>
    <t>偏离率1</t>
  </si>
  <si>
    <t>识破率1</t>
  </si>
  <si>
    <r>
      <rPr>
        <sz val="12"/>
        <color theme="1"/>
        <rFont val="微软雅黑"/>
        <charset val="134"/>
      </rPr>
      <t>1</t>
    </r>
    <r>
      <rPr>
        <sz val="12"/>
        <color theme="1"/>
        <rFont val="微软雅黑"/>
        <charset val="134"/>
      </rPr>
      <t>02级</t>
    </r>
  </si>
  <si>
    <t>103级</t>
  </si>
  <si>
    <r>
      <rPr>
        <sz val="12"/>
        <color theme="1"/>
        <rFont val="微软雅黑"/>
        <charset val="134"/>
      </rPr>
      <t>104级</t>
    </r>
  </si>
  <si>
    <t>荒血路</t>
  </si>
  <si>
    <t>常见增益的属性调用</t>
  </si>
  <si>
    <t>小吃小药宴席磨石</t>
  </si>
  <si>
    <t>条件判断</t>
  </si>
  <si>
    <t>身法（百分比）</t>
  </si>
  <si>
    <t>力道（百分比）</t>
  </si>
  <si>
    <t>基础攻击（属性点）</t>
  </si>
  <si>
    <t>面板攻击（百分比）</t>
  </si>
  <si>
    <t>命中（属性点）</t>
  </si>
  <si>
    <t>命中（百分比）</t>
  </si>
  <si>
    <t>会心（属性点）</t>
  </si>
  <si>
    <t>会心（百分比）</t>
  </si>
  <si>
    <t>会效（属性点）</t>
  </si>
  <si>
    <t>会效（百分比）</t>
  </si>
  <si>
    <t>加速（属性点）</t>
  </si>
  <si>
    <t>加速（百分比）</t>
  </si>
  <si>
    <t>无双（属性点）</t>
  </si>
  <si>
    <t>无双（百分比）</t>
  </si>
  <si>
    <t>基础破防（数值）</t>
  </si>
  <si>
    <t>面板破防（百分比）</t>
  </si>
  <si>
    <t>仙踪·瀑沙磨石（蓝）</t>
  </si>
  <si>
    <t>腰附魔</t>
  </si>
  <si>
    <t>套装特效（攻击）</t>
  </si>
  <si>
    <t>套装特效（技能）</t>
  </si>
  <si>
    <t>特效腰坠</t>
  </si>
  <si>
    <t>梅隐香</t>
  </si>
  <si>
    <t>碎星辰</t>
  </si>
  <si>
    <t>酒中仙</t>
  </si>
  <si>
    <t>弘法</t>
  </si>
  <si>
    <t>袖气</t>
  </si>
  <si>
    <t>撼如雷</t>
  </si>
  <si>
    <t>曼舞</t>
  </si>
  <si>
    <t>蒸鱼菜盘</t>
  </si>
  <si>
    <t xml:space="preserve">炼狱水煮鱼    </t>
  </si>
  <si>
    <t xml:space="preserve">义薄云天·战 </t>
  </si>
  <si>
    <t xml:space="preserve">明尊琉璃体   </t>
  </si>
  <si>
    <t>洗髓经</t>
  </si>
  <si>
    <t>武伤五彩石</t>
  </si>
  <si>
    <t>吓魂</t>
  </si>
  <si>
    <t>结算</t>
  </si>
  <si>
    <t>技能</t>
  </si>
  <si>
    <t>怒气</t>
  </si>
  <si>
    <t>实际系数</t>
  </si>
  <si>
    <t>基础伤害</t>
  </si>
  <si>
    <t>武伤系数</t>
  </si>
  <si>
    <t>会心加成</t>
  </si>
  <si>
    <t>会效加成</t>
  </si>
  <si>
    <t>dmg</t>
  </si>
  <si>
    <t>实际会心</t>
  </si>
  <si>
    <t>攻击加成</t>
  </si>
  <si>
    <t>时间</t>
  </si>
  <si>
    <t>昆吾·弦刃</t>
  </si>
  <si>
    <t>昆吾·折锋</t>
  </si>
  <si>
    <t>盾刀1</t>
  </si>
  <si>
    <t>废弃栏</t>
  </si>
  <si>
    <t>盾击</t>
  </si>
  <si>
    <t>绝刀</t>
  </si>
  <si>
    <t>卷雪刀1</t>
  </si>
  <si>
    <t>绝刀1</t>
  </si>
  <si>
    <t>绝刀2</t>
  </si>
  <si>
    <t>刀会心</t>
  </si>
  <si>
    <t>血眼</t>
  </si>
  <si>
    <t>北漠</t>
  </si>
  <si>
    <t>怒炎</t>
  </si>
  <si>
    <t>加速段位1</t>
  </si>
  <si>
    <t>加速段位2</t>
  </si>
  <si>
    <t>加速段位3</t>
  </si>
  <si>
    <t>套装特效</t>
  </si>
  <si>
    <t>104级</t>
  </si>
  <si>
    <t>橙武</t>
  </si>
  <si>
    <t>小橙武</t>
  </si>
  <si>
    <t>流血DPS</t>
  </si>
  <si>
    <t>橙武特效</t>
  </si>
  <si>
    <t>延迟</t>
  </si>
  <si>
    <t>弦刃DPS</t>
  </si>
  <si>
    <t>折锋DPS</t>
  </si>
  <si>
    <t>腰伤加成</t>
  </si>
  <si>
    <t>盾刀2</t>
  </si>
  <si>
    <t>盾刀3</t>
  </si>
  <si>
    <t>盾刀4</t>
  </si>
  <si>
    <t>血影</t>
  </si>
  <si>
    <t>血影1</t>
  </si>
  <si>
    <t>出尘</t>
  </si>
  <si>
    <t>出尘概率</t>
  </si>
  <si>
    <t>盾刀11</t>
  </si>
  <si>
    <t>盾刀21</t>
  </si>
  <si>
    <t>盾刀31</t>
  </si>
  <si>
    <t>盾刀41</t>
  </si>
  <si>
    <t>流血1无割裂</t>
  </si>
  <si>
    <t>流血2无割裂</t>
  </si>
  <si>
    <t>出尘1</t>
  </si>
  <si>
    <t>分野</t>
  </si>
  <si>
    <t>残楼</t>
  </si>
  <si>
    <t>强袭</t>
  </si>
  <si>
    <t>招架等级</t>
  </si>
  <si>
    <t>盾击蔑视</t>
  </si>
  <si>
    <t>96级</t>
  </si>
  <si>
    <t>97级</t>
  </si>
  <si>
    <t>98级</t>
  </si>
  <si>
    <t>99级</t>
  </si>
  <si>
    <t>上阳宫</t>
  </si>
  <si>
    <t>猛寒</t>
  </si>
  <si>
    <t>风雷刀谷</t>
  </si>
  <si>
    <t>rage</t>
  </si>
  <si>
    <t>不计算易伤</t>
  </si>
  <si>
    <t>盾压模块</t>
  </si>
  <si>
    <t>盾猛模块</t>
  </si>
  <si>
    <t>盾击模块</t>
  </si>
  <si>
    <t>盾刀模块</t>
  </si>
  <si>
    <t>非起手循环</t>
  </si>
  <si>
    <t>总伤害</t>
  </si>
  <si>
    <t>最优手法</t>
  </si>
  <si>
    <t>盾压循环</t>
  </si>
  <si>
    <t>盾猛循环</t>
  </si>
  <si>
    <t>盾击循环</t>
  </si>
  <si>
    <t>盾刀循环</t>
  </si>
  <si>
    <t>起手式</t>
  </si>
  <si>
    <t>起手模块</t>
  </si>
  <si>
    <t>SUM</t>
  </si>
  <si>
    <t>盾刀</t>
  </si>
  <si>
    <t>手法1</t>
  </si>
  <si>
    <t>手法2</t>
  </si>
  <si>
    <t>手法3</t>
  </si>
  <si>
    <t>手法4</t>
  </si>
  <si>
    <t>绝劫</t>
  </si>
  <si>
    <t>25怒</t>
  </si>
  <si>
    <t>20怒</t>
  </si>
  <si>
    <t>装备替换插件（仅供测试）</t>
  </si>
  <si>
    <t>当前装备类型</t>
  </si>
  <si>
    <t>当前装备属性</t>
  </si>
  <si>
    <t>目标装备属性</t>
  </si>
  <si>
    <t>主属性数值</t>
  </si>
  <si>
    <t>基础攻击数值</t>
  </si>
  <si>
    <t>破防/会心 数值</t>
  </si>
</sst>
</file>

<file path=xl/styles.xml><?xml version="1.0" encoding="utf-8"?>
<styleSheet xmlns="http://schemas.openxmlformats.org/spreadsheetml/2006/main">
  <numFmts count="12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177" formatCode="0_);[Red]\(0\)"/>
    <numFmt numFmtId="178" formatCode="0.0000_);[Red]\(0.0000\)"/>
    <numFmt numFmtId="179" formatCode="0.0000%"/>
    <numFmt numFmtId="180" formatCode="0.000%"/>
    <numFmt numFmtId="181" formatCode="0.00_);[Red]\(0.00\)"/>
    <numFmt numFmtId="182" formatCode="0.000000000000000%"/>
    <numFmt numFmtId="183" formatCode="0.00_ "/>
  </numFmts>
  <fonts count="62">
    <font>
      <sz val="11"/>
      <color theme="1"/>
      <name val="Tahoma"/>
      <charset val="134"/>
    </font>
    <font>
      <sz val="9"/>
      <color theme="3"/>
      <name val="微软雅黑 Light"/>
      <charset val="134"/>
    </font>
    <font>
      <sz val="8"/>
      <color theme="3"/>
      <name val="微软雅黑 Light"/>
      <charset val="134"/>
    </font>
    <font>
      <b/>
      <sz val="11"/>
      <color theme="3"/>
      <name val="微软雅黑"/>
      <charset val="134"/>
    </font>
    <font>
      <sz val="12"/>
      <name val="微软雅黑"/>
      <charset val="134"/>
    </font>
    <font>
      <sz val="10"/>
      <color theme="1"/>
      <name val="微软雅黑"/>
      <charset val="134"/>
    </font>
    <font>
      <sz val="10"/>
      <color rgb="FF006100"/>
      <name val="微软雅黑"/>
      <charset val="134"/>
    </font>
    <font>
      <b/>
      <sz val="10"/>
      <color theme="1"/>
      <name val="微软雅黑"/>
      <charset val="134"/>
    </font>
    <font>
      <sz val="10"/>
      <color rgb="FF9C0006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1"/>
      <color rgb="FF006100"/>
      <name val="宋体"/>
      <charset val="134"/>
      <scheme val="minor"/>
    </font>
    <font>
      <b/>
      <sz val="12"/>
      <color theme="3"/>
      <name val="微软雅黑"/>
      <charset val="134"/>
    </font>
    <font>
      <sz val="11"/>
      <color theme="1"/>
      <name val="宋体"/>
      <charset val="134"/>
      <scheme val="minor"/>
    </font>
    <font>
      <sz val="11"/>
      <color theme="9" tint="-0.5"/>
      <name val="微软雅黑 Light"/>
      <charset val="134"/>
    </font>
    <font>
      <sz val="11"/>
      <color theme="9"/>
      <name val="微软雅黑 Light"/>
      <charset val="134"/>
    </font>
    <font>
      <sz val="11"/>
      <color theme="7"/>
      <name val="微软雅黑 Light"/>
      <charset val="134"/>
    </font>
    <font>
      <b/>
      <sz val="9"/>
      <color theme="4"/>
      <name val="微软雅黑 Light"/>
      <charset val="134"/>
    </font>
    <font>
      <sz val="9"/>
      <name val="等线"/>
      <charset val="134"/>
    </font>
    <font>
      <b/>
      <sz val="9"/>
      <color theme="6"/>
      <name val="微软雅黑 Light"/>
      <charset val="134"/>
    </font>
    <font>
      <sz val="8"/>
      <name val="微软雅黑 Light"/>
      <charset val="134"/>
    </font>
    <font>
      <sz val="9"/>
      <color theme="1" tint="0.249977111117893"/>
      <name val="微软雅黑 Light"/>
      <charset val="134"/>
    </font>
    <font>
      <sz val="9"/>
      <color theme="1"/>
      <name val="等线"/>
      <charset val="134"/>
    </font>
    <font>
      <sz val="9"/>
      <color theme="2" tint="-0.749992370372631"/>
      <name val="等线"/>
      <charset val="134"/>
    </font>
    <font>
      <b/>
      <sz val="11"/>
      <color theme="7"/>
      <name val="微软雅黑 Light"/>
      <charset val="134"/>
    </font>
    <font>
      <sz val="10"/>
      <name val="微软雅黑 Light"/>
      <charset val="134"/>
    </font>
    <font>
      <sz val="10"/>
      <color theme="1" tint="0.249977111117893"/>
      <name val="微软雅黑 Light"/>
      <charset val="134"/>
    </font>
    <font>
      <sz val="9"/>
      <name val="微软雅黑 Light"/>
      <charset val="134"/>
    </font>
    <font>
      <sz val="9"/>
      <name val="黑体"/>
      <charset val="134"/>
    </font>
    <font>
      <sz val="11"/>
      <name val="微软雅黑 Light"/>
      <charset val="134"/>
    </font>
    <font>
      <sz val="11"/>
      <color rgb="FF7F7F7F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134"/>
    </font>
    <font>
      <b/>
      <sz val="10"/>
      <color theme="3"/>
      <name val="等线 Light"/>
      <charset val="134"/>
    </font>
    <font>
      <sz val="10"/>
      <color theme="3"/>
      <name val="微软雅黑"/>
      <charset val="134"/>
    </font>
    <font>
      <sz val="11"/>
      <color theme="3"/>
      <name val="微软雅黑 Light"/>
      <charset val="134"/>
    </font>
    <font>
      <b/>
      <sz val="9"/>
      <color theme="1" tint="0.249977111117893"/>
      <name val="微软雅黑 Light"/>
      <charset val="134"/>
    </font>
    <font>
      <sz val="11"/>
      <color theme="3"/>
      <name val="微软雅黑"/>
      <charset val="134"/>
    </font>
    <font>
      <sz val="11"/>
      <color rgb="FF00B0F0"/>
      <name val="微软雅黑"/>
      <charset val="134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theme="9"/>
      <name val="微软雅黑 Light"/>
      <charset val="134"/>
    </font>
    <font>
      <sz val="9"/>
      <color theme="7"/>
      <name val="微软雅黑 Light"/>
      <charset val="134"/>
    </font>
    <font>
      <b/>
      <sz val="6"/>
      <color theme="4"/>
      <name val="微软雅黑 Light"/>
      <charset val="134"/>
    </font>
    <font>
      <sz val="9"/>
      <name val="宋体"/>
      <charset val="134"/>
    </font>
    <font>
      <b/>
      <sz val="9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799951170384838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1454817346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45066682943"/>
      </bottom>
      <diagonal/>
    </border>
  </borders>
  <cellStyleXfs count="158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5" fillId="12" borderId="2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51" fillId="10" borderId="21" applyNumberFormat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11" borderId="19" applyNumberFormat="0" applyFont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50" fillId="0" borderId="23" applyNumberFormat="0" applyFill="0" applyAlignment="0" applyProtection="0">
      <alignment vertical="center"/>
    </xf>
    <xf numFmtId="0" fontId="13" fillId="0" borderId="0">
      <alignment vertical="center"/>
    </xf>
    <xf numFmtId="0" fontId="52" fillId="4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2" fillId="42" borderId="0" applyNumberFormat="0" applyBorder="0" applyAlignment="0" applyProtection="0">
      <alignment vertical="center"/>
    </xf>
    <xf numFmtId="0" fontId="13" fillId="11" borderId="19" applyNumberFormat="0" applyFont="0" applyAlignment="0" applyProtection="0">
      <alignment vertical="center"/>
    </xf>
    <xf numFmtId="0" fontId="39" fillId="10" borderId="17" applyNumberFormat="0" applyAlignment="0" applyProtection="0">
      <alignment vertical="center"/>
    </xf>
    <xf numFmtId="0" fontId="51" fillId="10" borderId="21" applyNumberFormat="0" applyAlignment="0" applyProtection="0">
      <alignment vertical="center"/>
    </xf>
    <xf numFmtId="0" fontId="56" fillId="43" borderId="2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4" fillId="0" borderId="24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39" fillId="10" borderId="17" applyNumberFormat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50" fillId="0" borderId="23" applyNumberFormat="0" applyFill="0" applyAlignment="0" applyProtection="0">
      <alignment vertical="center"/>
    </xf>
    <xf numFmtId="0" fontId="41" fillId="0" borderId="2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13" fillId="11" borderId="19" applyNumberFormat="0" applyFont="0" applyAlignment="0" applyProtection="0">
      <alignment vertical="center"/>
    </xf>
    <xf numFmtId="0" fontId="13" fillId="11" borderId="19" applyNumberFormat="0" applyFont="0" applyAlignment="0" applyProtection="0">
      <alignment vertical="center"/>
    </xf>
    <xf numFmtId="0" fontId="13" fillId="11" borderId="19" applyNumberFormat="0" applyFont="0" applyAlignment="0" applyProtection="0">
      <alignment vertical="center"/>
    </xf>
    <xf numFmtId="0" fontId="13" fillId="11" borderId="19" applyNumberFormat="0" applyFont="0" applyAlignment="0" applyProtection="0">
      <alignment vertical="center"/>
    </xf>
    <xf numFmtId="0" fontId="13" fillId="11" borderId="19" applyNumberFormat="0" applyFont="0" applyAlignment="0" applyProtection="0">
      <alignment vertical="center"/>
    </xf>
  </cellStyleXfs>
  <cellXfs count="163">
    <xf numFmtId="0" fontId="0" fillId="0" borderId="0" xfId="0"/>
    <xf numFmtId="0" fontId="1" fillId="0" borderId="0" xfId="21" applyFont="1" applyBorder="1" applyAlignment="1" applyProtection="1">
      <alignment horizontal="center" vertical="center"/>
      <protection hidden="1"/>
    </xf>
    <xf numFmtId="0" fontId="2" fillId="0" borderId="0" xfId="21" applyFont="1" applyBorder="1" applyAlignment="1" applyProtection="1">
      <alignment vertical="center"/>
      <protection hidden="1"/>
    </xf>
    <xf numFmtId="0" fontId="3" fillId="0" borderId="0" xfId="21" applyFont="1" applyBorder="1" applyAlignment="1" applyProtection="1">
      <alignment horizontal="center" vertical="center"/>
      <protection hidden="1"/>
    </xf>
    <xf numFmtId="0" fontId="4" fillId="0" borderId="0" xfId="0" applyFont="1" applyBorder="1" applyAlignment="1">
      <alignment horizontal="center" vertical="center"/>
    </xf>
    <xf numFmtId="0" fontId="1" fillId="0" borderId="0" xfId="21" applyFont="1" applyBorder="1" applyAlignment="1" applyProtection="1">
      <alignment vertical="center"/>
      <protection hidden="1"/>
    </xf>
    <xf numFmtId="0" fontId="4" fillId="0" borderId="0" xfId="0" applyFont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9" fontId="5" fillId="0" borderId="0" xfId="15" applyFont="1" applyAlignment="1"/>
    <xf numFmtId="178" fontId="5" fillId="0" borderId="0" xfId="0" applyNumberFormat="1" applyFont="1"/>
    <xf numFmtId="0" fontId="5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10" fontId="5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0" fontId="5" fillId="0" borderId="0" xfId="15" applyNumberFormat="1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/>
    </xf>
    <xf numFmtId="10" fontId="5" fillId="0" borderId="0" xfId="15" applyNumberFormat="1" applyFont="1" applyAlignment="1">
      <alignment horizontal="center"/>
    </xf>
    <xf numFmtId="0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0" fontId="5" fillId="0" borderId="0" xfId="15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0" fontId="6" fillId="0" borderId="0" xfId="44" applyNumberFormat="1" applyFont="1" applyFill="1" applyAlignment="1">
      <alignment vertical="center"/>
    </xf>
    <xf numFmtId="0" fontId="6" fillId="2" borderId="0" xfId="44" applyFont="1" applyBorder="1" applyAlignment="1">
      <alignment horizontal="center" vertical="center"/>
    </xf>
    <xf numFmtId="181" fontId="5" fillId="0" borderId="0" xfId="0" applyNumberFormat="1" applyFont="1" applyBorder="1" applyAlignment="1">
      <alignment horizontal="center" vertical="center"/>
    </xf>
    <xf numFmtId="9" fontId="5" fillId="0" borderId="0" xfId="15" applyFont="1" applyAlignment="1">
      <alignment horizontal="center"/>
    </xf>
    <xf numFmtId="9" fontId="5" fillId="0" borderId="0" xfId="15" applyNumberFormat="1" applyFont="1" applyAlignment="1">
      <alignment horizontal="center"/>
    </xf>
    <xf numFmtId="0" fontId="5" fillId="0" borderId="0" xfId="15" applyNumberFormat="1" applyFont="1" applyAlignment="1">
      <alignment horizontal="center"/>
    </xf>
    <xf numFmtId="178" fontId="5" fillId="0" borderId="0" xfId="0" applyNumberFormat="1" applyFont="1" applyBorder="1"/>
    <xf numFmtId="0" fontId="5" fillId="0" borderId="0" xfId="15" applyNumberFormat="1" applyFont="1" applyBorder="1" applyAlignment="1">
      <alignment horizontal="center"/>
    </xf>
    <xf numFmtId="10" fontId="5" fillId="0" borderId="0" xfId="15" applyNumberFormat="1" applyFont="1" applyAlignment="1"/>
    <xf numFmtId="0" fontId="5" fillId="0" borderId="0" xfId="0" applyNumberFormat="1" applyFont="1" applyBorder="1" applyAlignment="1">
      <alignment horizontal="center"/>
    </xf>
    <xf numFmtId="0" fontId="7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/>
    </xf>
    <xf numFmtId="0" fontId="6" fillId="2" borderId="0" xfId="44" applyNumberFormat="1" applyFont="1" applyBorder="1" applyAlignment="1">
      <alignment horizontal="center" vertical="center"/>
    </xf>
    <xf numFmtId="0" fontId="8" fillId="3" borderId="0" xfId="9" applyNumberFormat="1" applyFont="1" applyAlignment="1">
      <alignment horizontal="center" vertical="center"/>
    </xf>
    <xf numFmtId="0" fontId="8" fillId="3" borderId="0" xfId="9" applyNumberFormat="1" applyFont="1" applyBorder="1" applyAlignment="1">
      <alignment horizontal="center" vertical="center"/>
    </xf>
    <xf numFmtId="180" fontId="5" fillId="0" borderId="0" xfId="15" applyNumberFormat="1" applyFont="1" applyAlignment="1">
      <alignment horizontal="center" vertical="center"/>
    </xf>
    <xf numFmtId="0" fontId="6" fillId="2" borderId="0" xfId="44" applyNumberFormat="1" applyFont="1" applyAlignment="1">
      <alignment horizontal="center" vertical="center"/>
    </xf>
    <xf numFmtId="0" fontId="6" fillId="2" borderId="0" xfId="44" applyNumberFormat="1" applyFont="1" applyBorder="1" applyAlignment="1">
      <alignment horizontal="center"/>
    </xf>
    <xf numFmtId="0" fontId="5" fillId="0" borderId="0" xfId="15" applyNumberFormat="1" applyFont="1" applyBorder="1" applyAlignment="1">
      <alignment horizontal="center" vertical="center"/>
    </xf>
    <xf numFmtId="0" fontId="8" fillId="3" borderId="0" xfId="9" applyNumberFormat="1" applyFont="1" applyBorder="1" applyAlignment="1">
      <alignment horizontal="center"/>
    </xf>
    <xf numFmtId="10" fontId="5" fillId="0" borderId="0" xfId="15" applyNumberFormat="1" applyFont="1" applyBorder="1" applyAlignment="1">
      <alignment horizontal="center"/>
    </xf>
    <xf numFmtId="0" fontId="6" fillId="0" borderId="0" xfId="44" applyNumberFormat="1" applyFont="1" applyFill="1" applyAlignment="1">
      <alignment horizontal="center" vertical="center"/>
    </xf>
    <xf numFmtId="0" fontId="6" fillId="0" borderId="0" xfId="44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182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0" fontId="11" fillId="2" borderId="0" xfId="44" applyAlignment="1">
      <alignment horizontal="center" vertical="center"/>
    </xf>
    <xf numFmtId="0" fontId="4" fillId="0" borderId="0" xfId="35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2" fillId="0" borderId="0" xfId="21" applyFont="1" applyBorder="1" applyAlignment="1">
      <alignment horizontal="center" vertical="center"/>
    </xf>
    <xf numFmtId="0" fontId="4" fillId="0" borderId="0" xfId="34" applyFont="1" applyFill="1" applyBorder="1" applyAlignment="1">
      <alignment horizontal="center" vertical="center"/>
    </xf>
    <xf numFmtId="0" fontId="11" fillId="2" borderId="0" xfId="44" applyFont="1" applyAlignment="1">
      <alignment horizontal="center" vertical="center"/>
    </xf>
    <xf numFmtId="10" fontId="9" fillId="0" borderId="0" xfId="15" applyNumberFormat="1" applyFont="1" applyAlignment="1">
      <alignment horizontal="center" vertical="center"/>
    </xf>
    <xf numFmtId="0" fontId="13" fillId="5" borderId="0" xfId="42" applyAlignment="1">
      <alignment horizontal="center" vertical="center"/>
    </xf>
    <xf numFmtId="0" fontId="4" fillId="0" borderId="0" xfId="76" applyFont="1" applyFill="1" applyBorder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center" vertical="center"/>
      <protection locked="0"/>
    </xf>
    <xf numFmtId="0" fontId="4" fillId="0" borderId="0" xfId="76" applyFont="1" applyFill="1" applyBorder="1" applyAlignment="1" applyProtection="1">
      <alignment horizontal="center" vertical="center"/>
      <protection locked="0" hidden="1"/>
    </xf>
    <xf numFmtId="0" fontId="9" fillId="6" borderId="0" xfId="0" applyFont="1" applyFill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0" fontId="9" fillId="0" borderId="0" xfId="76" applyFont="1" applyBorder="1" applyAlignment="1">
      <alignment horizontal="center" vertical="center"/>
    </xf>
    <xf numFmtId="0" fontId="14" fillId="0" borderId="1" xfId="27" applyFont="1" applyBorder="1" applyAlignment="1" applyProtection="1">
      <alignment horizontal="center" vertical="center"/>
      <protection hidden="1"/>
    </xf>
    <xf numFmtId="0" fontId="15" fillId="0" borderId="1" xfId="27" applyFont="1" applyBorder="1" applyAlignment="1" applyProtection="1">
      <alignment horizontal="center" vertical="center"/>
      <protection hidden="1"/>
    </xf>
    <xf numFmtId="0" fontId="16" fillId="0" borderId="0" xfId="27" applyFont="1" applyBorder="1" applyAlignment="1" applyProtection="1">
      <alignment horizontal="center" vertical="center"/>
      <protection hidden="1"/>
    </xf>
    <xf numFmtId="0" fontId="17" fillId="0" borderId="1" xfId="21" applyFont="1" applyBorder="1" applyAlignment="1" applyProtection="1">
      <alignment horizontal="center" vertical="center"/>
      <protection hidden="1"/>
    </xf>
    <xf numFmtId="0" fontId="18" fillId="7" borderId="1" xfId="0" applyFont="1" applyFill="1" applyBorder="1" applyAlignment="1" applyProtection="1">
      <alignment horizontal="center" vertical="center"/>
      <protection locked="0" hidden="1"/>
    </xf>
    <xf numFmtId="0" fontId="19" fillId="0" borderId="1" xfId="21" applyFont="1" applyBorder="1" applyAlignment="1" applyProtection="1">
      <alignment horizontal="center" vertical="center"/>
      <protection hidden="1"/>
    </xf>
    <xf numFmtId="183" fontId="18" fillId="7" borderId="1" xfId="0" applyNumberFormat="1" applyFont="1" applyFill="1" applyBorder="1" applyAlignment="1" applyProtection="1">
      <alignment horizontal="center" vertical="center"/>
      <protection hidden="1"/>
    </xf>
    <xf numFmtId="0" fontId="20" fillId="7" borderId="1" xfId="0" applyFont="1" applyFill="1" applyBorder="1" applyAlignment="1" applyProtection="1">
      <alignment horizontal="center" vertical="center"/>
      <protection locked="0"/>
    </xf>
    <xf numFmtId="0" fontId="1" fillId="0" borderId="1" xfId="21" applyFont="1" applyBorder="1" applyAlignment="1" applyProtection="1">
      <alignment horizontal="center" vertical="center"/>
      <protection hidden="1"/>
    </xf>
    <xf numFmtId="0" fontId="21" fillId="3" borderId="1" xfId="35" applyFont="1" applyFill="1" applyBorder="1" applyAlignment="1" applyProtection="1">
      <alignment horizontal="center" vertical="center"/>
      <protection locked="0" hidden="1"/>
    </xf>
    <xf numFmtId="10" fontId="18" fillId="7" borderId="1" xfId="0" applyNumberFormat="1" applyFont="1" applyFill="1" applyBorder="1" applyAlignment="1" applyProtection="1">
      <alignment horizontal="center" vertical="center"/>
      <protection locked="0" hidden="1"/>
    </xf>
    <xf numFmtId="0" fontId="20" fillId="7" borderId="1" xfId="0" applyFont="1" applyFill="1" applyBorder="1" applyAlignment="1" applyProtection="1">
      <alignment horizontal="left" vertical="center"/>
      <protection locked="0" hidden="1"/>
    </xf>
    <xf numFmtId="0" fontId="20" fillId="7" borderId="2" xfId="0" applyFont="1" applyFill="1" applyBorder="1" applyAlignment="1" applyProtection="1">
      <alignment horizontal="center" vertical="center" wrapText="1"/>
      <protection locked="0" hidden="1"/>
    </xf>
    <xf numFmtId="0" fontId="17" fillId="0" borderId="1" xfId="21" applyFont="1" applyBorder="1" applyAlignment="1" applyProtection="1">
      <alignment horizontal="center" vertical="center" wrapText="1"/>
      <protection hidden="1"/>
    </xf>
    <xf numFmtId="0" fontId="20" fillId="7" borderId="3" xfId="0" applyFont="1" applyFill="1" applyBorder="1" applyAlignment="1" applyProtection="1">
      <alignment horizontal="center" vertical="center" wrapText="1"/>
      <protection locked="0" hidden="1"/>
    </xf>
    <xf numFmtId="0" fontId="21" fillId="3" borderId="1" xfId="34" applyFont="1" applyFill="1" applyBorder="1" applyAlignment="1" applyProtection="1">
      <alignment horizontal="center" vertical="center"/>
      <protection locked="0" hidden="1"/>
    </xf>
    <xf numFmtId="177" fontId="22" fillId="7" borderId="1" xfId="0" applyNumberFormat="1" applyFont="1" applyFill="1" applyBorder="1" applyAlignment="1" applyProtection="1">
      <alignment horizontal="center" vertical="center"/>
      <protection locked="0" hidden="1"/>
    </xf>
    <xf numFmtId="0" fontId="23" fillId="3" borderId="1" xfId="34" applyFont="1" applyFill="1" applyBorder="1" applyAlignment="1" applyProtection="1">
      <alignment horizontal="center" vertical="center"/>
      <protection locked="0" hidden="1"/>
    </xf>
    <xf numFmtId="0" fontId="24" fillId="0" borderId="3" xfId="27" applyFont="1" applyBorder="1" applyAlignment="1" applyProtection="1">
      <alignment horizontal="center" vertical="center"/>
      <protection hidden="1"/>
    </xf>
    <xf numFmtId="0" fontId="25" fillId="8" borderId="1" xfId="0" applyFont="1" applyFill="1" applyBorder="1" applyAlignment="1" applyProtection="1">
      <alignment horizontal="center" vertical="center"/>
    </xf>
    <xf numFmtId="0" fontId="26" fillId="3" borderId="1" xfId="34" applyFont="1" applyFill="1" applyBorder="1" applyAlignment="1" applyProtection="1">
      <alignment horizontal="center" vertical="center"/>
      <protection locked="0" hidden="1"/>
    </xf>
    <xf numFmtId="0" fontId="27" fillId="7" borderId="1" xfId="0" applyFont="1" applyFill="1" applyBorder="1" applyAlignment="1" applyProtection="1">
      <alignment horizontal="center" vertical="center"/>
      <protection locked="0" hidden="1"/>
    </xf>
    <xf numFmtId="0" fontId="27" fillId="7" borderId="1" xfId="0" applyFont="1" applyFill="1" applyBorder="1" applyAlignment="1" applyProtection="1">
      <alignment vertical="center"/>
      <protection locked="0" hidden="1"/>
    </xf>
    <xf numFmtId="0" fontId="28" fillId="6" borderId="1" xfId="31" applyFont="1" applyFill="1" applyBorder="1" applyAlignment="1" applyProtection="1">
      <alignment horizontal="center" vertical="center"/>
      <protection hidden="1"/>
    </xf>
    <xf numFmtId="0" fontId="28" fillId="6" borderId="4" xfId="31" applyFont="1" applyFill="1" applyBorder="1" applyAlignment="1" applyProtection="1">
      <alignment horizontal="center" vertical="center"/>
      <protection hidden="1"/>
    </xf>
    <xf numFmtId="0" fontId="29" fillId="9" borderId="5" xfId="0" applyFont="1" applyFill="1" applyBorder="1" applyAlignment="1" applyProtection="1">
      <alignment horizontal="center" vertical="center" wrapText="1"/>
    </xf>
    <xf numFmtId="0" fontId="29" fillId="9" borderId="6" xfId="0" applyFont="1" applyFill="1" applyBorder="1" applyAlignment="1" applyProtection="1">
      <alignment horizontal="center" vertical="center" wrapText="1"/>
    </xf>
    <xf numFmtId="0" fontId="28" fillId="6" borderId="1" xfId="21" applyFont="1" applyFill="1" applyBorder="1" applyAlignment="1" applyProtection="1">
      <alignment horizontal="center" vertical="center" wrapText="1"/>
      <protection hidden="1"/>
    </xf>
    <xf numFmtId="1" fontId="28" fillId="6" borderId="1" xfId="0" applyNumberFormat="1" applyFont="1" applyFill="1" applyBorder="1" applyAlignment="1" applyProtection="1">
      <alignment horizontal="center" vertical="center"/>
      <protection hidden="1"/>
    </xf>
    <xf numFmtId="1" fontId="28" fillId="6" borderId="1" xfId="15" applyNumberFormat="1" applyFont="1" applyFill="1" applyBorder="1" applyAlignment="1" applyProtection="1">
      <alignment horizontal="center" vertical="center"/>
      <protection hidden="1"/>
    </xf>
    <xf numFmtId="1" fontId="28" fillId="6" borderId="4" xfId="0" applyNumberFormat="1" applyFont="1" applyFill="1" applyBorder="1" applyAlignment="1" applyProtection="1">
      <alignment horizontal="center" vertical="center"/>
      <protection hidden="1"/>
    </xf>
    <xf numFmtId="0" fontId="29" fillId="9" borderId="7" xfId="0" applyFont="1" applyFill="1" applyBorder="1" applyAlignment="1" applyProtection="1">
      <alignment horizontal="center" vertical="center" wrapText="1"/>
    </xf>
    <xf numFmtId="0" fontId="29" fillId="9" borderId="0" xfId="0" applyFont="1" applyFill="1" applyBorder="1" applyAlignment="1" applyProtection="1">
      <alignment horizontal="center" vertical="center" wrapText="1"/>
    </xf>
    <xf numFmtId="176" fontId="28" fillId="6" borderId="1" xfId="0" applyNumberFormat="1" applyFont="1" applyFill="1" applyBorder="1" applyAlignment="1" applyProtection="1">
      <alignment horizontal="center" vertical="center"/>
      <protection hidden="1"/>
    </xf>
    <xf numFmtId="176" fontId="28" fillId="6" borderId="4" xfId="0" applyNumberFormat="1" applyFont="1" applyFill="1" applyBorder="1" applyAlignment="1" applyProtection="1">
      <alignment horizontal="center" vertical="center"/>
      <protection hidden="1"/>
    </xf>
    <xf numFmtId="0" fontId="29" fillId="9" borderId="8" xfId="0" applyFont="1" applyFill="1" applyBorder="1" applyAlignment="1" applyProtection="1">
      <alignment horizontal="center" vertical="center" wrapText="1"/>
    </xf>
    <xf numFmtId="0" fontId="29" fillId="9" borderId="9" xfId="0" applyFont="1" applyFill="1" applyBorder="1" applyAlignment="1" applyProtection="1">
      <alignment horizontal="center" vertical="center" wrapText="1"/>
    </xf>
    <xf numFmtId="0" fontId="27" fillId="3" borderId="4" xfId="0" applyFont="1" applyFill="1" applyBorder="1" applyAlignment="1" applyProtection="1">
      <alignment horizontal="center" vertical="center"/>
    </xf>
    <xf numFmtId="0" fontId="27" fillId="3" borderId="10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0" borderId="0" xfId="21" applyFont="1" applyBorder="1" applyAlignment="1" applyProtection="1">
      <alignment vertical="center"/>
      <protection locked="0" hidden="1"/>
    </xf>
    <xf numFmtId="0" fontId="30" fillId="0" borderId="0" xfId="25" applyFont="1" applyBorder="1" applyAlignment="1" applyProtection="1">
      <alignment horizontal="center" vertical="center"/>
      <protection locked="0" hidden="1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31" fillId="0" borderId="0" xfId="0" applyFont="1" applyBorder="1" applyAlignment="1" applyProtection="1">
      <alignment vertical="center"/>
      <protection locked="0"/>
    </xf>
    <xf numFmtId="176" fontId="4" fillId="0" borderId="0" xfId="0" applyNumberFormat="1" applyFont="1" applyBorder="1" applyAlignment="1" applyProtection="1">
      <alignment horizontal="center" vertical="center"/>
      <protection locked="0"/>
    </xf>
    <xf numFmtId="10" fontId="4" fillId="0" borderId="0" xfId="0" applyNumberFormat="1" applyFont="1" applyBorder="1" applyAlignment="1" applyProtection="1">
      <alignment horizontal="center" vertical="center"/>
      <protection locked="0"/>
    </xf>
    <xf numFmtId="0" fontId="9" fillId="0" borderId="0" xfId="76" applyFont="1" applyFill="1" applyBorder="1" applyAlignment="1" applyProtection="1">
      <alignment horizontal="center" vertical="center"/>
      <protection locked="0" hidden="1"/>
    </xf>
    <xf numFmtId="0" fontId="32" fillId="0" borderId="0" xfId="76" applyFont="1" applyFill="1" applyBorder="1" applyAlignment="1" applyProtection="1">
      <alignment horizontal="center" vertical="center"/>
      <protection locked="0" hidden="1"/>
    </xf>
    <xf numFmtId="183" fontId="4" fillId="0" borderId="0" xfId="0" applyNumberFormat="1" applyFont="1" applyBorder="1" applyAlignment="1" applyProtection="1">
      <alignment horizontal="center" vertical="center"/>
      <protection locked="0"/>
    </xf>
    <xf numFmtId="0" fontId="33" fillId="0" borderId="1" xfId="27" applyFont="1" applyBorder="1" applyAlignment="1" applyProtection="1">
      <alignment horizontal="center" vertical="center"/>
      <protection hidden="1"/>
    </xf>
    <xf numFmtId="0" fontId="34" fillId="6" borderId="1" xfId="27" applyFont="1" applyFill="1" applyBorder="1" applyAlignment="1" applyProtection="1">
      <alignment horizontal="center" vertical="center"/>
      <protection hidden="1"/>
    </xf>
    <xf numFmtId="0" fontId="35" fillId="0" borderId="1" xfId="31" applyFont="1" applyBorder="1" applyAlignment="1" applyProtection="1">
      <alignment horizontal="center" vertical="center"/>
      <protection locked="0" hidden="1"/>
    </xf>
    <xf numFmtId="0" fontId="33" fillId="0" borderId="1" xfId="21" applyFont="1" applyBorder="1" applyAlignment="1" applyProtection="1">
      <alignment horizontal="center" vertical="center"/>
      <protection hidden="1"/>
    </xf>
    <xf numFmtId="0" fontId="34" fillId="6" borderId="1" xfId="21" applyFont="1" applyFill="1" applyBorder="1" applyAlignment="1" applyProtection="1">
      <alignment horizontal="center" vertical="center"/>
      <protection hidden="1"/>
    </xf>
    <xf numFmtId="10" fontId="31" fillId="6" borderId="1" xfId="21" applyNumberFormat="1" applyFont="1" applyFill="1" applyBorder="1" applyAlignment="1" applyProtection="1">
      <alignment horizontal="center" vertical="center"/>
      <protection hidden="1"/>
    </xf>
    <xf numFmtId="0" fontId="31" fillId="6" borderId="1" xfId="0" applyFont="1" applyFill="1" applyBorder="1" applyAlignment="1" applyProtection="1">
      <alignment horizontal="center" vertical="center"/>
    </xf>
    <xf numFmtId="0" fontId="27" fillId="7" borderId="1" xfId="0" applyFont="1" applyFill="1" applyBorder="1" applyAlignment="1" applyProtection="1">
      <alignment horizontal="left" vertical="center"/>
      <protection locked="0" hidden="1"/>
    </xf>
    <xf numFmtId="0" fontId="27" fillId="7" borderId="12" xfId="0" applyFont="1" applyFill="1" applyBorder="1" applyAlignment="1" applyProtection="1">
      <alignment horizontal="left" vertical="center"/>
      <protection locked="0" hidden="1"/>
    </xf>
    <xf numFmtId="9" fontId="21" fillId="3" borderId="12" xfId="35" applyNumberFormat="1" applyFont="1" applyFill="1" applyBorder="1" applyAlignment="1" applyProtection="1">
      <alignment horizontal="center" vertical="center"/>
      <protection locked="0" hidden="1"/>
    </xf>
    <xf numFmtId="0" fontId="1" fillId="0" borderId="3" xfId="21" applyFont="1" applyBorder="1" applyAlignment="1" applyProtection="1">
      <alignment horizontal="center" vertical="center"/>
      <protection locked="0" hidden="1"/>
    </xf>
    <xf numFmtId="0" fontId="21" fillId="3" borderId="3" xfId="35" applyFont="1" applyFill="1" applyBorder="1" applyAlignment="1" applyProtection="1">
      <alignment horizontal="center" vertical="center"/>
      <protection locked="0" hidden="1"/>
    </xf>
    <xf numFmtId="0" fontId="1" fillId="0" borderId="1" xfId="21" applyFont="1" applyBorder="1" applyAlignment="1" applyProtection="1">
      <alignment horizontal="center" vertical="center"/>
      <protection locked="0" hidden="1"/>
    </xf>
    <xf numFmtId="0" fontId="36" fillId="7" borderId="1" xfId="35" applyFont="1" applyFill="1" applyBorder="1" applyAlignment="1" applyProtection="1">
      <alignment horizontal="center" vertical="center"/>
      <protection locked="0" hidden="1"/>
    </xf>
    <xf numFmtId="0" fontId="4" fillId="9" borderId="5" xfId="0" applyFont="1" applyFill="1" applyBorder="1" applyAlignment="1" applyProtection="1">
      <alignment horizontal="center" vertical="center"/>
    </xf>
    <xf numFmtId="0" fontId="4" fillId="9" borderId="6" xfId="0" applyFont="1" applyFill="1" applyBorder="1" applyAlignment="1" applyProtection="1">
      <alignment horizontal="center" vertical="center"/>
    </xf>
    <xf numFmtId="0" fontId="4" fillId="9" borderId="13" xfId="0" applyFont="1" applyFill="1" applyBorder="1" applyAlignment="1" applyProtection="1">
      <alignment horizontal="center" vertical="center"/>
    </xf>
    <xf numFmtId="0" fontId="33" fillId="0" borderId="14" xfId="21" applyFont="1" applyBorder="1" applyAlignment="1" applyProtection="1">
      <alignment horizontal="center" vertical="center"/>
      <protection hidden="1"/>
    </xf>
    <xf numFmtId="0" fontId="4" fillId="9" borderId="7" xfId="0" applyFont="1" applyFill="1" applyBorder="1" applyAlignment="1" applyProtection="1">
      <alignment horizontal="center" vertical="center"/>
    </xf>
    <xf numFmtId="0" fontId="4" fillId="9" borderId="0" xfId="0" applyFont="1" applyFill="1" applyAlignment="1" applyProtection="1">
      <alignment horizontal="center" vertical="center"/>
    </xf>
    <xf numFmtId="0" fontId="4" fillId="9" borderId="15" xfId="0" applyFont="1" applyFill="1" applyBorder="1" applyAlignment="1" applyProtection="1">
      <alignment horizontal="center" vertical="center"/>
    </xf>
    <xf numFmtId="0" fontId="4" fillId="9" borderId="0" xfId="0" applyFont="1" applyFill="1" applyBorder="1" applyAlignment="1" applyProtection="1">
      <alignment horizontal="center" vertical="center"/>
    </xf>
    <xf numFmtId="0" fontId="33" fillId="0" borderId="13" xfId="21" applyFont="1" applyBorder="1" applyAlignment="1" applyProtection="1">
      <alignment horizontal="center" vertical="center"/>
      <protection hidden="1"/>
    </xf>
    <xf numFmtId="0" fontId="33" fillId="0" borderId="2" xfId="21" applyFont="1" applyBorder="1" applyAlignment="1" applyProtection="1">
      <alignment horizontal="center" vertical="center"/>
      <protection hidden="1"/>
    </xf>
    <xf numFmtId="0" fontId="3" fillId="9" borderId="9" xfId="21" applyFont="1" applyFill="1" applyBorder="1" applyAlignment="1" applyProtection="1">
      <alignment horizontal="center" vertical="center"/>
      <protection hidden="1"/>
    </xf>
    <xf numFmtId="0" fontId="37" fillId="9" borderId="0" xfId="21" applyFont="1" applyFill="1" applyBorder="1" applyAlignment="1" applyProtection="1">
      <alignment horizontal="center" vertical="center" wrapText="1"/>
      <protection hidden="1"/>
    </xf>
    <xf numFmtId="0" fontId="37" fillId="9" borderId="6" xfId="21" applyFont="1" applyFill="1" applyBorder="1" applyAlignment="1" applyProtection="1">
      <alignment horizontal="center" vertical="center"/>
      <protection hidden="1"/>
    </xf>
    <xf numFmtId="0" fontId="3" fillId="9" borderId="10" xfId="21" applyFont="1" applyFill="1" applyBorder="1" applyAlignment="1" applyProtection="1">
      <alignment horizontal="center" vertical="center"/>
      <protection hidden="1"/>
    </xf>
    <xf numFmtId="0" fontId="37" fillId="9" borderId="9" xfId="21" applyFont="1" applyFill="1" applyBorder="1" applyAlignment="1" applyProtection="1">
      <alignment horizontal="center" vertical="center"/>
      <protection hidden="1"/>
    </xf>
    <xf numFmtId="0" fontId="4" fillId="9" borderId="9" xfId="0" applyFont="1" applyFill="1" applyBorder="1" applyAlignment="1" applyProtection="1">
      <alignment horizontal="center" vertical="center"/>
    </xf>
    <xf numFmtId="0" fontId="4" fillId="9" borderId="16" xfId="0" applyFont="1" applyFill="1" applyBorder="1" applyAlignment="1" applyProtection="1">
      <alignment horizontal="center" vertical="center"/>
    </xf>
    <xf numFmtId="0" fontId="27" fillId="3" borderId="14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  <protection locked="0"/>
    </xf>
    <xf numFmtId="0" fontId="9" fillId="0" borderId="0" xfId="145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vertical="center"/>
      <protection locked="0"/>
    </xf>
    <xf numFmtId="0" fontId="9" fillId="0" borderId="0" xfId="76" applyFont="1" applyBorder="1" applyAlignment="1" applyProtection="1">
      <alignment horizontal="center" vertical="center"/>
      <protection locked="0"/>
    </xf>
    <xf numFmtId="0" fontId="4" fillId="0" borderId="0" xfId="76" applyFont="1" applyFill="1" applyBorder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/>
      <protection locked="0"/>
    </xf>
    <xf numFmtId="10" fontId="4" fillId="0" borderId="0" xfId="15" applyNumberFormat="1" applyFont="1" applyBorder="1" applyAlignment="1" applyProtection="1">
      <alignment horizontal="center" vertical="center"/>
      <protection locked="0"/>
    </xf>
    <xf numFmtId="0" fontId="31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 hidden="1"/>
    </xf>
    <xf numFmtId="0" fontId="38" fillId="0" borderId="0" xfId="0" applyFont="1" applyAlignment="1" applyProtection="1">
      <alignment horizontal="center" vertical="center"/>
      <protection locked="0"/>
    </xf>
    <xf numFmtId="9" fontId="4" fillId="0" borderId="0" xfId="0" applyNumberFormat="1" applyFont="1" applyBorder="1" applyAlignment="1" applyProtection="1">
      <alignment horizontal="center" vertical="center"/>
      <protection locked="0"/>
    </xf>
  </cellXfs>
  <cellStyles count="158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20% - 强调文字颜色 3 2 2" xfId="11"/>
    <cellStyle name="60% - 强调文字颜色 3" xfId="12" builtinId="40"/>
    <cellStyle name="超链接" xfId="13" builtinId="8"/>
    <cellStyle name="20% - 强调文字颜色 2 3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60% - 强调文字颜色 2" xfId="19" builtinId="36"/>
    <cellStyle name="20% - 强调文字颜色 5 2 3 4" xfId="20"/>
    <cellStyle name="标题 4" xfId="21" builtinId="19"/>
    <cellStyle name="警告文本" xfId="22" builtinId="11"/>
    <cellStyle name="标题" xfId="23" builtinId="15"/>
    <cellStyle name="常规 5 2" xfId="24"/>
    <cellStyle name="解释性文本" xfId="25" builtinId="53"/>
    <cellStyle name="标题 1" xfId="26" builtinId="16"/>
    <cellStyle name="标题 2" xfId="27" builtinId="17"/>
    <cellStyle name="常规 5 2 2" xfId="28"/>
    <cellStyle name="60% - 强调文字颜色 1" xfId="29" builtinId="32"/>
    <cellStyle name="20% - 强调文字颜色 5 2 3 3" xfId="30"/>
    <cellStyle name="标题 3" xfId="31" builtinId="18"/>
    <cellStyle name="60% - 强调文字颜色 4" xfId="32" builtinId="44"/>
    <cellStyle name="注释 3 2 2" xfId="33"/>
    <cellStyle name="输出" xfId="34" builtinId="21"/>
    <cellStyle name="计算" xfId="35" builtinId="22"/>
    <cellStyle name="检查单元格" xfId="36" builtinId="23"/>
    <cellStyle name="40% - 强调文字颜色 4 2" xfId="37"/>
    <cellStyle name="链接单元格" xfId="38" builtinId="24"/>
    <cellStyle name="20% - 强调文字颜色 5 2 5 2" xfId="39"/>
    <cellStyle name="20% - 强调文字颜色 6" xfId="40" builtinId="50"/>
    <cellStyle name="强调文字颜色 2" xfId="41" builtinId="33"/>
    <cellStyle name="20% - 强调文字颜色 2 3" xfId="42"/>
    <cellStyle name="汇总" xfId="43" builtinId="25"/>
    <cellStyle name="好" xfId="44" builtinId="26"/>
    <cellStyle name="适中" xfId="45" builtinId="28"/>
    <cellStyle name="20% - 强调文字颜色 3 3" xfId="46"/>
    <cellStyle name="20% - 强调文字颜色 5" xfId="47" builtinId="46"/>
    <cellStyle name="强调文字颜色 1" xfId="48" builtinId="29"/>
    <cellStyle name="20% - 强调文字颜色 1" xfId="49" builtinId="30"/>
    <cellStyle name="40% - 强调文字颜色 1" xfId="50" builtinId="31"/>
    <cellStyle name="40% - 强调文字颜色 4 3 2" xfId="51"/>
    <cellStyle name="20% - 强调文字颜色 2" xfId="52" builtinId="34"/>
    <cellStyle name="输出 2" xfId="53"/>
    <cellStyle name="40% - 强调文字颜色 2" xfId="54" builtinId="35"/>
    <cellStyle name="强调文字颜色 3" xfId="55" builtinId="37"/>
    <cellStyle name="强调文字颜色 4" xfId="56" builtinId="41"/>
    <cellStyle name="20% - 强调文字颜色 4" xfId="57" builtinId="42"/>
    <cellStyle name="40% - 强调文字颜色 4" xfId="58" builtinId="43"/>
    <cellStyle name="强调文字颜色 5" xfId="59" builtinId="45"/>
    <cellStyle name="40% - 强调文字颜色 5" xfId="60" builtinId="47"/>
    <cellStyle name="60% - 强调文字颜色 5" xfId="61" builtinId="48"/>
    <cellStyle name="强调文字颜色 6" xfId="62" builtinId="49"/>
    <cellStyle name="20% - 强调文字颜色 3 3 2" xfId="63"/>
    <cellStyle name="40% - 强调文字颜色 6" xfId="64" builtinId="51"/>
    <cellStyle name="60% - 强调文字颜色 6" xfId="65" builtinId="52"/>
    <cellStyle name="20% - 强调文字颜色 4 2 2" xfId="66"/>
    <cellStyle name="常规 3 2" xfId="67"/>
    <cellStyle name="20% - 强调文字颜色 1 3" xfId="68"/>
    <cellStyle name="20% - 强调文字颜色 3 2" xfId="69"/>
    <cellStyle name="20% - 强调文字颜色 1 2 2" xfId="70"/>
    <cellStyle name="20% - 强调文字颜色 4 2" xfId="71"/>
    <cellStyle name="常规 3" xfId="72"/>
    <cellStyle name="20% - 强调文字颜色 1 3 2" xfId="73"/>
    <cellStyle name="20% - 强调文字颜色 2 2" xfId="74"/>
    <cellStyle name="20% - 强调文字颜色 4 3" xfId="75"/>
    <cellStyle name="常规 4" xfId="76"/>
    <cellStyle name="20% - 强调文字颜色 4 3 2" xfId="77"/>
    <cellStyle name="常规 4 2" xfId="78"/>
    <cellStyle name="20% - 强调文字颜色 5 2" xfId="79"/>
    <cellStyle name="20% - 强调文字颜色 5 2 2" xfId="80"/>
    <cellStyle name="20% - 强调文字颜色 5 2 2 2" xfId="81"/>
    <cellStyle name="20% - 强调文字颜色 5 2 2 2 2" xfId="82"/>
    <cellStyle name="20% - 强调文字颜色 5 2 2 3" xfId="83"/>
    <cellStyle name="20% - 强调文字颜色 5 2 2 3 2" xfId="84"/>
    <cellStyle name="20% - 强调文字颜色 5 2 2 4" xfId="85"/>
    <cellStyle name="20% - 强调文字颜色 5 2 3" xfId="86"/>
    <cellStyle name="20% - 强调文字颜色 5 2 3 2" xfId="87"/>
    <cellStyle name="20% - 强调文字颜色 5 2 3 2 2" xfId="88"/>
    <cellStyle name="20% - 强调文字颜色 5 2 3 3 2" xfId="89"/>
    <cellStyle name="20% - 强调文字颜色 5 2 4" xfId="90"/>
    <cellStyle name="20% - 强调文字颜色 5 2 4 2" xfId="91"/>
    <cellStyle name="20% - 强调文字颜色 5 2 5" xfId="92"/>
    <cellStyle name="20% - 强调文字颜色 5 2 6" xfId="93"/>
    <cellStyle name="20% - 强调文字颜色 5 3" xfId="94"/>
    <cellStyle name="20% - 强调文字颜色 5 3 2" xfId="95"/>
    <cellStyle name="20% - 强调文字颜色 5 4" xfId="96"/>
    <cellStyle name="20% - 强调文字颜色 5 4 2" xfId="97"/>
    <cellStyle name="20% - 强调文字颜色 6 2" xfId="98"/>
    <cellStyle name="20% - 强调文字颜色 6 2 2" xfId="99"/>
    <cellStyle name="20% - 强调文字颜色 6 3" xfId="100"/>
    <cellStyle name="20% - 强调文字颜色 6 3 2" xfId="101"/>
    <cellStyle name="40% - 强调文字颜色 1 2" xfId="102"/>
    <cellStyle name="40% - 强调文字颜色 1 2 2" xfId="103"/>
    <cellStyle name="40% - 强调文字颜色 1 3" xfId="104"/>
    <cellStyle name="40% - 强调文字颜色 1 3 2" xfId="105"/>
    <cellStyle name="40% - 强调文字颜色 2 2" xfId="106"/>
    <cellStyle name="40% - 强调文字颜色 2 2 2" xfId="107"/>
    <cellStyle name="40% - 强调文字颜色 2 3" xfId="108"/>
    <cellStyle name="40% - 强调文字颜色 2 3 2" xfId="109"/>
    <cellStyle name="40% - 强调文字颜色 3 2" xfId="110"/>
    <cellStyle name="40% - 强调文字颜色 3 2 2" xfId="111"/>
    <cellStyle name="40% - 强调文字颜色 3 3" xfId="112"/>
    <cellStyle name="40% - 强调文字颜色 3 3 2" xfId="113"/>
    <cellStyle name="40% - 强调文字颜色 4 2 2" xfId="114"/>
    <cellStyle name="40% - 强调文字颜色 4 3" xfId="115"/>
    <cellStyle name="40% - 强调文字颜色 5 2" xfId="116"/>
    <cellStyle name="40% - 强调文字颜色 5 2 2" xfId="117"/>
    <cellStyle name="40% - 强调文字颜色 5 3" xfId="118"/>
    <cellStyle name="40% - 强调文字颜色 5 3 2" xfId="119"/>
    <cellStyle name="40% - 强调文字颜色 6 2" xfId="120"/>
    <cellStyle name="40% - 强调文字颜色 6 2 2" xfId="121"/>
    <cellStyle name="40% - 强调文字颜色 6 3" xfId="122"/>
    <cellStyle name="40% - 强调文字颜色 6 3 2" xfId="123"/>
    <cellStyle name="标题 2 2" xfId="124"/>
    <cellStyle name="标题 3 2" xfId="125"/>
    <cellStyle name="标题 4 2" xfId="126"/>
    <cellStyle name="差 2" xfId="127"/>
    <cellStyle name="常规 2" xfId="128"/>
    <cellStyle name="常规 3 3 4" xfId="129"/>
    <cellStyle name="常规 3 2 2" xfId="130"/>
    <cellStyle name="常规 3 2 2 2" xfId="131"/>
    <cellStyle name="常规 3 2 3" xfId="132"/>
    <cellStyle name="常规 3 2 3 2" xfId="133"/>
    <cellStyle name="常规 3 2 4" xfId="134"/>
    <cellStyle name="常规 3 3" xfId="135"/>
    <cellStyle name="常规 3 3 2" xfId="136"/>
    <cellStyle name="常规 3 3 2 2" xfId="137"/>
    <cellStyle name="常规 3 3 3" xfId="138"/>
    <cellStyle name="常规 3 3 3 2" xfId="139"/>
    <cellStyle name="常规 3 4" xfId="140"/>
    <cellStyle name="常规 3 4 2" xfId="141"/>
    <cellStyle name="常规 3 5" xfId="142"/>
    <cellStyle name="常规 3 5 2" xfId="143"/>
    <cellStyle name="常规 3 6" xfId="144"/>
    <cellStyle name="常规 5" xfId="145"/>
    <cellStyle name="常规 5 3" xfId="146"/>
    <cellStyle name="常规 5 3 2" xfId="147"/>
    <cellStyle name="常规 5 4" xfId="148"/>
    <cellStyle name="好 2" xfId="149"/>
    <cellStyle name="解释性文本 2" xfId="150"/>
    <cellStyle name="注释 2" xfId="151"/>
    <cellStyle name="注释 2 2" xfId="152"/>
    <cellStyle name="注释 3" xfId="153"/>
    <cellStyle name="注释 3 2" xfId="154"/>
    <cellStyle name="注释 3 3" xfId="155"/>
    <cellStyle name="注释 3 3 2" xfId="156"/>
    <cellStyle name="注释 3 4" xfId="157"/>
  </cellStyles>
  <tableStyles count="0" defaultTableStyle="TableStyleMedium9" defaultPivotStyle="PivotStyleLight16"/>
  <colors>
    <mruColors>
      <color rgb="009C0006"/>
      <color rgb="00FF0000"/>
      <color rgb="00404040"/>
      <color rgb="00F2F2F2"/>
      <color rgb="007F7F7F"/>
      <color rgb="00C6EFCE"/>
      <color rgb="00006100"/>
      <color rgb="001F497D"/>
      <color rgb="00000000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fmlaLink="$F$38" val="0"/>
</file>

<file path=xl/ctrlProps/ctrlProp2.xml><?xml version="1.0" encoding="utf-8"?>
<formControlPr xmlns="http://schemas.microsoft.com/office/spreadsheetml/2009/9/main" objectType="CheckBox" checked="Checked" fmlaLink="$F$36" val="0"/>
</file>

<file path=xl/ctrlProps/ctrlProp3.xml><?xml version="1.0" encoding="utf-8"?>
<formControlPr xmlns="http://schemas.microsoft.com/office/spreadsheetml/2009/9/main" objectType="CheckBox" checked="Checked" fmlaLink="$F$37" val="0"/>
</file>

<file path=xl/ctrlProps/ctrlProp4.xml><?xml version="1.0" encoding="utf-8"?>
<formControlPr xmlns="http://schemas.microsoft.com/office/spreadsheetml/2009/9/main" objectType="CheckBox" checked="Checked" fmlaLink="$F$27" val="0"/>
</file>

<file path=xl/ctrlProps/ctrlProp5.xml><?xml version="1.0" encoding="utf-8"?>
<formControlPr xmlns="http://schemas.microsoft.com/office/spreadsheetml/2009/9/main" objectType="CheckBox" checked="Checked" fmlaLink="$F$28" val="0"/>
</file>

<file path=xl/ctrlProps/ctrlProp6.xml><?xml version="1.0" encoding="utf-8"?>
<formControlPr xmlns="http://schemas.microsoft.com/office/spreadsheetml/2009/9/main" objectType="CheckBox" checked="Checked" fmlaLink="$F$29" val="0"/>
</file>

<file path=xl/ctrlProps/ctrlProp7.xml><?xml version="1.0" encoding="utf-8"?>
<formControlPr xmlns="http://schemas.microsoft.com/office/spreadsheetml/2009/9/main" objectType="CheckBox" fmlaLink="$F$30" val="0"/>
</file>

<file path=xl/ctrlProps/ctrlProp8.xml><?xml version="1.0" encoding="utf-8"?>
<formControlPr xmlns="http://schemas.microsoft.com/office/spreadsheetml/2009/9/main" objectType="CheckBox" checked="Checked" fmlaLink="$H$27" val="0"/>
</file>

<file path=xl/ctrlProps/ctrlProp9.xml><?xml version="1.0" encoding="utf-8"?>
<formControlPr xmlns="http://schemas.microsoft.com/office/spreadsheetml/2009/9/main" objectType="CheckBox" checked="Checked" fmlaLink="$H$28" val="0"/>
</file>

<file path=xl/ctrlProps/ctrlProp10.xml><?xml version="1.0" encoding="utf-8"?>
<formControlPr xmlns="http://schemas.microsoft.com/office/spreadsheetml/2009/9/main" objectType="CheckBox" checked="Checked" fmlaLink="$H$30" val="0"/>
</file>

<file path=xl/ctrlProps/ctrlProp11.xml><?xml version="1.0" encoding="utf-8"?>
<formControlPr xmlns="http://schemas.microsoft.com/office/spreadsheetml/2009/9/main" objectType="CheckBox" checked="Checked" fmlaLink="$H$31" val="0"/>
</file>

<file path=xl/ctrlProps/ctrlProp12.xml><?xml version="1.0" encoding="utf-8"?>
<formControlPr xmlns="http://schemas.microsoft.com/office/spreadsheetml/2009/9/main" objectType="CheckBox" fmlaLink="苍云!$N$47" val="0"/>
</file>

<file path=xl/ctrlProps/ctrlProp13.xml><?xml version="1.0" encoding="utf-8"?>
<formControlPr xmlns="http://schemas.microsoft.com/office/spreadsheetml/2009/9/main" objectType="CheckBox" fmlaLink="$D$30" val="0"/>
</file>

<file path=xl/ctrlProps/ctrlProp14.xml><?xml version="1.0" encoding="utf-8"?>
<formControlPr xmlns="http://schemas.microsoft.com/office/spreadsheetml/2009/9/main" objectType="CheckBox" fmlaLink="$D$31" val="0"/>
</file>

<file path=xl/ctrlProps/ctrlProp15.xml><?xml version="1.0" encoding="utf-8"?>
<formControlPr xmlns="http://schemas.microsoft.com/office/spreadsheetml/2009/9/main" objectType="CheckBox" val="0"/>
</file>

<file path=xl/ctrlProps/ctrlProp16.xml><?xml version="1.0" encoding="utf-8"?>
<formControlPr xmlns="http://schemas.microsoft.com/office/spreadsheetml/2009/9/main" objectType="CheckBox" val="0"/>
</file>

<file path=xl/ctrlProps/ctrlProp17.xml><?xml version="1.0" encoding="utf-8"?>
<formControlPr xmlns="http://schemas.microsoft.com/office/spreadsheetml/2009/9/main" objectType="CheckBox" checked="Checked" fmlaLink="$B$27" val="0"/>
</file>

<file path=xl/ctrlProps/ctrlProp18.xml><?xml version="1.0" encoding="utf-8"?>
<formControlPr xmlns="http://schemas.microsoft.com/office/spreadsheetml/2009/9/main" objectType="CheckBox" checked="Checked" fmlaLink="$D$27" val="0"/>
</file>

<file path=xl/ctrlProps/ctrlProp19.xml><?xml version="1.0" encoding="utf-8"?>
<formControlPr xmlns="http://schemas.microsoft.com/office/spreadsheetml/2009/9/main" objectType="CheckBox" checked="Checked" fmlaLink="$B$28" val="0"/>
</file>

<file path=xl/ctrlProps/ctrlProp20.xml><?xml version="1.0" encoding="utf-8"?>
<formControlPr xmlns="http://schemas.microsoft.com/office/spreadsheetml/2009/9/main" objectType="CheckBox" fmlaLink="$B$29" val="0"/>
</file>

<file path=xl/ctrlProps/ctrlProp21.xml><?xml version="1.0" encoding="utf-8"?>
<formControlPr xmlns="http://schemas.microsoft.com/office/spreadsheetml/2009/9/main" objectType="CheckBox" fmlaLink="$B$30" val="0"/>
</file>

<file path=xl/ctrlProps/ctrlProp22.xml><?xml version="1.0" encoding="utf-8"?>
<formControlPr xmlns="http://schemas.microsoft.com/office/spreadsheetml/2009/9/main" objectType="CheckBox" fmlaLink="$B$31" val="0"/>
</file>

<file path=xl/ctrlProps/ctrlProp23.xml><?xml version="1.0" encoding="utf-8"?>
<formControlPr xmlns="http://schemas.microsoft.com/office/spreadsheetml/2009/9/main" objectType="CheckBox" fmlaLink="$D$29" val="0"/>
</file>

<file path=xl/ctrlProps/ctrlProp24.xml><?xml version="1.0" encoding="utf-8"?>
<formControlPr xmlns="http://schemas.microsoft.com/office/spreadsheetml/2009/9/main" objectType="CheckBox" fmlaLink="$D$28" val="0"/>
</file>

<file path=xl/ctrlProps/ctrlProp25.xml><?xml version="1.0" encoding="utf-8"?>
<formControlPr xmlns="http://schemas.microsoft.com/office/spreadsheetml/2009/9/main" objectType="CheckBox" checked="Checked" fmlaLink="$F$31" val="0"/>
</file>

<file path=xl/ctrlProps/ctrlProp26.xml><?xml version="1.0" encoding="utf-8"?>
<formControlPr xmlns="http://schemas.microsoft.com/office/spreadsheetml/2009/9/main" objectType="CheckBox" checked="Checked" fmlaLink="$B$32" val="0"/>
</file>

<file path=xl/ctrlProps/ctrlProp27.xml><?xml version="1.0" encoding="utf-8"?>
<formControlPr xmlns="http://schemas.microsoft.com/office/spreadsheetml/2009/9/main" objectType="CheckBox" fmlaLink="$D$32" val="0"/>
</file>

<file path=xl/ctrlProps/ctrlProp28.xml><?xml version="1.0" encoding="utf-8"?>
<formControlPr xmlns="http://schemas.microsoft.com/office/spreadsheetml/2009/9/main" objectType="CheckBox" fmlaLink="$F$40" val="0"/>
</file>

<file path=xl/ctrlProps/ctrlProp29.xml><?xml version="1.0" encoding="utf-8"?>
<formControlPr xmlns="http://schemas.microsoft.com/office/spreadsheetml/2009/9/main" objectType="CheckBox" fmlaLink="属性!$B$24" val="0"/>
</file>

<file path=xl/ctrlProps/ctrlProp30.xml><?xml version="1.0" encoding="utf-8"?>
<formControlPr xmlns="http://schemas.microsoft.com/office/spreadsheetml/2009/9/main" objectType="CheckBox" checked="Checked" val="0"/>
</file>

<file path=xl/ctrlProps/ctrlProp31.xml><?xml version="1.0" encoding="utf-8"?>
<formControlPr xmlns="http://schemas.microsoft.com/office/spreadsheetml/2009/9/main" objectType="CheckBox" checked="Checked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78105</xdr:colOff>
          <xdr:row>7</xdr:row>
          <xdr:rowOff>41910</xdr:rowOff>
        </xdr:from>
        <xdr:to>
          <xdr:col>4</xdr:col>
          <xdr:colOff>489585</xdr:colOff>
          <xdr:row>7</xdr:row>
          <xdr:rowOff>268605</xdr:rowOff>
        </xdr:to>
        <xdr:sp>
          <xdr:nvSpPr>
            <xdr:cNvPr id="1205" name="Check Box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4101465" y="2264410"/>
              <a:ext cx="411480" cy="2266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83820</xdr:colOff>
          <xdr:row>6</xdr:row>
          <xdr:rowOff>57785</xdr:rowOff>
        </xdr:from>
        <xdr:to>
          <xdr:col>5</xdr:col>
          <xdr:colOff>495300</xdr:colOff>
          <xdr:row>6</xdr:row>
          <xdr:rowOff>267335</xdr:rowOff>
        </xdr:to>
        <xdr:sp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5113020" y="1962785"/>
              <a:ext cx="411480" cy="2095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79375</xdr:colOff>
          <xdr:row>7</xdr:row>
          <xdr:rowOff>38100</xdr:rowOff>
        </xdr:from>
        <xdr:to>
          <xdr:col>5</xdr:col>
          <xdr:colOff>490855</xdr:colOff>
          <xdr:row>7</xdr:row>
          <xdr:rowOff>247650</xdr:rowOff>
        </xdr:to>
        <xdr:sp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5108575" y="2260600"/>
              <a:ext cx="411480" cy="2095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2</xdr:row>
          <xdr:rowOff>0</xdr:rowOff>
        </xdr:from>
        <xdr:to>
          <xdr:col>8</xdr:col>
          <xdr:colOff>514350</xdr:colOff>
          <xdr:row>2</xdr:row>
          <xdr:rowOff>255270</xdr:rowOff>
        </xdr:to>
        <xdr:sp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8730615" y="6350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3</xdr:row>
          <xdr:rowOff>0</xdr:rowOff>
        </xdr:from>
        <xdr:to>
          <xdr:col>8</xdr:col>
          <xdr:colOff>514350</xdr:colOff>
          <xdr:row>3</xdr:row>
          <xdr:rowOff>255270</xdr:rowOff>
        </xdr:to>
        <xdr:sp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8730615" y="9525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4</xdr:row>
          <xdr:rowOff>0</xdr:rowOff>
        </xdr:from>
        <xdr:to>
          <xdr:col>8</xdr:col>
          <xdr:colOff>514350</xdr:colOff>
          <xdr:row>4</xdr:row>
          <xdr:rowOff>255270</xdr:rowOff>
        </xdr:to>
        <xdr:sp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8730615" y="12700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5</xdr:row>
          <xdr:rowOff>0</xdr:rowOff>
        </xdr:from>
        <xdr:to>
          <xdr:col>8</xdr:col>
          <xdr:colOff>514350</xdr:colOff>
          <xdr:row>5</xdr:row>
          <xdr:rowOff>255270</xdr:rowOff>
        </xdr:to>
        <xdr:sp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8730615" y="15875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</xdr:row>
          <xdr:rowOff>0</xdr:rowOff>
        </xdr:from>
        <xdr:to>
          <xdr:col>9</xdr:col>
          <xdr:colOff>514350</xdr:colOff>
          <xdr:row>2</xdr:row>
          <xdr:rowOff>255270</xdr:rowOff>
        </xdr:to>
        <xdr:sp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9683115" y="6350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</xdr:row>
          <xdr:rowOff>0</xdr:rowOff>
        </xdr:from>
        <xdr:to>
          <xdr:col>9</xdr:col>
          <xdr:colOff>514350</xdr:colOff>
          <xdr:row>3</xdr:row>
          <xdr:rowOff>255270</xdr:rowOff>
        </xdr:to>
        <xdr:sp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9683115" y="9525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4</xdr:row>
          <xdr:rowOff>0</xdr:rowOff>
        </xdr:from>
        <xdr:to>
          <xdr:col>9</xdr:col>
          <xdr:colOff>514350</xdr:colOff>
          <xdr:row>4</xdr:row>
          <xdr:rowOff>255270</xdr:rowOff>
        </xdr:to>
        <xdr:sp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9683115" y="12700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5</xdr:row>
          <xdr:rowOff>0</xdr:rowOff>
        </xdr:from>
        <xdr:to>
          <xdr:col>9</xdr:col>
          <xdr:colOff>514350</xdr:colOff>
          <xdr:row>5</xdr:row>
          <xdr:rowOff>255270</xdr:rowOff>
        </xdr:to>
        <xdr:sp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9683115" y="15875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10</xdr:row>
          <xdr:rowOff>0</xdr:rowOff>
        </xdr:from>
        <xdr:to>
          <xdr:col>4</xdr:col>
          <xdr:colOff>514350</xdr:colOff>
          <xdr:row>10</xdr:row>
          <xdr:rowOff>255270</xdr:rowOff>
        </xdr:to>
        <xdr:sp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4156710" y="31750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10</xdr:row>
          <xdr:rowOff>0</xdr:rowOff>
        </xdr:from>
        <xdr:to>
          <xdr:col>5</xdr:col>
          <xdr:colOff>514350</xdr:colOff>
          <xdr:row>10</xdr:row>
          <xdr:rowOff>255270</xdr:rowOff>
        </xdr:to>
        <xdr:sp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5162550" y="31750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11</xdr:row>
          <xdr:rowOff>0</xdr:rowOff>
        </xdr:from>
        <xdr:to>
          <xdr:col>5</xdr:col>
          <xdr:colOff>514350</xdr:colOff>
          <xdr:row>11</xdr:row>
          <xdr:rowOff>255270</xdr:rowOff>
        </xdr:to>
        <xdr:sp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5162550" y="34925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</xdr:row>
          <xdr:rowOff>0</xdr:rowOff>
        </xdr:from>
        <xdr:to>
          <xdr:col>4</xdr:col>
          <xdr:colOff>514350</xdr:colOff>
          <xdr:row>1</xdr:row>
          <xdr:rowOff>255270</xdr:rowOff>
        </xdr:to>
        <xdr:sp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4156710" y="3175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</xdr:row>
          <xdr:rowOff>0</xdr:rowOff>
        </xdr:from>
        <xdr:to>
          <xdr:col>4</xdr:col>
          <xdr:colOff>514350</xdr:colOff>
          <xdr:row>3</xdr:row>
          <xdr:rowOff>255270</xdr:rowOff>
        </xdr:to>
        <xdr:sp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4156710" y="9525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145415</xdr:colOff>
          <xdr:row>1</xdr:row>
          <xdr:rowOff>316865</xdr:rowOff>
        </xdr:from>
        <xdr:to>
          <xdr:col>5</xdr:col>
          <xdr:colOff>572135</xdr:colOff>
          <xdr:row>2</xdr:row>
          <xdr:rowOff>300355</xdr:rowOff>
        </xdr:to>
        <xdr:sp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5174615" y="634365"/>
              <a:ext cx="426720" cy="30099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146050</xdr:colOff>
          <xdr:row>3</xdr:row>
          <xdr:rowOff>38100</xdr:rowOff>
        </xdr:from>
        <xdr:to>
          <xdr:col>5</xdr:col>
          <xdr:colOff>527050</xdr:colOff>
          <xdr:row>3</xdr:row>
          <xdr:rowOff>293370</xdr:rowOff>
        </xdr:to>
        <xdr:sp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5175250" y="9906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133350</xdr:colOff>
          <xdr:row>1</xdr:row>
          <xdr:rowOff>0</xdr:rowOff>
        </xdr:from>
        <xdr:to>
          <xdr:col>4</xdr:col>
          <xdr:colOff>514350</xdr:colOff>
          <xdr:row>1</xdr:row>
          <xdr:rowOff>255270</xdr:rowOff>
        </xdr:to>
        <xdr:sp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4156710" y="3175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133350</xdr:colOff>
          <xdr:row>3</xdr:row>
          <xdr:rowOff>0</xdr:rowOff>
        </xdr:from>
        <xdr:to>
          <xdr:col>4</xdr:col>
          <xdr:colOff>514350</xdr:colOff>
          <xdr:row>3</xdr:row>
          <xdr:rowOff>255270</xdr:rowOff>
        </xdr:to>
        <xdr:sp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4156710" y="9525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10</xdr:row>
          <xdr:rowOff>0</xdr:rowOff>
        </xdr:from>
        <xdr:to>
          <xdr:col>4</xdr:col>
          <xdr:colOff>514350</xdr:colOff>
          <xdr:row>10</xdr:row>
          <xdr:rowOff>255270</xdr:rowOff>
        </xdr:to>
        <xdr:sp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4156710" y="31750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11</xdr:row>
          <xdr:rowOff>0</xdr:rowOff>
        </xdr:from>
        <xdr:to>
          <xdr:col>4</xdr:col>
          <xdr:colOff>514350</xdr:colOff>
          <xdr:row>11</xdr:row>
          <xdr:rowOff>255270</xdr:rowOff>
        </xdr:to>
        <xdr:sp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4156710" y="34925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123825</xdr:colOff>
          <xdr:row>5</xdr:row>
          <xdr:rowOff>25400</xdr:rowOff>
        </xdr:from>
        <xdr:to>
          <xdr:col>4</xdr:col>
          <xdr:colOff>504825</xdr:colOff>
          <xdr:row>6</xdr:row>
          <xdr:rowOff>25400</xdr:rowOff>
        </xdr:to>
        <xdr:sp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4147185" y="1612900"/>
              <a:ext cx="381000" cy="31750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133350</xdr:colOff>
          <xdr:row>2</xdr:row>
          <xdr:rowOff>0</xdr:rowOff>
        </xdr:from>
        <xdr:to>
          <xdr:col>4</xdr:col>
          <xdr:colOff>514350</xdr:colOff>
          <xdr:row>2</xdr:row>
          <xdr:rowOff>255270</xdr:rowOff>
        </xdr:to>
        <xdr:sp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4156710" y="6350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6</xdr:row>
          <xdr:rowOff>0</xdr:rowOff>
        </xdr:from>
        <xdr:to>
          <xdr:col>8</xdr:col>
          <xdr:colOff>514350</xdr:colOff>
          <xdr:row>6</xdr:row>
          <xdr:rowOff>255270</xdr:rowOff>
        </xdr:to>
        <xdr:sp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8730615" y="1905000"/>
              <a:ext cx="381000" cy="2552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536575</xdr:colOff>
          <xdr:row>8</xdr:row>
          <xdr:rowOff>67945</xdr:rowOff>
        </xdr:from>
        <xdr:to>
          <xdr:col>4</xdr:col>
          <xdr:colOff>948055</xdr:colOff>
          <xdr:row>8</xdr:row>
          <xdr:rowOff>273685</xdr:rowOff>
        </xdr:to>
        <xdr:sp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4559935" y="2607945"/>
              <a:ext cx="411480" cy="20574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146050</xdr:colOff>
          <xdr:row>0</xdr:row>
          <xdr:rowOff>315595</xdr:rowOff>
        </xdr:from>
        <xdr:to>
          <xdr:col>5</xdr:col>
          <xdr:colOff>557530</xdr:colOff>
          <xdr:row>2</xdr:row>
          <xdr:rowOff>12065</xdr:rowOff>
        </xdr:to>
        <xdr:sp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5175250" y="315595"/>
              <a:ext cx="411480" cy="331470"/>
            </a:xfrm>
            <a:prstGeom prst="rect">
              <a:avLst/>
            </a:prstGeom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121920</xdr:colOff>
          <xdr:row>6</xdr:row>
          <xdr:rowOff>36195</xdr:rowOff>
        </xdr:from>
        <xdr:to>
          <xdr:col>5</xdr:col>
          <xdr:colOff>30480</xdr:colOff>
          <xdr:row>6</xdr:row>
          <xdr:rowOff>243840</xdr:rowOff>
        </xdr:to>
        <xdr:sp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4145280" y="1941195"/>
              <a:ext cx="914400" cy="2076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128905</xdr:colOff>
          <xdr:row>4</xdr:row>
          <xdr:rowOff>64135</xdr:rowOff>
        </xdr:from>
        <xdr:to>
          <xdr:col>4</xdr:col>
          <xdr:colOff>540385</xdr:colOff>
          <xdr:row>4</xdr:row>
          <xdr:rowOff>271145</xdr:rowOff>
        </xdr:to>
        <xdr:sp>
          <xdr:nvSpPr>
            <xdr:cNvPr id="1207" name="Check Box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4152265" y="1334135"/>
              <a:ext cx="411480" cy="20701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xdr:twoCellAnchor>
    <xdr:from>
      <xdr:col>8</xdr:col>
      <xdr:colOff>657225</xdr:colOff>
      <xdr:row>13</xdr:row>
      <xdr:rowOff>144780</xdr:rowOff>
    </xdr:from>
    <xdr:to>
      <xdr:col>10</xdr:col>
      <xdr:colOff>678815</xdr:colOff>
      <xdr:row>17</xdr:row>
      <xdr:rowOff>63500</xdr:rowOff>
    </xdr:to>
    <xdr:sp>
      <xdr:nvSpPr>
        <xdr:cNvPr id="5" name="文本框 4"/>
        <xdr:cNvSpPr txBox="1"/>
      </xdr:nvSpPr>
      <xdr:spPr>
        <a:xfrm>
          <a:off x="9254490" y="4272280"/>
          <a:ext cx="1945640" cy="10756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200">
              <a:latin typeface="微软雅黑 Light" panose="020B0502040204020203" charset="-122"/>
              <a:ea typeface="微软雅黑 Light" panose="020B0502040204020203" charset="-122"/>
              <a:cs typeface="微软雅黑 Light" panose="020B0502040204020203" charset="-122"/>
            </a:rPr>
            <a:t>作者：百里云英 </a:t>
          </a:r>
          <a:r>
            <a:rPr lang="en-US" altLang="zh-CN" sz="1200">
              <a:latin typeface="微软雅黑 Light" panose="020B0502040204020203" charset="-122"/>
              <a:ea typeface="微软雅黑 Light" panose="020B0502040204020203" charset="-122"/>
              <a:cs typeface="微软雅黑 Light" panose="020B0502040204020203" charset="-122"/>
            </a:rPr>
            <a:t>&amp; </a:t>
          </a:r>
          <a:r>
            <a:rPr lang="zh-CN" altLang="en-US" sz="1200">
              <a:latin typeface="微软雅黑 Light" panose="020B0502040204020203" charset="-122"/>
              <a:ea typeface="微软雅黑 Light" panose="020B0502040204020203" charset="-122"/>
              <a:cs typeface="微软雅黑 Light" panose="020B0502040204020203" charset="-122"/>
            </a:rPr>
            <a:t>鸢顾顾</a:t>
          </a:r>
          <a:endParaRPr lang="zh-CN" altLang="en-US" sz="900">
            <a:latin typeface="微软雅黑 Light" panose="020B0502040204020203" charset="-122"/>
            <a:ea typeface="微软雅黑 Light" panose="020B0502040204020203" charset="-122"/>
            <a:cs typeface="微软雅黑 Light" panose="020B0502040204020203" charset="-122"/>
          </a:endParaRPr>
        </a:p>
        <a:p>
          <a:pPr algn="l"/>
          <a:endParaRPr lang="zh-CN" altLang="en-US" sz="900">
            <a:latin typeface="微软雅黑 Light" panose="020B0502040204020203" charset="-122"/>
            <a:ea typeface="微软雅黑 Light" panose="020B0502040204020203" charset="-122"/>
            <a:cs typeface="微软雅黑 Light" panose="020B0502040204020203" charset="-122"/>
          </a:endParaRPr>
        </a:p>
        <a:p>
          <a:pPr algn="l"/>
          <a:endParaRPr lang="zh-CN" altLang="en-US" sz="900">
            <a:latin typeface="微软雅黑 Light" panose="020B0502040204020203" charset="-122"/>
            <a:ea typeface="微软雅黑 Light" panose="020B0502040204020203" charset="-122"/>
            <a:cs typeface="微软雅黑 Light" panose="020B0502040204020203" charset="-122"/>
          </a:endParaRPr>
        </a:p>
      </xdr:txBody>
    </xdr:sp>
    <xdr:clientData/>
  </xdr:twoCellAnchor>
  <xdr:twoCellAnchor>
    <xdr:from>
      <xdr:col>12</xdr:col>
      <xdr:colOff>22860</xdr:colOff>
      <xdr:row>9</xdr:row>
      <xdr:rowOff>45720</xdr:rowOff>
    </xdr:from>
    <xdr:to>
      <xdr:col>15</xdr:col>
      <xdr:colOff>6985</xdr:colOff>
      <xdr:row>14</xdr:row>
      <xdr:rowOff>387350</xdr:rowOff>
    </xdr:to>
    <xdr:sp>
      <xdr:nvSpPr>
        <xdr:cNvPr id="6" name="文本框 5"/>
        <xdr:cNvSpPr txBox="1"/>
      </xdr:nvSpPr>
      <xdr:spPr>
        <a:xfrm>
          <a:off x="12182475" y="2903220"/>
          <a:ext cx="2489200" cy="18592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900">
              <a:latin typeface="微软雅黑 Light" panose="020B0502040204020203" charset="-122"/>
              <a:ea typeface="微软雅黑 Light" panose="020B0502040204020203" charset="-122"/>
              <a:cs typeface="微软雅黑 Light" panose="020B0502040204020203" charset="-122"/>
              <a:sym typeface="+mn-ea"/>
            </a:rPr>
            <a:t>作者备注：</a:t>
          </a:r>
          <a:endParaRPr lang="zh-CN" altLang="en-US" sz="900">
            <a:latin typeface="微软雅黑 Light" panose="020B0502040204020203" charset="-122"/>
            <a:ea typeface="微软雅黑 Light" panose="020B0502040204020203" charset="-122"/>
            <a:cs typeface="微软雅黑 Light" panose="020B0502040204020203" charset="-122"/>
          </a:endParaRPr>
        </a:p>
        <a:p>
          <a:pPr algn="l"/>
          <a:r>
            <a:rPr lang="zh-CN" altLang="en-US" sz="900">
              <a:latin typeface="微软雅黑 Light" panose="020B0502040204020203" charset="-122"/>
              <a:ea typeface="微软雅黑 Light" panose="020B0502040204020203" charset="-122"/>
              <a:cs typeface="微软雅黑 Light" panose="020B0502040204020203" charset="-122"/>
              <a:sym typeface="+mn-ea"/>
            </a:rPr>
            <a:t>① 感谢流月丶初七提供的模板，感谢泪染潇湘，胖叔叔，泠宸两点对计算器的支持</a:t>
          </a:r>
          <a:endParaRPr lang="zh-CN" altLang="en-US" sz="900">
            <a:latin typeface="微软雅黑 Light" panose="020B0502040204020203" charset="-122"/>
            <a:ea typeface="微软雅黑 Light" panose="020B0502040204020203" charset="-122"/>
            <a:cs typeface="微软雅黑 Light" panose="020B0502040204020203" charset="-122"/>
            <a:sym typeface="+mn-ea"/>
          </a:endParaRPr>
        </a:p>
        <a:p>
          <a:pPr algn="l"/>
          <a:endParaRPr lang="zh-CN" altLang="en-US" sz="900">
            <a:latin typeface="微软雅黑 Light" panose="020B0502040204020203" charset="-122"/>
            <a:ea typeface="微软雅黑 Light" panose="020B0502040204020203" charset="-122"/>
            <a:cs typeface="微软雅黑 Light" panose="020B0502040204020203" charset="-122"/>
            <a:sym typeface="+mn-ea"/>
          </a:endParaRPr>
        </a:p>
        <a:p>
          <a:pPr algn="l"/>
          <a:r>
            <a:rPr lang="zh-CN" altLang="en-US" sz="900">
              <a:latin typeface="微软雅黑 Light" panose="020B0502040204020203" charset="-122"/>
              <a:ea typeface="微软雅黑 Light" panose="020B0502040204020203" charset="-122"/>
              <a:cs typeface="微软雅黑 Light" panose="020B0502040204020203" charset="-122"/>
            </a:rPr>
            <a:t>②若五彩石更换需更改H10处的【狂攻五彩石】等级，属性来源选择属性面板默认带有从容</a:t>
          </a:r>
          <a:endParaRPr lang="zh-CN" altLang="en-US" sz="900">
            <a:latin typeface="微软雅黑 Light" panose="020B0502040204020203" charset="-122"/>
            <a:ea typeface="微软雅黑 Light" panose="020B0502040204020203" charset="-122"/>
            <a:cs typeface="微软雅黑 Light" panose="020B0502040204020203" charset="-122"/>
          </a:endParaRPr>
        </a:p>
        <a:p>
          <a:pPr algn="l"/>
          <a:endParaRPr lang="zh-CN" altLang="en-US" sz="900">
            <a:latin typeface="微软雅黑 Light" panose="020B0502040204020203" charset="-122"/>
            <a:ea typeface="微软雅黑 Light" panose="020B0502040204020203" charset="-122"/>
            <a:cs typeface="微软雅黑 Light" panose="020B0502040204020203" charset="-122"/>
          </a:endParaRPr>
        </a:p>
        <a:p>
          <a:pPr algn="l"/>
          <a:r>
            <a:rPr lang="zh-CN" altLang="en-US" sz="900">
              <a:latin typeface="微软雅黑 Light" panose="020B0502040204020203" charset="-122"/>
              <a:ea typeface="微软雅黑 Light" panose="020B0502040204020203" charset="-122"/>
              <a:cs typeface="微软雅黑 Light" panose="020B0502040204020203" charset="-122"/>
              <a:sym typeface="+mn-ea"/>
            </a:rPr>
            <a:t>③</a:t>
          </a:r>
          <a:endParaRPr lang="zh-CN" altLang="en-US" sz="900">
            <a:latin typeface="微软雅黑 Light" panose="020B0502040204020203" charset="-122"/>
            <a:ea typeface="微软雅黑 Light" panose="020B0502040204020203" charset="-122"/>
            <a:cs typeface="微软雅黑 Light" panose="020B0502040204020203" charset="-122"/>
            <a:sym typeface="+mn-ea"/>
          </a:endParaRPr>
        </a:p>
        <a:p>
          <a:pPr algn="l"/>
          <a:r>
            <a:rPr lang="zh-CN" altLang="en-US" sz="900">
              <a:latin typeface="微软雅黑 Light" panose="020B0502040204020203" charset="-122"/>
              <a:ea typeface="微软雅黑 Light" panose="020B0502040204020203" charset="-122"/>
              <a:cs typeface="微软雅黑 Light" panose="020B0502040204020203" charset="-122"/>
              <a:sym typeface="+mn-ea"/>
            </a:rPr>
            <a:t>未考虑</a:t>
          </a:r>
          <a:r>
            <a:rPr lang="zh-CN" altLang="en-US" sz="900">
              <a:solidFill>
                <a:schemeClr val="accent4"/>
              </a:solidFill>
              <a:latin typeface="微软雅黑 Light" panose="020B0502040204020203" charset="-122"/>
              <a:ea typeface="微软雅黑 Light" panose="020B0502040204020203" charset="-122"/>
              <a:cs typeface="微软雅黑 Light" panose="020B0502040204020203" charset="-122"/>
              <a:sym typeface="+mn-ea"/>
            </a:rPr>
            <a:t>命中额外损失</a:t>
          </a:r>
          <a:r>
            <a:rPr lang="zh-CN" altLang="en-US" sz="900">
              <a:latin typeface="微软雅黑 Light" panose="020B0502040204020203" charset="-122"/>
              <a:ea typeface="微软雅黑 Light" panose="020B0502040204020203" charset="-122"/>
              <a:cs typeface="微软雅黑 Light" panose="020B0502040204020203" charset="-122"/>
              <a:sym typeface="+mn-ea"/>
            </a:rPr>
            <a:t>，命中</a:t>
          </a:r>
          <a:r>
            <a:rPr lang="zh-CN" altLang="en-US" sz="900">
              <a:solidFill>
                <a:schemeClr val="accent4"/>
              </a:solidFill>
              <a:latin typeface="微软雅黑 Light" panose="020B0502040204020203" charset="-122"/>
              <a:ea typeface="微软雅黑 Light" panose="020B0502040204020203" charset="-122"/>
              <a:cs typeface="微软雅黑 Light" panose="020B0502040204020203" charset="-122"/>
              <a:sym typeface="+mn-ea"/>
            </a:rPr>
            <a:t>请尽量堆满</a:t>
          </a:r>
          <a:r>
            <a:rPr lang="zh-CN" altLang="en-US" sz="900">
              <a:latin typeface="微软雅黑 Light" panose="020B0502040204020203" charset="-122"/>
              <a:ea typeface="微软雅黑 Light" panose="020B0502040204020203" charset="-122"/>
              <a:cs typeface="微软雅黑 Light" panose="020B0502040204020203" charset="-122"/>
              <a:sym typeface="+mn-ea"/>
            </a:rPr>
            <a:t>，此计算器转载需在经作者本人同意并署上原作者名，</a:t>
          </a:r>
          <a:endParaRPr lang="zh-CN" altLang="en-US" sz="900">
            <a:latin typeface="微软雅黑 Light" panose="020B0502040204020203" charset="-122"/>
            <a:ea typeface="微软雅黑 Light" panose="020B0502040204020203" charset="-122"/>
            <a:cs typeface="微软雅黑 Light" panose="020B0502040204020203" charset="-122"/>
          </a:endParaRPr>
        </a:p>
        <a:p>
          <a:pPr algn="l"/>
          <a:r>
            <a:rPr lang="zh-CN" altLang="en-US" sz="900">
              <a:latin typeface="微软雅黑 Light" panose="020B0502040204020203" charset="-122"/>
              <a:ea typeface="微软雅黑 Light" panose="020B0502040204020203" charset="-122"/>
              <a:cs typeface="微软雅黑 Light" panose="020B0502040204020203" charset="-122"/>
              <a:sym typeface="+mn-ea"/>
            </a:rPr>
            <a:t>原链接及网盘地址</a:t>
          </a:r>
          <a:endParaRPr lang="zh-CN" altLang="en-US" sz="900">
            <a:latin typeface="微软雅黑 Light" panose="020B0502040204020203" charset="-122"/>
            <a:ea typeface="微软雅黑 Light" panose="020B0502040204020203" charset="-122"/>
            <a:cs typeface="微软雅黑 Light" panose="020B0502040204020203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670560</xdr:colOff>
          <xdr:row>0</xdr:row>
          <xdr:rowOff>175260</xdr:rowOff>
        </xdr:from>
        <xdr:to>
          <xdr:col>5</xdr:col>
          <xdr:colOff>241300</xdr:colOff>
          <xdr:row>1</xdr:row>
          <xdr:rowOff>178435</xdr:rowOff>
        </xdr:to>
        <xdr:sp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2682240" y="175260"/>
              <a:ext cx="911860" cy="20891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 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670560</xdr:colOff>
          <xdr:row>0</xdr:row>
          <xdr:rowOff>27940</xdr:rowOff>
        </xdr:from>
        <xdr:to>
          <xdr:col>5</xdr:col>
          <xdr:colOff>241300</xdr:colOff>
          <xdr:row>1</xdr:row>
          <xdr:rowOff>31115</xdr:rowOff>
        </xdr:to>
        <xdr:sp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2682240" y="27940"/>
              <a:ext cx="911860" cy="20891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 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xdr:twoCellAnchor>
    <xdr:from>
      <xdr:col>3</xdr:col>
      <xdr:colOff>742315</xdr:colOff>
      <xdr:row>0</xdr:row>
      <xdr:rowOff>17780</xdr:rowOff>
    </xdr:from>
    <xdr:to>
      <xdr:col>4</xdr:col>
      <xdr:colOff>349885</xdr:colOff>
      <xdr:row>0</xdr:row>
      <xdr:rowOff>250190</xdr:rowOff>
    </xdr:to>
    <xdr:sp>
      <xdr:nvSpPr>
        <xdr:cNvPr id="4" name="文本框 3"/>
        <xdr:cNvSpPr txBox="1"/>
      </xdr:nvSpPr>
      <xdr:spPr>
        <a:xfrm>
          <a:off x="2682240" y="17780"/>
          <a:ext cx="349885" cy="18796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>
              <a:latin typeface="微软雅黑 Light" panose="020B0502040204020203" charset="-122"/>
              <a:ea typeface="微软雅黑 Light" panose="020B0502040204020203" charset="-122"/>
            </a:rPr>
            <a:t>破防</a:t>
          </a:r>
          <a:endParaRPr lang="zh-CN" altLang="en-US" sz="800">
            <a:latin typeface="微软雅黑 Light" panose="020B0502040204020203" charset="-122"/>
            <a:ea typeface="微软雅黑 Light" panose="020B0502040204020203" charset="-122"/>
          </a:endParaRPr>
        </a:p>
      </xdr:txBody>
    </xdr:sp>
    <xdr:clientData/>
  </xdr:twoCellAnchor>
  <xdr:twoCellAnchor>
    <xdr:from>
      <xdr:col>3</xdr:col>
      <xdr:colOff>742315</xdr:colOff>
      <xdr:row>0</xdr:row>
      <xdr:rowOff>234315</xdr:rowOff>
    </xdr:from>
    <xdr:to>
      <xdr:col>4</xdr:col>
      <xdr:colOff>349885</xdr:colOff>
      <xdr:row>1</xdr:row>
      <xdr:rowOff>211455</xdr:rowOff>
    </xdr:to>
    <xdr:sp>
      <xdr:nvSpPr>
        <xdr:cNvPr id="5" name="文本框 4"/>
        <xdr:cNvSpPr txBox="1"/>
      </xdr:nvSpPr>
      <xdr:spPr>
        <a:xfrm>
          <a:off x="2682240" y="205740"/>
          <a:ext cx="349885" cy="21145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>
              <a:latin typeface="微软雅黑 Light" panose="020B0502040204020203" charset="-122"/>
              <a:ea typeface="微软雅黑 Light" panose="020B0502040204020203" charset="-122"/>
            </a:rPr>
            <a:t>会心</a:t>
          </a:r>
          <a:endParaRPr lang="zh-CN" altLang="en-US" sz="800">
            <a:latin typeface="微软雅黑 Light" panose="020B0502040204020203" charset="-122"/>
            <a:ea typeface="微软雅黑 Light" panose="020B0502040204020203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2" Type="http://schemas.openxmlformats.org/officeDocument/2006/relationships/ctrlProp" Target="../ctrlProps/ctrlProp29.xml"/><Relationship Id="rId31" Type="http://schemas.openxmlformats.org/officeDocument/2006/relationships/ctrlProp" Target="../ctrlProps/ctrlProp28.xml"/><Relationship Id="rId30" Type="http://schemas.openxmlformats.org/officeDocument/2006/relationships/ctrlProp" Target="../ctrlProps/ctrlProp27.xml"/><Relationship Id="rId3" Type="http://schemas.openxmlformats.org/officeDocument/2006/relationships/vmlDrawing" Target="../drawings/vmlDrawing1.vml"/><Relationship Id="rId29" Type="http://schemas.openxmlformats.org/officeDocument/2006/relationships/ctrlProp" Target="../ctrlProps/ctrlProp26.xml"/><Relationship Id="rId28" Type="http://schemas.openxmlformats.org/officeDocument/2006/relationships/ctrlProp" Target="../ctrlProps/ctrlProp25.xml"/><Relationship Id="rId27" Type="http://schemas.openxmlformats.org/officeDocument/2006/relationships/ctrlProp" Target="../ctrlProps/ctrlProp24.xml"/><Relationship Id="rId26" Type="http://schemas.openxmlformats.org/officeDocument/2006/relationships/ctrlProp" Target="../ctrlProps/ctrlProp23.xml"/><Relationship Id="rId25" Type="http://schemas.openxmlformats.org/officeDocument/2006/relationships/ctrlProp" Target="../ctrlProps/ctrlProp22.x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31.xml"/><Relationship Id="rId3" Type="http://schemas.openxmlformats.org/officeDocument/2006/relationships/ctrlProp" Target="../ctrlProps/ctrlProp30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3"/>
  <sheetViews>
    <sheetView tabSelected="1" workbookViewId="0">
      <selection activeCell="E10" sqref="E10:F10"/>
    </sheetView>
  </sheetViews>
  <sheetFormatPr defaultColWidth="15.625" defaultRowHeight="20.1" customHeight="1"/>
  <cols>
    <col min="1" max="6" width="13.2" style="6" customWidth="1"/>
    <col min="7" max="7" width="15.75" style="6" customWidth="1"/>
    <col min="8" max="8" width="17.875" style="6" customWidth="1"/>
    <col min="9" max="9" width="12.5" style="6" customWidth="1"/>
    <col min="10" max="10" width="12.75" style="6" customWidth="1"/>
    <col min="11" max="11" width="11.125" style="6" customWidth="1"/>
    <col min="12" max="12" width="10.375" style="6" customWidth="1"/>
    <col min="13" max="13" width="11.625" style="6" customWidth="1"/>
    <col min="14" max="15" width="10.625" style="6" customWidth="1"/>
    <col min="16" max="16384" width="15.625" style="6"/>
  </cols>
  <sheetData>
    <row r="1" ht="25" customHeight="1" spans="1:15">
      <c r="A1" s="69" t="s">
        <v>0</v>
      </c>
      <c r="B1" s="69"/>
      <c r="C1" s="69" t="s">
        <v>1</v>
      </c>
      <c r="D1" s="69"/>
      <c r="E1" s="70" t="s">
        <v>2</v>
      </c>
      <c r="F1" s="70"/>
      <c r="G1" s="71" t="s">
        <v>3</v>
      </c>
      <c r="H1" s="71"/>
      <c r="I1" s="71"/>
      <c r="J1" s="71"/>
      <c r="K1" s="119" t="s">
        <v>4</v>
      </c>
      <c r="L1" s="119"/>
      <c r="M1" s="120" t="s">
        <v>5</v>
      </c>
      <c r="N1" s="120"/>
      <c r="O1" s="120"/>
    </row>
    <row r="2" ht="25" customHeight="1" spans="1:15">
      <c r="A2" s="72" t="s">
        <v>6</v>
      </c>
      <c r="B2" s="73">
        <v>1749</v>
      </c>
      <c r="C2" s="74" t="s">
        <v>6</v>
      </c>
      <c r="D2" s="75">
        <f ca="1">VLOOKUP(C2,$A$59:$E$68,MATCH($D$10,$A$59:$E$59,0),0)</f>
        <v>2.13667545177289</v>
      </c>
      <c r="E2" s="76" t="s">
        <v>7</v>
      </c>
      <c r="F2" s="76" t="s">
        <v>8</v>
      </c>
      <c r="G2" s="77" t="s">
        <v>9</v>
      </c>
      <c r="H2" s="78" t="s">
        <v>10</v>
      </c>
      <c r="I2" s="121" t="s">
        <v>11</v>
      </c>
      <c r="J2" s="121"/>
      <c r="K2" s="122" t="s">
        <v>12</v>
      </c>
      <c r="L2" s="122" t="s">
        <v>13</v>
      </c>
      <c r="M2" s="123" t="s">
        <v>14</v>
      </c>
      <c r="N2" s="124">
        <f ca="1">木桩!K35</f>
        <v>0.446520677327401</v>
      </c>
      <c r="O2" s="125">
        <f ca="1">木桩!L35</f>
        <v>156</v>
      </c>
    </row>
    <row r="3" ht="25" customHeight="1" spans="1:15">
      <c r="A3" s="72" t="s">
        <v>15</v>
      </c>
      <c r="B3" s="73">
        <v>12484</v>
      </c>
      <c r="C3" s="74" t="s">
        <v>16</v>
      </c>
      <c r="D3" s="75">
        <f ca="1" t="shared" ref="D2:D9" si="0">VLOOKUP(C3,$A$59:$E$68,MATCH($D$10,$A$59:$E$59,0),0)</f>
        <v>3.64881523548008</v>
      </c>
      <c r="E3" s="76" t="s">
        <v>17</v>
      </c>
      <c r="F3" s="76" t="s">
        <v>18</v>
      </c>
      <c r="G3" s="77" t="s">
        <v>19</v>
      </c>
      <c r="H3" s="78" t="s">
        <v>20</v>
      </c>
      <c r="I3" s="126" t="s">
        <v>21</v>
      </c>
      <c r="J3" s="126" t="s">
        <v>22</v>
      </c>
      <c r="K3" s="122" t="s">
        <v>23</v>
      </c>
      <c r="L3" s="122" t="s">
        <v>24</v>
      </c>
      <c r="M3" s="123" t="s">
        <v>25</v>
      </c>
      <c r="N3" s="124">
        <f ca="1">木桩!K36</f>
        <v>0.204672379223683</v>
      </c>
      <c r="O3" s="125">
        <f>木桩!L36</f>
        <v>320</v>
      </c>
    </row>
    <row r="4" ht="25" customHeight="1" spans="1:15">
      <c r="A4" s="72" t="s">
        <v>26</v>
      </c>
      <c r="B4" s="79">
        <v>0.2668</v>
      </c>
      <c r="C4" s="74" t="s">
        <v>26</v>
      </c>
      <c r="D4" s="75">
        <f ca="1" t="shared" si="0"/>
        <v>3.07308594851496</v>
      </c>
      <c r="E4" s="76" t="s">
        <v>27</v>
      </c>
      <c r="F4" s="80" t="s">
        <v>28</v>
      </c>
      <c r="G4" s="77" t="s">
        <v>29</v>
      </c>
      <c r="H4" s="78" t="s">
        <v>30</v>
      </c>
      <c r="I4" s="126" t="s">
        <v>31</v>
      </c>
      <c r="J4" s="126" t="s">
        <v>32</v>
      </c>
      <c r="K4" s="122" t="s">
        <v>33</v>
      </c>
      <c r="L4" s="122" t="s">
        <v>34</v>
      </c>
      <c r="M4" s="123" t="s">
        <v>35</v>
      </c>
      <c r="N4" s="124">
        <f ca="1">木桩!K37</f>
        <v>0.119313326107865</v>
      </c>
      <c r="O4" s="125">
        <f ca="1">木桩!L37</f>
        <v>275</v>
      </c>
    </row>
    <row r="5" ht="25" customHeight="1" spans="1:15">
      <c r="A5" s="72" t="s">
        <v>36</v>
      </c>
      <c r="B5" s="79">
        <v>1.8533</v>
      </c>
      <c r="C5" s="74" t="s">
        <v>36</v>
      </c>
      <c r="D5" s="75">
        <f ca="1" t="shared" si="0"/>
        <v>5.25285826565727</v>
      </c>
      <c r="E5" s="76" t="s">
        <v>37</v>
      </c>
      <c r="F5" s="81" t="s">
        <v>38</v>
      </c>
      <c r="G5" s="77" t="s">
        <v>39</v>
      </c>
      <c r="H5" s="78" t="s">
        <v>40</v>
      </c>
      <c r="I5" s="126" t="s">
        <v>41</v>
      </c>
      <c r="J5" s="126" t="s">
        <v>42</v>
      </c>
      <c r="K5" s="122" t="s">
        <v>43</v>
      </c>
      <c r="L5" s="122" t="s">
        <v>44</v>
      </c>
      <c r="M5" s="123" t="s">
        <v>45</v>
      </c>
      <c r="N5" s="124">
        <f ca="1">木桩!K39</f>
        <v>0.0839018367840442</v>
      </c>
      <c r="O5" s="125">
        <f>木桩!L38</f>
        <v>200</v>
      </c>
    </row>
    <row r="6" ht="25" customHeight="1" spans="1:15">
      <c r="A6" s="82" t="s">
        <v>46</v>
      </c>
      <c r="B6" s="79">
        <v>0.503</v>
      </c>
      <c r="C6" s="74" t="s">
        <v>47</v>
      </c>
      <c r="D6" s="75">
        <f ca="1" t="shared" si="0"/>
        <v>4.08218685433081</v>
      </c>
      <c r="E6" s="76" t="s">
        <v>48</v>
      </c>
      <c r="F6" s="83"/>
      <c r="G6" s="77" t="s">
        <v>49</v>
      </c>
      <c r="H6" s="78" t="s">
        <v>50</v>
      </c>
      <c r="I6" s="126" t="s">
        <v>51</v>
      </c>
      <c r="J6" s="91" t="s">
        <v>52</v>
      </c>
      <c r="K6" s="122" t="s">
        <v>53</v>
      </c>
      <c r="L6" s="122" t="s">
        <v>54</v>
      </c>
      <c r="M6" s="123" t="s">
        <v>55</v>
      </c>
      <c r="N6" s="124">
        <f ca="1">木桩!K38</f>
        <v>0.066343628835612</v>
      </c>
      <c r="O6" s="125">
        <f ca="1">木桩!L39</f>
        <v>18</v>
      </c>
    </row>
    <row r="7" ht="25" customHeight="1" spans="1:15">
      <c r="A7" s="72" t="s">
        <v>56</v>
      </c>
      <c r="B7" s="79">
        <v>1.0715</v>
      </c>
      <c r="C7" s="74" t="s">
        <v>56</v>
      </c>
      <c r="D7" s="75">
        <f ca="1" t="shared" si="0"/>
        <v>0</v>
      </c>
      <c r="E7" s="76" t="s">
        <v>57</v>
      </c>
      <c r="F7" s="80" t="s">
        <v>58</v>
      </c>
      <c r="G7" s="77" t="s">
        <v>59</v>
      </c>
      <c r="H7" s="78" t="s">
        <v>60</v>
      </c>
      <c r="I7" s="127" t="s">
        <v>61</v>
      </c>
      <c r="J7" s="128" t="s">
        <v>62</v>
      </c>
      <c r="K7" s="122" t="s">
        <v>63</v>
      </c>
      <c r="L7" s="122" t="s">
        <v>64</v>
      </c>
      <c r="M7" s="123" t="s">
        <v>65</v>
      </c>
      <c r="N7" s="124">
        <f ca="1">木桩!K40</f>
        <v>0.0364457495255014</v>
      </c>
      <c r="O7" s="125">
        <f ca="1">木桩!L40</f>
        <v>14</v>
      </c>
    </row>
    <row r="8" ht="25" customHeight="1" spans="1:15">
      <c r="A8" s="72" t="s">
        <v>66</v>
      </c>
      <c r="B8" s="79">
        <v>0.2319</v>
      </c>
      <c r="C8" s="74" t="s">
        <v>66</v>
      </c>
      <c r="D8" s="75">
        <f ca="1" t="shared" si="0"/>
        <v>0</v>
      </c>
      <c r="E8" s="80" t="s">
        <v>67</v>
      </c>
      <c r="F8" s="80" t="s">
        <v>68</v>
      </c>
      <c r="G8" s="77" t="s">
        <v>69</v>
      </c>
      <c r="H8" s="78">
        <v>0</v>
      </c>
      <c r="I8" s="129" t="s">
        <v>70</v>
      </c>
      <c r="J8" s="130">
        <v>0</v>
      </c>
      <c r="K8" s="122" t="s">
        <v>71</v>
      </c>
      <c r="L8" s="122" t="s">
        <v>72</v>
      </c>
      <c r="M8" s="123" t="s">
        <v>73</v>
      </c>
      <c r="N8" s="124">
        <f ca="1">木桩!K41</f>
        <v>0.023121096205846</v>
      </c>
      <c r="O8" s="125">
        <f ca="1">木桩!L41</f>
        <v>14</v>
      </c>
    </row>
    <row r="9" ht="25" customHeight="1" spans="1:15">
      <c r="A9" s="72" t="s">
        <v>74</v>
      </c>
      <c r="B9" s="73">
        <v>2130</v>
      </c>
      <c r="C9" s="74" t="s">
        <v>75</v>
      </c>
      <c r="D9" s="75">
        <f ca="1" t="shared" si="0"/>
        <v>3.84850452115276</v>
      </c>
      <c r="E9" s="76" t="s">
        <v>76</v>
      </c>
      <c r="F9" s="76"/>
      <c r="G9" s="77" t="s">
        <v>77</v>
      </c>
      <c r="H9" s="84" t="s">
        <v>78</v>
      </c>
      <c r="I9" s="131" t="s">
        <v>79</v>
      </c>
      <c r="J9" s="78">
        <v>0</v>
      </c>
      <c r="K9" s="122" t="s">
        <v>80</v>
      </c>
      <c r="L9" s="122" t="s">
        <v>81</v>
      </c>
      <c r="M9" s="123" t="s">
        <v>82</v>
      </c>
      <c r="N9" s="124">
        <f ca="1">木桩!K42</f>
        <v>0.0196813059900478</v>
      </c>
      <c r="O9" s="125">
        <f ca="1">木桩!L42</f>
        <v>7</v>
      </c>
    </row>
    <row r="10" ht="25" customHeight="1" spans="1:15">
      <c r="A10" s="72" t="s">
        <v>83</v>
      </c>
      <c r="B10" s="85">
        <v>828</v>
      </c>
      <c r="C10" s="74" t="s">
        <v>84</v>
      </c>
      <c r="D10" s="86" t="s">
        <v>85</v>
      </c>
      <c r="E10" s="87" t="s">
        <v>86</v>
      </c>
      <c r="F10" s="87"/>
      <c r="G10" s="77" t="s">
        <v>87</v>
      </c>
      <c r="H10" s="78" t="s">
        <v>88</v>
      </c>
      <c r="I10" s="131" t="s">
        <v>89</v>
      </c>
      <c r="J10" s="132">
        <v>1</v>
      </c>
      <c r="K10" s="122" t="s">
        <v>90</v>
      </c>
      <c r="L10" s="122" t="s">
        <v>91</v>
      </c>
      <c r="M10" s="133"/>
      <c r="N10" s="134"/>
      <c r="O10" s="135"/>
    </row>
    <row r="11" ht="25" customHeight="1" spans="1:15">
      <c r="A11" s="88" t="s">
        <v>92</v>
      </c>
      <c r="B11" s="88"/>
      <c r="C11" s="89" t="s">
        <v>93</v>
      </c>
      <c r="D11" s="89"/>
      <c r="E11" s="90" t="s">
        <v>94</v>
      </c>
      <c r="F11" s="91" t="s">
        <v>95</v>
      </c>
      <c r="G11" s="77" t="s">
        <v>96</v>
      </c>
      <c r="H11" s="84" t="s">
        <v>97</v>
      </c>
      <c r="I11" s="133"/>
      <c r="J11" s="135"/>
      <c r="K11" s="136" t="s">
        <v>98</v>
      </c>
      <c r="L11" s="122" t="s">
        <v>99</v>
      </c>
      <c r="M11" s="137"/>
      <c r="N11" s="138"/>
      <c r="O11" s="139"/>
    </row>
    <row r="12" ht="25" customHeight="1" spans="1:15">
      <c r="A12" s="88" t="s">
        <v>100</v>
      </c>
      <c r="B12" s="88"/>
      <c r="C12" s="89" t="s">
        <v>101</v>
      </c>
      <c r="D12" s="89"/>
      <c r="E12" s="90" t="s">
        <v>102</v>
      </c>
      <c r="F12" s="91" t="s">
        <v>103</v>
      </c>
      <c r="G12" s="77" t="s">
        <v>104</v>
      </c>
      <c r="H12" s="84" t="s">
        <v>105</v>
      </c>
      <c r="I12" s="137"/>
      <c r="J12" s="139"/>
      <c r="K12" s="136" t="s">
        <v>106</v>
      </c>
      <c r="L12" s="122" t="s">
        <v>107</v>
      </c>
      <c r="M12" s="137"/>
      <c r="N12" s="138"/>
      <c r="O12" s="139"/>
    </row>
    <row r="13" ht="25" customHeight="1" spans="1:15">
      <c r="A13" s="92" t="s">
        <v>108</v>
      </c>
      <c r="B13" s="92" t="s">
        <v>109</v>
      </c>
      <c r="C13" s="92" t="s">
        <v>110</v>
      </c>
      <c r="D13" s="92" t="s">
        <v>111</v>
      </c>
      <c r="E13" s="92" t="s">
        <v>112</v>
      </c>
      <c r="F13" s="93" t="s">
        <v>113</v>
      </c>
      <c r="G13" s="94" t="s">
        <v>114</v>
      </c>
      <c r="H13" s="95"/>
      <c r="I13" s="140"/>
      <c r="J13" s="139"/>
      <c r="K13" s="141" t="s">
        <v>115</v>
      </c>
      <c r="L13" s="142" t="s">
        <v>116</v>
      </c>
      <c r="M13" s="137"/>
      <c r="N13" s="138"/>
      <c r="O13" s="139"/>
    </row>
    <row r="14" ht="25" customHeight="1" spans="1:27">
      <c r="A14" s="96" t="s">
        <v>117</v>
      </c>
      <c r="B14" s="97">
        <f ca="1">B34</f>
        <v>64889.3358049412</v>
      </c>
      <c r="C14" s="98">
        <f ca="1">B35</f>
        <v>60645.3013179343</v>
      </c>
      <c r="D14" s="97">
        <f ca="1">B36</f>
        <v>57054.1952135438</v>
      </c>
      <c r="E14" s="97">
        <f ca="1">B37</f>
        <v>53976.1042669235</v>
      </c>
      <c r="F14" s="99">
        <f ca="1">B38</f>
        <v>51308.4254465191</v>
      </c>
      <c r="G14" s="100"/>
      <c r="H14" s="101"/>
      <c r="I14" s="143"/>
      <c r="J14" s="144"/>
      <c r="K14" s="145"/>
      <c r="L14" s="145"/>
      <c r="M14" s="140"/>
      <c r="N14" s="138"/>
      <c r="O14" s="139"/>
      <c r="AA14" s="160"/>
    </row>
    <row r="15" ht="25" customHeight="1" spans="1:15">
      <c r="A15" s="96" t="s">
        <v>118</v>
      </c>
      <c r="B15" s="102">
        <f ca="1">C34</f>
        <v>102701.560950332</v>
      </c>
      <c r="C15" s="102">
        <f ca="1">C35</f>
        <v>99203.8209477307</v>
      </c>
      <c r="D15" s="102">
        <f ca="1">C36</f>
        <v>93047.7985431529</v>
      </c>
      <c r="E15" s="102">
        <f ca="1">C37</f>
        <v>87803.7794577718</v>
      </c>
      <c r="F15" s="103">
        <f ca="1">C38</f>
        <v>83283.0733496847</v>
      </c>
      <c r="G15" s="104"/>
      <c r="H15" s="105"/>
      <c r="I15" s="146"/>
      <c r="J15" s="147"/>
      <c r="K15" s="147"/>
      <c r="L15" s="147"/>
      <c r="M15" s="148"/>
      <c r="N15" s="148"/>
      <c r="O15" s="149"/>
    </row>
    <row r="16" ht="21" customHeight="1" spans="1:15">
      <c r="A16" s="106" t="s">
        <v>119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50"/>
    </row>
    <row r="17" customHeight="1" spans="1:15">
      <c r="A17" s="106" t="s">
        <v>120</v>
      </c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50"/>
    </row>
    <row r="18" ht="19.5" customHeight="1" spans="1:15">
      <c r="A18" s="106" t="s">
        <v>121</v>
      </c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50"/>
    </row>
    <row r="19" s="6" customFormat="1" hidden="1" customHeight="1"/>
    <row r="20" s="6" customFormat="1" hidden="1" customHeight="1" spans="1:5">
      <c r="A20" s="108"/>
      <c r="B20" s="108"/>
      <c r="C20" s="108"/>
      <c r="D20" s="108"/>
      <c r="E20" s="108"/>
    </row>
    <row r="21" s="6" customFormat="1" hidden="1" customHeight="1" spans="1:5">
      <c r="A21" s="108"/>
      <c r="B21" s="108"/>
      <c r="C21" s="108"/>
      <c r="D21" s="108"/>
      <c r="E21" s="108"/>
    </row>
    <row r="22" s="6" customFormat="1" hidden="1" customHeight="1" spans="1:4">
      <c r="A22" s="109"/>
      <c r="B22" s="109"/>
      <c r="C22" s="109"/>
      <c r="D22" s="109"/>
    </row>
    <row r="23" s="6" customFormat="1" hidden="1" customHeight="1" spans="1:4">
      <c r="A23" s="109"/>
      <c r="B23" s="109"/>
      <c r="C23" s="109"/>
      <c r="D23" s="109"/>
    </row>
    <row r="24" hidden="1" customHeight="1"/>
    <row r="25" hidden="1" customHeight="1" spans="1:12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</row>
    <row r="26" hidden="1" customHeight="1" spans="1:12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</row>
    <row r="27" hidden="1" customHeight="1" spans="1:8">
      <c r="A27" s="6" t="s">
        <v>122</v>
      </c>
      <c r="B27" s="6" t="b">
        <v>1</v>
      </c>
      <c r="C27" s="6" t="s">
        <v>123</v>
      </c>
      <c r="D27" s="6" t="b">
        <v>1</v>
      </c>
      <c r="E27" s="6" t="s">
        <v>124</v>
      </c>
      <c r="F27" s="6" t="b">
        <v>1</v>
      </c>
      <c r="G27" s="111" t="s">
        <v>125</v>
      </c>
      <c r="H27" s="6" t="b">
        <v>1</v>
      </c>
    </row>
    <row r="28" hidden="1" customHeight="1" spans="1:8">
      <c r="A28" s="6" t="s">
        <v>126</v>
      </c>
      <c r="B28" s="6" t="b">
        <v>1</v>
      </c>
      <c r="C28" s="6" t="s">
        <v>127</v>
      </c>
      <c r="D28" s="6" t="b">
        <v>0</v>
      </c>
      <c r="E28" s="6" t="s">
        <v>128</v>
      </c>
      <c r="F28" s="6" t="b">
        <v>1</v>
      </c>
      <c r="G28" s="111" t="s">
        <v>129</v>
      </c>
      <c r="H28" s="6" t="b">
        <v>1</v>
      </c>
    </row>
    <row r="29" hidden="1" customHeight="1" spans="1:8">
      <c r="A29" s="6" t="s">
        <v>130</v>
      </c>
      <c r="B29" s="6" t="b">
        <v>0</v>
      </c>
      <c r="C29" s="6" t="s">
        <v>131</v>
      </c>
      <c r="D29" s="6" t="b">
        <v>0</v>
      </c>
      <c r="E29" s="112" t="s">
        <v>132</v>
      </c>
      <c r="F29" s="6" t="b">
        <v>1</v>
      </c>
      <c r="G29" s="111" t="s">
        <v>133</v>
      </c>
      <c r="H29" s="6" t="b">
        <v>0</v>
      </c>
    </row>
    <row r="30" hidden="1" customHeight="1" spans="1:8">
      <c r="A30" s="6" t="s">
        <v>134</v>
      </c>
      <c r="B30" s="6" t="b">
        <v>0</v>
      </c>
      <c r="C30" s="6" t="s">
        <v>135</v>
      </c>
      <c r="D30" s="6" t="b">
        <v>0</v>
      </c>
      <c r="E30" s="6" t="s">
        <v>136</v>
      </c>
      <c r="F30" s="6" t="b">
        <v>0</v>
      </c>
      <c r="G30" s="111" t="s">
        <v>137</v>
      </c>
      <c r="H30" s="6" t="b">
        <v>1</v>
      </c>
    </row>
    <row r="31" hidden="1" customHeight="1" spans="1:8">
      <c r="A31" s="6" t="s">
        <v>138</v>
      </c>
      <c r="B31" s="6" t="b">
        <v>0</v>
      </c>
      <c r="C31" s="6" t="s">
        <v>139</v>
      </c>
      <c r="D31" s="6" t="b">
        <v>0</v>
      </c>
      <c r="E31" s="6" t="s">
        <v>140</v>
      </c>
      <c r="F31" s="6" t="b">
        <v>1</v>
      </c>
      <c r="G31" s="113" t="s">
        <v>141</v>
      </c>
      <c r="H31" s="6" t="b">
        <v>1</v>
      </c>
    </row>
    <row r="32" ht="19.5" hidden="1" customHeight="1" spans="1:7">
      <c r="A32" s="6" t="s">
        <v>142</v>
      </c>
      <c r="B32" s="6" t="b">
        <v>1</v>
      </c>
      <c r="C32" s="6" t="s">
        <v>143</v>
      </c>
      <c r="D32" s="6" t="b">
        <v>0</v>
      </c>
      <c r="G32" s="113"/>
    </row>
    <row r="33" hidden="1" customHeight="1" spans="1:3">
      <c r="A33" s="6" t="s">
        <v>25</v>
      </c>
      <c r="B33" s="6" t="s">
        <v>144</v>
      </c>
      <c r="C33" s="6" t="s">
        <v>145</v>
      </c>
    </row>
    <row r="34" hidden="1" customHeight="1" spans="2:3">
      <c r="B34" s="114">
        <f ca="1">木桩!G50</f>
        <v>64889.3358049412</v>
      </c>
      <c r="C34" s="114">
        <f ca="1">实战!G51</f>
        <v>102701.560950332</v>
      </c>
    </row>
    <row r="35" hidden="1" customHeight="1" spans="2:3">
      <c r="B35" s="114">
        <f ca="1">木桩!G51</f>
        <v>60645.3013179343</v>
      </c>
      <c r="C35" s="114">
        <f ca="1">实战!G52</f>
        <v>99203.8209477307</v>
      </c>
    </row>
    <row r="36" hidden="1" customHeight="1" spans="2:6">
      <c r="B36" s="114">
        <f ca="1">木桩!G52</f>
        <v>57054.1952135438</v>
      </c>
      <c r="C36" s="114">
        <f ca="1">实战!G53</f>
        <v>93047.7985431529</v>
      </c>
      <c r="E36" s="6" t="s">
        <v>146</v>
      </c>
      <c r="F36" s="6" t="b">
        <v>1</v>
      </c>
    </row>
    <row r="37" hidden="1" customHeight="1" spans="2:6">
      <c r="B37" s="114">
        <f ca="1">木桩!G53</f>
        <v>53976.1042669235</v>
      </c>
      <c r="C37" s="114">
        <f ca="1">实战!G54</f>
        <v>87803.7794577718</v>
      </c>
      <c r="E37" s="6" t="s">
        <v>147</v>
      </c>
      <c r="F37" s="6" t="b">
        <v>1</v>
      </c>
    </row>
    <row r="38" hidden="1" customHeight="1" spans="2:6">
      <c r="B38" s="114">
        <f ca="1">木桩!G54</f>
        <v>51308.4254465191</v>
      </c>
      <c r="C38" s="114">
        <f ca="1">实战!G55</f>
        <v>83283.0733496847</v>
      </c>
      <c r="E38" s="6" t="s">
        <v>148</v>
      </c>
      <c r="F38" s="6" t="b">
        <v>1</v>
      </c>
    </row>
    <row r="39" hidden="1" customHeight="1" spans="1:8">
      <c r="A39" s="115"/>
      <c r="B39" s="115"/>
      <c r="F39" s="115"/>
      <c r="G39" s="115"/>
      <c r="H39" s="115"/>
    </row>
    <row r="40" hidden="1" customHeight="1" spans="1:13">
      <c r="A40" s="115"/>
      <c r="B40" s="115"/>
      <c r="E40" s="6" t="s">
        <v>149</v>
      </c>
      <c r="F40" s="115" t="b">
        <v>0</v>
      </c>
      <c r="G40" s="115"/>
      <c r="H40" s="115"/>
      <c r="I40" s="115"/>
      <c r="J40" s="151"/>
      <c r="M40" s="65"/>
    </row>
    <row r="41" hidden="1" customHeight="1" spans="1:10">
      <c r="A41" s="115"/>
      <c r="B41" s="115"/>
      <c r="F41" s="115"/>
      <c r="G41" s="115"/>
      <c r="H41" s="115"/>
      <c r="I41" s="115"/>
      <c r="J41" s="151"/>
    </row>
    <row r="42" hidden="1" customHeight="1" spans="1:14">
      <c r="A42" s="115"/>
      <c r="B42" s="115"/>
      <c r="F42" s="115"/>
      <c r="G42" s="115"/>
      <c r="H42" s="115"/>
      <c r="I42" s="115"/>
      <c r="J42" s="151"/>
      <c r="M42" s="152"/>
      <c r="N42" s="65"/>
    </row>
    <row r="43" hidden="1" customHeight="1" spans="1:13">
      <c r="A43" s="115"/>
      <c r="B43" s="115"/>
      <c r="F43" s="115"/>
      <c r="G43" s="115"/>
      <c r="H43" s="115"/>
      <c r="I43" s="115"/>
      <c r="J43" s="151"/>
      <c r="M43" s="153"/>
    </row>
    <row r="44" hidden="1" customHeight="1" spans="10:13">
      <c r="J44" s="154"/>
      <c r="M44" s="153"/>
    </row>
    <row r="45" hidden="1" customHeight="1" spans="1:13">
      <c r="A45" s="65" t="s">
        <v>19</v>
      </c>
      <c r="B45" s="116" t="s">
        <v>88</v>
      </c>
      <c r="C45" s="116" t="s">
        <v>150</v>
      </c>
      <c r="D45" s="116" t="s">
        <v>20</v>
      </c>
      <c r="E45" s="116"/>
      <c r="F45" s="65"/>
      <c r="G45" s="65"/>
      <c r="H45" s="65"/>
      <c r="I45" s="65"/>
      <c r="J45" s="155"/>
      <c r="M45" s="153"/>
    </row>
    <row r="46" hidden="1" customHeight="1" spans="1:14">
      <c r="A46" s="65" t="s">
        <v>151</v>
      </c>
      <c r="B46" s="65" t="s">
        <v>88</v>
      </c>
      <c r="C46" s="117" t="s">
        <v>152</v>
      </c>
      <c r="D46" s="117" t="s">
        <v>153</v>
      </c>
      <c r="G46" s="65"/>
      <c r="H46" s="65"/>
      <c r="I46" s="65"/>
      <c r="J46" s="155"/>
      <c r="M46" s="153"/>
      <c r="N46" s="153"/>
    </row>
    <row r="47" hidden="1" customHeight="1" spans="1:14">
      <c r="A47" s="65" t="s">
        <v>9</v>
      </c>
      <c r="B47" s="65" t="s">
        <v>88</v>
      </c>
      <c r="C47" s="65" t="s">
        <v>10</v>
      </c>
      <c r="D47" s="65" t="s">
        <v>154</v>
      </c>
      <c r="E47" s="116" t="s">
        <v>155</v>
      </c>
      <c r="F47" s="116" t="s">
        <v>156</v>
      </c>
      <c r="G47" s="116" t="s">
        <v>157</v>
      </c>
      <c r="H47" s="116" t="s">
        <v>158</v>
      </c>
      <c r="I47" s="116" t="s">
        <v>159</v>
      </c>
      <c r="J47" s="155" t="s">
        <v>160</v>
      </c>
      <c r="L47" s="152"/>
      <c r="M47" s="153"/>
      <c r="N47" s="153"/>
    </row>
    <row r="48" hidden="1" customHeight="1" spans="1:12">
      <c r="A48" s="65" t="s">
        <v>59</v>
      </c>
      <c r="B48" s="65" t="s">
        <v>88</v>
      </c>
      <c r="C48" s="64" t="s">
        <v>161</v>
      </c>
      <c r="D48" s="64" t="s">
        <v>60</v>
      </c>
      <c r="E48" s="65" t="s">
        <v>162</v>
      </c>
      <c r="F48" s="64" t="s">
        <v>163</v>
      </c>
      <c r="G48" s="64" t="s">
        <v>164</v>
      </c>
      <c r="H48" s="6" t="s">
        <v>165</v>
      </c>
      <c r="J48" s="156"/>
      <c r="K48" s="65"/>
      <c r="L48" s="152"/>
    </row>
    <row r="49" hidden="1" customHeight="1" spans="1:10">
      <c r="A49" s="65" t="s">
        <v>49</v>
      </c>
      <c r="B49" s="65" t="s">
        <v>88</v>
      </c>
      <c r="C49" s="64" t="s">
        <v>50</v>
      </c>
      <c r="D49" s="64" t="s">
        <v>166</v>
      </c>
      <c r="E49" s="64"/>
      <c r="F49" s="64"/>
      <c r="G49" s="64"/>
      <c r="H49" s="65"/>
      <c r="I49" s="65"/>
      <c r="J49" s="116"/>
    </row>
    <row r="50" hidden="1" customHeight="1" spans="1:12">
      <c r="A50" s="65" t="s">
        <v>39</v>
      </c>
      <c r="B50" s="65" t="s">
        <v>88</v>
      </c>
      <c r="C50" s="64" t="s">
        <v>167</v>
      </c>
      <c r="D50" s="64" t="s">
        <v>40</v>
      </c>
      <c r="E50" s="64" t="s">
        <v>168</v>
      </c>
      <c r="F50" s="64" t="s">
        <v>169</v>
      </c>
      <c r="G50" s="64" t="s">
        <v>170</v>
      </c>
      <c r="H50" s="65" t="s">
        <v>171</v>
      </c>
      <c r="K50" s="156"/>
      <c r="L50" s="65"/>
    </row>
    <row r="51" hidden="1" customHeight="1" spans="1:12">
      <c r="A51" s="65" t="s">
        <v>29</v>
      </c>
      <c r="B51" s="65" t="s">
        <v>88</v>
      </c>
      <c r="C51" s="64" t="s">
        <v>30</v>
      </c>
      <c r="D51" s="64" t="s">
        <v>172</v>
      </c>
      <c r="E51" s="64"/>
      <c r="F51" s="64"/>
      <c r="G51" s="64"/>
      <c r="H51" s="65"/>
      <c r="I51" s="157"/>
      <c r="J51" s="158"/>
      <c r="K51" s="153"/>
      <c r="L51" s="153"/>
    </row>
    <row r="52" hidden="1" customHeight="1" spans="1:12">
      <c r="A52" s="6" t="s">
        <v>100</v>
      </c>
      <c r="B52" s="6" t="s">
        <v>173</v>
      </c>
      <c r="C52" s="6" t="s">
        <v>174</v>
      </c>
      <c r="D52" s="6" t="s">
        <v>101</v>
      </c>
      <c r="E52" s="6" t="s">
        <v>175</v>
      </c>
      <c r="I52" s="157"/>
      <c r="J52" s="158"/>
      <c r="K52" s="153"/>
      <c r="L52" s="153"/>
    </row>
    <row r="53" hidden="1" customHeight="1" spans="1:12">
      <c r="A53" s="6" t="s">
        <v>92</v>
      </c>
      <c r="B53" s="6" t="s">
        <v>176</v>
      </c>
      <c r="C53" s="6" t="s">
        <v>177</v>
      </c>
      <c r="D53" s="6" t="s">
        <v>178</v>
      </c>
      <c r="E53" s="6" t="s">
        <v>179</v>
      </c>
      <c r="F53" s="6" t="s">
        <v>180</v>
      </c>
      <c r="I53" s="157"/>
      <c r="J53" s="158"/>
      <c r="K53" s="153"/>
      <c r="L53" s="153"/>
    </row>
    <row r="54" hidden="1" customHeight="1" spans="1:11">
      <c r="A54" s="6" t="s">
        <v>87</v>
      </c>
      <c r="B54" s="6" t="s">
        <v>88</v>
      </c>
      <c r="C54" s="6" t="s">
        <v>181</v>
      </c>
      <c r="D54" s="6" t="s">
        <v>182</v>
      </c>
      <c r="E54" s="6" t="s">
        <v>183</v>
      </c>
      <c r="I54" s="157"/>
      <c r="J54" s="158"/>
      <c r="K54" s="153"/>
    </row>
    <row r="55" hidden="1" customHeight="1" spans="1:12">
      <c r="A55" s="6" t="s">
        <v>96</v>
      </c>
      <c r="B55" s="6" t="s">
        <v>183</v>
      </c>
      <c r="C55" s="6" t="s">
        <v>184</v>
      </c>
      <c r="D55" s="6" t="s">
        <v>97</v>
      </c>
      <c r="I55" s="159"/>
      <c r="J55" s="158"/>
      <c r="K55" s="153"/>
      <c r="L55" s="153"/>
    </row>
    <row r="56" hidden="1" customHeight="1" spans="1:8">
      <c r="A56" s="6" t="s">
        <v>69</v>
      </c>
      <c r="B56" s="6">
        <v>0</v>
      </c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</row>
    <row r="57" hidden="1" customHeight="1" spans="1:6">
      <c r="A57" s="6" t="s">
        <v>185</v>
      </c>
      <c r="B57" s="6">
        <v>0</v>
      </c>
      <c r="C57" s="6">
        <v>1</v>
      </c>
      <c r="D57" s="6">
        <v>2</v>
      </c>
      <c r="E57" s="6">
        <v>3</v>
      </c>
      <c r="F57" s="6">
        <v>4</v>
      </c>
    </row>
    <row r="58" hidden="1" customHeight="1"/>
    <row r="59" hidden="1" customHeight="1" spans="2:9">
      <c r="B59" s="6" t="s">
        <v>25</v>
      </c>
      <c r="C59" s="6" t="s">
        <v>186</v>
      </c>
      <c r="D59" s="6" t="s">
        <v>85</v>
      </c>
      <c r="E59" s="6" t="s">
        <v>187</v>
      </c>
      <c r="F59" s="6" t="s">
        <v>188</v>
      </c>
      <c r="G59" s="6" t="s">
        <v>97</v>
      </c>
      <c r="H59" s="6" t="s">
        <v>184</v>
      </c>
      <c r="I59" s="6" t="s">
        <v>183</v>
      </c>
    </row>
    <row r="60" ht="18.6" hidden="1" customHeight="1" spans="2:2">
      <c r="B60" s="6">
        <v>1</v>
      </c>
    </row>
    <row r="61" hidden="1" customHeight="1" spans="1:9">
      <c r="A61" s="6" t="s">
        <v>6</v>
      </c>
      <c r="B61" s="6">
        <f ca="1">INDIRECT($A61&amp;"!h52")</f>
        <v>11.9027115053905</v>
      </c>
      <c r="C61" s="118">
        <f ca="1">B61</f>
        <v>11.9027115053905</v>
      </c>
      <c r="D61" s="118">
        <f ca="1">C61/F61</f>
        <v>2.13667545177289</v>
      </c>
      <c r="E61" s="118">
        <f ca="1">C61*HLOOKUP($H$11,$G$59:$I$68,ROW()-ROW($E$59)+1,0)</f>
        <v>214.248807097028</v>
      </c>
      <c r="F61" s="6">
        <v>5.5706689078654</v>
      </c>
      <c r="G61" s="6">
        <v>18</v>
      </c>
      <c r="H61" s="6">
        <v>14</v>
      </c>
      <c r="I61" s="6">
        <v>10</v>
      </c>
    </row>
    <row r="62" hidden="1" customHeight="1" spans="1:9">
      <c r="A62" s="6" t="s">
        <v>16</v>
      </c>
      <c r="B62" s="6">
        <f ca="1">INDIRECT($A62&amp;"!h52")</f>
        <v>10.1993158746336</v>
      </c>
      <c r="C62" s="118">
        <f ca="1">B62</f>
        <v>10.1993158746336</v>
      </c>
      <c r="D62" s="118">
        <f ca="1" t="shared" ref="D61:D68" si="1">C62/F62</f>
        <v>3.64881523548008</v>
      </c>
      <c r="E62" s="118">
        <f ca="1">C62*HLOOKUP($H$11,$G$59:$I$68,ROW()-ROW($E$59)+1,0)</f>
        <v>265.182212740474</v>
      </c>
      <c r="F62" s="6">
        <v>2.79524043186902</v>
      </c>
      <c r="G62" s="6">
        <v>26</v>
      </c>
      <c r="H62" s="6">
        <v>20</v>
      </c>
      <c r="I62" s="6">
        <v>15</v>
      </c>
    </row>
    <row r="63" hidden="1" customHeight="1" spans="1:9">
      <c r="A63" s="6" t="s">
        <v>26</v>
      </c>
      <c r="B63" s="6">
        <f ca="1" t="shared" ref="B62:B68" si="2">INDIRECT($A63&amp;"!h52")</f>
        <v>3.83636692524306</v>
      </c>
      <c r="C63" s="118">
        <f ca="1" t="shared" ref="C62:C68" si="3">B63</f>
        <v>3.83636692524306</v>
      </c>
      <c r="D63" s="118">
        <f ca="1" t="shared" si="1"/>
        <v>3.07308594851496</v>
      </c>
      <c r="E63" s="118">
        <f ca="1" t="shared" ref="E61:E67" si="4">C63*HLOOKUP($H$11,$G$59:$I$68,ROW()-ROW($E$59)+1,0)</f>
        <v>222.509281664097</v>
      </c>
      <c r="F63" s="6">
        <v>1.24837605895694</v>
      </c>
      <c r="G63" s="6">
        <v>58</v>
      </c>
      <c r="H63" s="6">
        <v>45</v>
      </c>
      <c r="I63" s="6">
        <v>34</v>
      </c>
    </row>
    <row r="64" hidden="1" customHeight="1" spans="1:9">
      <c r="A64" s="6" t="s">
        <v>36</v>
      </c>
      <c r="B64" s="6">
        <f ca="1" t="shared" si="2"/>
        <v>6.55754249994061</v>
      </c>
      <c r="C64" s="118">
        <f ca="1" t="shared" si="3"/>
        <v>6.55754249994061</v>
      </c>
      <c r="D64" s="118">
        <f ca="1" t="shared" si="1"/>
        <v>5.25285826565727</v>
      </c>
      <c r="E64" s="118">
        <f ca="1" t="shared" si="4"/>
        <v>380.337464996555</v>
      </c>
      <c r="F64" s="6">
        <v>1.24837605895694</v>
      </c>
      <c r="G64" s="6">
        <f>G63</f>
        <v>58</v>
      </c>
      <c r="H64" s="6">
        <f>H63</f>
        <v>45</v>
      </c>
      <c r="I64" s="6">
        <f>I63</f>
        <v>34</v>
      </c>
    </row>
    <row r="65" hidden="1" customHeight="1" spans="1:9">
      <c r="A65" s="6" t="s">
        <v>47</v>
      </c>
      <c r="B65" s="6">
        <f ca="1" t="shared" si="2"/>
        <v>5.09610433713533</v>
      </c>
      <c r="C65" s="118">
        <f ca="1" t="shared" si="3"/>
        <v>5.09610433713533</v>
      </c>
      <c r="D65" s="118">
        <f ca="1" t="shared" si="1"/>
        <v>4.08218685433081</v>
      </c>
      <c r="E65" s="118">
        <f ca="1" t="shared" si="4"/>
        <v>295.574051553849</v>
      </c>
      <c r="F65" s="6">
        <v>1.24837605895694</v>
      </c>
      <c r="G65" s="6">
        <f t="shared" ref="G65:G67" si="5">G64</f>
        <v>58</v>
      </c>
      <c r="H65" s="6">
        <f t="shared" ref="H65:H67" si="6">H64</f>
        <v>45</v>
      </c>
      <c r="I65" s="6">
        <f t="shared" ref="I65:I67" si="7">I64</f>
        <v>34</v>
      </c>
    </row>
    <row r="66" hidden="1" customHeight="1" spans="1:9">
      <c r="A66" s="6" t="s">
        <v>56</v>
      </c>
      <c r="B66" s="6">
        <f ca="1" t="shared" si="2"/>
        <v>0</v>
      </c>
      <c r="C66" s="118">
        <f ca="1" t="shared" si="3"/>
        <v>0</v>
      </c>
      <c r="D66" s="118">
        <f ca="1" t="shared" si="1"/>
        <v>0</v>
      </c>
      <c r="E66" s="118">
        <f ca="1" t="shared" si="4"/>
        <v>0</v>
      </c>
      <c r="F66" s="6">
        <v>1.24837605895694</v>
      </c>
      <c r="G66" s="6">
        <f t="shared" si="5"/>
        <v>58</v>
      </c>
      <c r="H66" s="6">
        <f t="shared" si="6"/>
        <v>45</v>
      </c>
      <c r="I66" s="6">
        <f t="shared" si="7"/>
        <v>34</v>
      </c>
    </row>
    <row r="67" hidden="1" customHeight="1" spans="1:9">
      <c r="A67" s="6" t="s">
        <v>66</v>
      </c>
      <c r="B67" s="6">
        <f ca="1" t="shared" si="2"/>
        <v>0</v>
      </c>
      <c r="C67" s="118">
        <f ca="1" t="shared" si="3"/>
        <v>0</v>
      </c>
      <c r="D67" s="118">
        <f ca="1" t="shared" si="1"/>
        <v>0</v>
      </c>
      <c r="E67" s="118">
        <f ca="1" t="shared" si="4"/>
        <v>0</v>
      </c>
      <c r="F67" s="6">
        <v>1.24837605895694</v>
      </c>
      <c r="G67" s="6">
        <f t="shared" si="5"/>
        <v>58</v>
      </c>
      <c r="H67" s="6">
        <f t="shared" si="6"/>
        <v>45</v>
      </c>
      <c r="I67" s="6">
        <f t="shared" si="7"/>
        <v>34</v>
      </c>
    </row>
    <row r="68" hidden="1" customHeight="1" spans="1:6">
      <c r="A68" s="6" t="s">
        <v>75</v>
      </c>
      <c r="B68" s="6">
        <f ca="1" t="shared" si="2"/>
        <v>7.1716636265046</v>
      </c>
      <c r="C68" s="118">
        <f ca="1" t="shared" si="3"/>
        <v>7.1716636265046</v>
      </c>
      <c r="D68" s="118">
        <f ca="1" t="shared" si="1"/>
        <v>3.84850452115276</v>
      </c>
      <c r="E68" s="6" t="s">
        <v>189</v>
      </c>
      <c r="F68" s="6">
        <f>F62/1.5</f>
        <v>1.86349362124601</v>
      </c>
    </row>
    <row r="69" hidden="1" customHeight="1" spans="1:12">
      <c r="A69" s="161"/>
      <c r="B69" s="161"/>
      <c r="C69" s="161"/>
      <c r="D69" s="161"/>
      <c r="E69" s="161"/>
      <c r="F69" s="161"/>
      <c r="G69" s="161"/>
      <c r="H69" s="161"/>
      <c r="I69" s="161"/>
      <c r="J69" s="161"/>
      <c r="K69" s="161"/>
      <c r="L69" s="161"/>
    </row>
    <row r="70" hidden="1" customHeight="1"/>
    <row r="71" hidden="1" customHeight="1" spans="1:13">
      <c r="A71" s="6" t="s">
        <v>190</v>
      </c>
      <c r="B71" s="162">
        <v>0</v>
      </c>
      <c r="C71" s="162">
        <v>0.1</v>
      </c>
      <c r="D71" s="162">
        <v>0.2</v>
      </c>
      <c r="E71" s="162">
        <v>0.3</v>
      </c>
      <c r="F71" s="162">
        <v>0.4</v>
      </c>
      <c r="G71" s="162">
        <v>0.5</v>
      </c>
      <c r="H71" s="162">
        <v>0.6</v>
      </c>
      <c r="I71" s="162">
        <v>0.7</v>
      </c>
      <c r="J71" s="162">
        <v>0.8</v>
      </c>
      <c r="K71" s="162">
        <v>0.9</v>
      </c>
      <c r="L71" s="162">
        <v>1</v>
      </c>
      <c r="M71" s="6" t="s">
        <v>62</v>
      </c>
    </row>
    <row r="72" hidden="1" customHeight="1"/>
    <row r="73" hidden="1" customHeight="1"/>
  </sheetData>
  <sheetProtection password="C11A" sheet="1" objects="1"/>
  <protectedRanges>
    <protectedRange sqref="E2:F9" name="装备特效" securityDescriptor="O:WDG:WDD:"/>
    <protectedRange sqref="B2:B10" name="属性"/>
    <protectedRange sqref="H2:H12" name="实战增益"/>
    <protectedRange sqref="C11:D12" name="目标"/>
    <protectedRange sqref="I3:J10" name="buff" securityDescriptor="O:WDG:WDD:"/>
    <protectedRange sqref="E11:F12" name="T"/>
  </protectedRanges>
  <mergeCells count="25">
    <mergeCell ref="A1:B1"/>
    <mergeCell ref="C1:D1"/>
    <mergeCell ref="E1:F1"/>
    <mergeCell ref="G1:J1"/>
    <mergeCell ref="K1:L1"/>
    <mergeCell ref="M1:O1"/>
    <mergeCell ref="I2:J2"/>
    <mergeCell ref="E9:F9"/>
    <mergeCell ref="E10:F10"/>
    <mergeCell ref="A11:B11"/>
    <mergeCell ref="C11:D11"/>
    <mergeCell ref="A12:B12"/>
    <mergeCell ref="C12:D12"/>
    <mergeCell ref="A16:O16"/>
    <mergeCell ref="A17:O17"/>
    <mergeCell ref="A18:O18"/>
    <mergeCell ref="A25:L25"/>
    <mergeCell ref="A26:L26"/>
    <mergeCell ref="A69:L69"/>
    <mergeCell ref="F5:F6"/>
    <mergeCell ref="I14:I15"/>
    <mergeCell ref="M10:O15"/>
    <mergeCell ref="J14:L15"/>
    <mergeCell ref="I11:J13"/>
    <mergeCell ref="G13:H15"/>
  </mergeCells>
  <dataValidations count="16">
    <dataValidation type="list" allowBlank="1" showInputMessage="1" showErrorMessage="1" sqref="H8">
      <formula1>$B$56:$H$56</formula1>
    </dataValidation>
    <dataValidation type="list" allowBlank="1" showInputMessage="1" showErrorMessage="1" sqref="H7">
      <formula1>$B$48:$H$48</formula1>
    </dataValidation>
    <dataValidation type="list" allowBlank="1" showInputMessage="1" showErrorMessage="1" sqref="J7">
      <formula1>$B$71:$M$71</formula1>
    </dataValidation>
    <dataValidation type="list" allowBlank="1" showInputMessage="1" showErrorMessage="1" sqref="H5">
      <formula1>$B$50:$H$50</formula1>
    </dataValidation>
    <dataValidation type="list" allowBlank="1" showInputMessage="1" showErrorMessage="1" sqref="H2">
      <formula1>$B$47:$J$47</formula1>
    </dataValidation>
    <dataValidation type="list" allowBlank="1" showInputMessage="1" showErrorMessage="1" sqref="H6">
      <formula1>$B$49:$D$49</formula1>
    </dataValidation>
    <dataValidation type="list" allowBlank="1" showInputMessage="1" showErrorMessage="1" sqref="H3">
      <formula1>$B$45:$D$45</formula1>
    </dataValidation>
    <dataValidation type="list" allowBlank="1" showInputMessage="1" showErrorMessage="1" sqref="J8 J9">
      <formula1>$B$57:$F$57</formula1>
    </dataValidation>
    <dataValidation type="list" allowBlank="1" showInputMessage="1" showErrorMessage="1" sqref="H4">
      <formula1>$B$51:$D$51</formula1>
    </dataValidation>
    <dataValidation type="list" allowBlank="1" showInputMessage="1" showErrorMessage="1" sqref="H10">
      <formula1>$B$54:$E$54</formula1>
    </dataValidation>
    <dataValidation type="list" allowBlank="1" showInputMessage="1" showErrorMessage="1" sqref="H9">
      <formula1>$B$46:$D$46</formula1>
    </dataValidation>
    <dataValidation type="list" allowBlank="1" showInputMessage="1" showErrorMessage="1" sqref="D10">
      <formula1>"单分收益,单点收益,孔收益"</formula1>
    </dataValidation>
    <dataValidation type="list" allowBlank="1" showInputMessage="1" showErrorMessage="1" sqref="C11:D11">
      <formula1>$B$53:$F$53</formula1>
    </dataValidation>
    <dataValidation type="list" allowBlank="1" showInputMessage="1" showErrorMessage="1" sqref="H11">
      <formula1>$B$55:$D$55</formula1>
    </dataValidation>
    <dataValidation type="list" allowBlank="1" showInputMessage="1" showErrorMessage="1" sqref="C12:D12">
      <formula1>$C$52:$E$52</formula1>
    </dataValidation>
    <dataValidation type="list" allowBlank="1" showInputMessage="1" showErrorMessage="1" sqref="H12">
      <formula1>"属性面板,配装器"</formula1>
    </dataValidation>
  </dataValidations>
  <pageMargins left="0.699305555555556" right="0.699305555555556" top="0.75" bottom="0.75" header="0.3" footer="0.3"/>
  <pageSetup paperSize="9" orientation="portrait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05" name="Check Box 181" r:id="rId4">
              <controlPr defaultSize="0">
                <anchor moveWithCells="1" sizeWithCells="1">
                  <from>
                    <xdr:col>4</xdr:col>
                    <xdr:colOff>78105</xdr:colOff>
                    <xdr:row>7</xdr:row>
                    <xdr:rowOff>41910</xdr:rowOff>
                  </from>
                  <to>
                    <xdr:col>4</xdr:col>
                    <xdr:colOff>489585</xdr:colOff>
                    <xdr:row>7</xdr:row>
                    <xdr:rowOff>268605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name="Check Box 179" r:id="rId5">
              <controlPr defaultSize="0">
                <anchor moveWithCells="1" sizeWithCells="1">
                  <from>
                    <xdr:col>5</xdr:col>
                    <xdr:colOff>83820</xdr:colOff>
                    <xdr:row>6</xdr:row>
                    <xdr:rowOff>57785</xdr:rowOff>
                  </from>
                  <to>
                    <xdr:col>5</xdr:col>
                    <xdr:colOff>495300</xdr:colOff>
                    <xdr:row>6</xdr:row>
                    <xdr:rowOff>267335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name="Check Box 180" r:id="rId6">
              <controlPr defaultSize="0">
                <anchor moveWithCells="1" sizeWithCells="1">
                  <from>
                    <xdr:col>5</xdr:col>
                    <xdr:colOff>79375</xdr:colOff>
                    <xdr:row>7</xdr:row>
                    <xdr:rowOff>38100</xdr:rowOff>
                  </from>
                  <to>
                    <xdr:col>5</xdr:col>
                    <xdr:colOff>490855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name="Check Box 16" r:id="rId7">
              <controlPr defaultSize="0">
                <anchor moveWithCells="1" sizeWithCells="1">
                  <from>
                    <xdr:col>8</xdr:col>
                    <xdr:colOff>133350</xdr:colOff>
                    <xdr:row>2</xdr:row>
                    <xdr:rowOff>0</xdr:rowOff>
                  </from>
                  <to>
                    <xdr:col>8</xdr:col>
                    <xdr:colOff>514350</xdr:colOff>
                    <xdr:row>2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name="Check Box 17" r:id="rId8">
              <controlPr defaultSize="0">
                <anchor moveWithCells="1" sizeWithCells="1">
                  <from>
                    <xdr:col>8</xdr:col>
                    <xdr:colOff>133350</xdr:colOff>
                    <xdr:row>3</xdr:row>
                    <xdr:rowOff>0</xdr:rowOff>
                  </from>
                  <to>
                    <xdr:col>8</xdr:col>
                    <xdr:colOff>514350</xdr:colOff>
                    <xdr:row>3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name="Check Box 18" r:id="rId9">
              <controlPr defaultSize="0">
                <anchor moveWithCells="1" sizeWithCells="1">
                  <from>
                    <xdr:col>8</xdr:col>
                    <xdr:colOff>133350</xdr:colOff>
                    <xdr:row>4</xdr:row>
                    <xdr:rowOff>0</xdr:rowOff>
                  </from>
                  <to>
                    <xdr:col>8</xdr:col>
                    <xdr:colOff>514350</xdr:colOff>
                    <xdr:row>4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name="Check Box 21" r:id="rId10">
              <controlPr defaultSize="0">
                <anchor moveWithCells="1" sizeWithCells="1">
                  <from>
                    <xdr:col>8</xdr:col>
                    <xdr:colOff>133350</xdr:colOff>
                    <xdr:row>5</xdr:row>
                    <xdr:rowOff>0</xdr:rowOff>
                  </from>
                  <to>
                    <xdr:col>8</xdr:col>
                    <xdr:colOff>514350</xdr:colOff>
                    <xdr:row>5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name="Check Box 23" r:id="rId11">
              <controlPr defaultSize="0">
                <anchor moveWithCells="1">
                  <from>
                    <xdr:col>9</xdr:col>
                    <xdr:colOff>133350</xdr:colOff>
                    <xdr:row>2</xdr:row>
                    <xdr:rowOff>0</xdr:rowOff>
                  </from>
                  <to>
                    <xdr:col>9</xdr:col>
                    <xdr:colOff>514350</xdr:colOff>
                    <xdr:row>2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name="Check Box 25" r:id="rId12">
              <controlPr defaultSize="0">
                <anchor moveWithCells="1">
                  <from>
                    <xdr:col>9</xdr:col>
                    <xdr:colOff>133350</xdr:colOff>
                    <xdr:row>3</xdr:row>
                    <xdr:rowOff>0</xdr:rowOff>
                  </from>
                  <to>
                    <xdr:col>9</xdr:col>
                    <xdr:colOff>514350</xdr:colOff>
                    <xdr:row>3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name="Check Box 27" r:id="rId13">
              <controlPr defaultSize="0">
                <anchor moveWithCells="1">
                  <from>
                    <xdr:col>9</xdr:col>
                    <xdr:colOff>133350</xdr:colOff>
                    <xdr:row>4</xdr:row>
                    <xdr:rowOff>0</xdr:rowOff>
                  </from>
                  <to>
                    <xdr:col>9</xdr:col>
                    <xdr:colOff>514350</xdr:colOff>
                    <xdr:row>4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name="Check Box 28" r:id="rId14">
              <controlPr defaultSize="0">
                <anchor moveWithCells="1">
                  <from>
                    <xdr:col>9</xdr:col>
                    <xdr:colOff>133350</xdr:colOff>
                    <xdr:row>5</xdr:row>
                    <xdr:rowOff>0</xdr:rowOff>
                  </from>
                  <to>
                    <xdr:col>9</xdr:col>
                    <xdr:colOff>514350</xdr:colOff>
                    <xdr:row>5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name="Check Box 39" r:id="rId15">
              <controlPr locked="0" defaultSize="0">
                <anchor moveWithCells="1">
                  <from>
                    <xdr:col>4</xdr:col>
                    <xdr:colOff>133350</xdr:colOff>
                    <xdr:row>10</xdr:row>
                    <xdr:rowOff>0</xdr:rowOff>
                  </from>
                  <to>
                    <xdr:col>4</xdr:col>
                    <xdr:colOff>514350</xdr:colOff>
                    <xdr:row>10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name="Check Box 40" r:id="rId16">
              <controlPr defaultSize="0">
                <anchor moveWithCells="1">
                  <from>
                    <xdr:col>5</xdr:col>
                    <xdr:colOff>133350</xdr:colOff>
                    <xdr:row>10</xdr:row>
                    <xdr:rowOff>0</xdr:rowOff>
                  </from>
                  <to>
                    <xdr:col>5</xdr:col>
                    <xdr:colOff>514350</xdr:colOff>
                    <xdr:row>10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name="Check Box 41" r:id="rId17">
              <controlPr defaultSize="0">
                <anchor moveWithCells="1">
                  <from>
                    <xdr:col>5</xdr:col>
                    <xdr:colOff>133350</xdr:colOff>
                    <xdr:row>11</xdr:row>
                    <xdr:rowOff>0</xdr:rowOff>
                  </from>
                  <to>
                    <xdr:col>5</xdr:col>
                    <xdr:colOff>514350</xdr:colOff>
                    <xdr:row>11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name="Check Box 45" r:id="rId18">
              <controlPr locked="0" defaultSize="0">
                <anchor moveWithCells="1">
                  <from>
                    <xdr:col>4</xdr:col>
                    <xdr:colOff>133350</xdr:colOff>
                    <xdr:row>1</xdr:row>
                    <xdr:rowOff>0</xdr:rowOff>
                  </from>
                  <to>
                    <xdr:col>4</xdr:col>
                    <xdr:colOff>514350</xdr:colOff>
                    <xdr:row>1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name="Check Box 46" r:id="rId19">
              <controlPr locked="0" defaultSize="0">
                <anchor moveWithCells="1">
                  <from>
                    <xdr:col>4</xdr:col>
                    <xdr:colOff>133350</xdr:colOff>
                    <xdr:row>3</xdr:row>
                    <xdr:rowOff>0</xdr:rowOff>
                  </from>
                  <to>
                    <xdr:col>4</xdr:col>
                    <xdr:colOff>514350</xdr:colOff>
                    <xdr:row>3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name="Check Box 62" r:id="rId20">
              <controlPr defaultSize="0">
                <anchor moveWithCells="1" sizeWithCells="1">
                  <from>
                    <xdr:col>5</xdr:col>
                    <xdr:colOff>145415</xdr:colOff>
                    <xdr:row>1</xdr:row>
                    <xdr:rowOff>316865</xdr:rowOff>
                  </from>
                  <to>
                    <xdr:col>5</xdr:col>
                    <xdr:colOff>572135</xdr:colOff>
                    <xdr:row>2</xdr:row>
                    <xdr:rowOff>300355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name="Check Box 63" r:id="rId21">
              <controlPr defaultSize="0">
                <anchor moveWithCells="1" sizeWithCells="1">
                  <from>
                    <xdr:col>5</xdr:col>
                    <xdr:colOff>146050</xdr:colOff>
                    <xdr:row>3</xdr:row>
                    <xdr:rowOff>38100</xdr:rowOff>
                  </from>
                  <to>
                    <xdr:col>5</xdr:col>
                    <xdr:colOff>527050</xdr:colOff>
                    <xdr:row>3</xdr:row>
                    <xdr:rowOff>293370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name="Check Box 64" r:id="rId22">
              <controlPr defaultSize="0">
                <anchor moveWithCells="1" sizeWithCells="1">
                  <from>
                    <xdr:col>4</xdr:col>
                    <xdr:colOff>133350</xdr:colOff>
                    <xdr:row>1</xdr:row>
                    <xdr:rowOff>0</xdr:rowOff>
                  </from>
                  <to>
                    <xdr:col>4</xdr:col>
                    <xdr:colOff>514350</xdr:colOff>
                    <xdr:row>1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name="Check Box 65" r:id="rId23">
              <controlPr defaultSize="0">
                <anchor moveWithCells="1" sizeWithCells="1">
                  <from>
                    <xdr:col>4</xdr:col>
                    <xdr:colOff>133350</xdr:colOff>
                    <xdr:row>3</xdr:row>
                    <xdr:rowOff>0</xdr:rowOff>
                  </from>
                  <to>
                    <xdr:col>4</xdr:col>
                    <xdr:colOff>514350</xdr:colOff>
                    <xdr:row>3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name="Check Box 78" r:id="rId24">
              <controlPr defaultSize="0">
                <anchor moveWithCells="1">
                  <from>
                    <xdr:col>4</xdr:col>
                    <xdr:colOff>133350</xdr:colOff>
                    <xdr:row>10</xdr:row>
                    <xdr:rowOff>0</xdr:rowOff>
                  </from>
                  <to>
                    <xdr:col>4</xdr:col>
                    <xdr:colOff>514350</xdr:colOff>
                    <xdr:row>10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name="Check Box 79" r:id="rId25">
              <controlPr defaultSize="0">
                <anchor moveWithCells="1">
                  <from>
                    <xdr:col>4</xdr:col>
                    <xdr:colOff>133350</xdr:colOff>
                    <xdr:row>11</xdr:row>
                    <xdr:rowOff>0</xdr:rowOff>
                  </from>
                  <to>
                    <xdr:col>4</xdr:col>
                    <xdr:colOff>514350</xdr:colOff>
                    <xdr:row>11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name="Check Box 86" r:id="rId26">
              <controlPr defaultSize="0">
                <anchor moveWithCells="1" sizeWithCells="1">
                  <from>
                    <xdr:col>4</xdr:col>
                    <xdr:colOff>123825</xdr:colOff>
                    <xdr:row>5</xdr:row>
                    <xdr:rowOff>25400</xdr:rowOff>
                  </from>
                  <to>
                    <xdr:col>4</xdr:col>
                    <xdr:colOff>504825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name="Check Box 102" r:id="rId27">
              <controlPr defaultSize="0">
                <anchor moveWithCells="1" sizeWithCells="1">
                  <from>
                    <xdr:col>4</xdr:col>
                    <xdr:colOff>133350</xdr:colOff>
                    <xdr:row>2</xdr:row>
                    <xdr:rowOff>0</xdr:rowOff>
                  </from>
                  <to>
                    <xdr:col>4</xdr:col>
                    <xdr:colOff>514350</xdr:colOff>
                    <xdr:row>2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name="Check Box 169" r:id="rId28">
              <controlPr defaultSize="0">
                <anchor moveWithCells="1" sizeWithCells="1">
                  <from>
                    <xdr:col>8</xdr:col>
                    <xdr:colOff>133350</xdr:colOff>
                    <xdr:row>6</xdr:row>
                    <xdr:rowOff>0</xdr:rowOff>
                  </from>
                  <to>
                    <xdr:col>8</xdr:col>
                    <xdr:colOff>514350</xdr:colOff>
                    <xdr:row>6</xdr:row>
                    <xdr:rowOff>255270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name="Check Box 171" r:id="rId29">
              <controlPr defaultSize="0">
                <anchor moveWithCells="1" sizeWithCells="1">
                  <from>
                    <xdr:col>4</xdr:col>
                    <xdr:colOff>536575</xdr:colOff>
                    <xdr:row>8</xdr:row>
                    <xdr:rowOff>67945</xdr:rowOff>
                  </from>
                  <to>
                    <xdr:col>4</xdr:col>
                    <xdr:colOff>948055</xdr:colOff>
                    <xdr:row>8</xdr:row>
                    <xdr:rowOff>273685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name="Check Box 176" r:id="rId30">
              <controlPr defaultSize="0">
                <anchor moveWithCells="1" sizeWithCells="1">
                  <from>
                    <xdr:col>5</xdr:col>
                    <xdr:colOff>146050</xdr:colOff>
                    <xdr:row>0</xdr:row>
                    <xdr:rowOff>315595</xdr:rowOff>
                  </from>
                  <to>
                    <xdr:col>5</xdr:col>
                    <xdr:colOff>557530</xdr:colOff>
                    <xdr:row>2</xdr:row>
                    <xdr:rowOff>12065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name="Check Box 182" r:id="rId31">
              <controlPr defaultSize="0">
                <anchor moveWithCells="1" sizeWithCells="1">
                  <from>
                    <xdr:col>4</xdr:col>
                    <xdr:colOff>121920</xdr:colOff>
                    <xdr:row>6</xdr:row>
                    <xdr:rowOff>36195</xdr:rowOff>
                  </from>
                  <to>
                    <xdr:col>5</xdr:col>
                    <xdr:colOff>30480</xdr:colOff>
                    <xdr:row>6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name="Check Box 183" r:id="rId32">
              <controlPr defaultSize="0">
                <anchor moveWithCells="1">
                  <from>
                    <xdr:col>4</xdr:col>
                    <xdr:colOff>128905</xdr:colOff>
                    <xdr:row>4</xdr:row>
                    <xdr:rowOff>64135</xdr:rowOff>
                  </from>
                  <to>
                    <xdr:col>4</xdr:col>
                    <xdr:colOff>540385</xdr:colOff>
                    <xdr:row>4</xdr:row>
                    <xdr:rowOff>271145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1"/>
  <sheetViews>
    <sheetView showZeros="0" zoomScale="70" zoomScaleNormal="70" topLeftCell="B49" workbookViewId="0">
      <selection activeCell="V61" sqref="V61"/>
    </sheetView>
  </sheetViews>
  <sheetFormatPr defaultColWidth="10.625" defaultRowHeight="20.1" customHeight="1"/>
  <cols>
    <col min="1" max="1" width="17.5" style="52" customWidth="1"/>
    <col min="2" max="5" width="10.625" style="52"/>
    <col min="6" max="6" width="13.625" style="52" customWidth="1"/>
    <col min="7" max="7" width="12.875" style="52" customWidth="1"/>
    <col min="8" max="8" width="10.625" style="52"/>
    <col min="9" max="9" width="15.2" style="52"/>
    <col min="10" max="10" width="13" style="52" customWidth="1"/>
    <col min="11" max="11" width="11.875" style="52" customWidth="1"/>
    <col min="12" max="12" width="15" style="52" customWidth="1"/>
    <col min="13" max="15" width="10.625" style="52"/>
    <col min="16" max="16" width="12.875" style="52" customWidth="1"/>
    <col min="17" max="17" width="10.625" style="52"/>
    <col min="18" max="18" width="15.2" style="52"/>
    <col min="19" max="19" width="12.775" style="52"/>
    <col min="20" max="21" width="10.625" style="52"/>
    <col min="22" max="22" width="12.375" style="52" customWidth="1"/>
    <col min="23" max="16384" width="10.625" style="52"/>
  </cols>
  <sheetData>
    <row r="1" customHeight="1" spans="1:18">
      <c r="A1" s="52" t="str">
        <f>苍云!A27</f>
        <v>套装攻击</v>
      </c>
      <c r="B1" s="52" t="b">
        <f>苍云!B27</f>
        <v>1</v>
      </c>
      <c r="D1" s="52" t="s">
        <v>12</v>
      </c>
      <c r="E1" s="52" t="str">
        <f>苍云!L2</f>
        <v>刀魂</v>
      </c>
      <c r="F1" s="52" t="s">
        <v>74</v>
      </c>
      <c r="G1" s="52">
        <f>苍云!B9</f>
        <v>2130</v>
      </c>
      <c r="H1" s="52" t="s">
        <v>6</v>
      </c>
      <c r="I1" s="52" t="s">
        <v>191</v>
      </c>
      <c r="J1" s="52" t="s">
        <v>16</v>
      </c>
      <c r="K1" s="52" t="s">
        <v>56</v>
      </c>
      <c r="L1" s="52" t="s">
        <v>26</v>
      </c>
      <c r="M1" s="52" t="s">
        <v>36</v>
      </c>
      <c r="N1" s="52" t="s">
        <v>83</v>
      </c>
      <c r="O1" s="52" t="s">
        <v>66</v>
      </c>
      <c r="P1" s="52" t="s">
        <v>47</v>
      </c>
      <c r="Q1" s="52" t="s">
        <v>75</v>
      </c>
      <c r="R1" s="52" t="s">
        <v>192</v>
      </c>
    </row>
    <row r="2" customHeight="1" spans="1:18">
      <c r="A2" s="52" t="str">
        <f>苍云!A28</f>
        <v>大cw</v>
      </c>
      <c r="B2" s="52" t="b">
        <f>苍云!B28</f>
        <v>1</v>
      </c>
      <c r="D2" s="52" t="s">
        <v>23</v>
      </c>
      <c r="E2" s="52" t="str">
        <f>苍云!L3</f>
        <v>炼狱</v>
      </c>
      <c r="F2" s="52" t="s">
        <v>87</v>
      </c>
      <c r="G2" s="52" t="str">
        <f>苍云!H10</f>
        <v>无</v>
      </c>
      <c r="H2" s="52">
        <f ca="1">C111</f>
        <v>201</v>
      </c>
      <c r="I2" s="52">
        <f ca="1">E111</f>
        <v>52</v>
      </c>
      <c r="J2" s="52">
        <f ca="1">G111</f>
        <v>199</v>
      </c>
      <c r="K2" s="52">
        <f ca="1">I111</f>
        <v>294</v>
      </c>
      <c r="L2" s="52">
        <f ca="1">K111</f>
        <v>194</v>
      </c>
      <c r="M2" s="52">
        <f ca="1">M111</f>
        <v>0</v>
      </c>
      <c r="N2" s="52">
        <f ca="1">O111</f>
        <v>0</v>
      </c>
      <c r="O2" s="52">
        <f ca="1">Q111</f>
        <v>100</v>
      </c>
      <c r="P2" s="52">
        <f ca="1">S111</f>
        <v>1506</v>
      </c>
      <c r="Q2" s="52">
        <f ca="1">W111</f>
        <v>0</v>
      </c>
      <c r="R2" s="52">
        <f ca="1">X111</f>
        <v>200</v>
      </c>
    </row>
    <row r="3" customHeight="1" spans="1:18">
      <c r="A3" s="52" t="str">
        <f>苍云!A29</f>
        <v>雷特效</v>
      </c>
      <c r="B3" s="52" t="b">
        <f>苍云!B29</f>
        <v>0</v>
      </c>
      <c r="C3" s="52">
        <f>苍云!$L$54</f>
        <v>0</v>
      </c>
      <c r="D3" s="52" t="s">
        <v>33</v>
      </c>
      <c r="E3" s="52" t="str">
        <f>苍云!L4</f>
        <v>飞瀑</v>
      </c>
      <c r="F3" s="52" t="s">
        <v>96</v>
      </c>
      <c r="G3" s="52" t="str">
        <f>苍云!H11</f>
        <v>八级</v>
      </c>
      <c r="H3" s="53" t="s">
        <v>6</v>
      </c>
      <c r="I3" s="53" t="s">
        <v>191</v>
      </c>
      <c r="J3" s="53" t="s">
        <v>15</v>
      </c>
      <c r="K3" s="53" t="s">
        <v>56</v>
      </c>
      <c r="L3" s="53" t="s">
        <v>26</v>
      </c>
      <c r="M3" s="53" t="s">
        <v>36</v>
      </c>
      <c r="N3" s="53" t="s">
        <v>83</v>
      </c>
      <c r="O3" s="53" t="s">
        <v>66</v>
      </c>
      <c r="P3" s="53" t="s">
        <v>193</v>
      </c>
      <c r="Q3" s="53" t="s">
        <v>194</v>
      </c>
      <c r="R3" s="53" t="s">
        <v>195</v>
      </c>
    </row>
    <row r="4" customHeight="1" spans="1:18">
      <c r="A4" s="52" t="str">
        <f>苍云!A30</f>
        <v>铁牢</v>
      </c>
      <c r="B4" s="52" t="b">
        <f>苍云!B30</f>
        <v>0</v>
      </c>
      <c r="D4" s="52" t="s">
        <v>43</v>
      </c>
      <c r="E4" s="52" t="str">
        <f>苍云!L5</f>
        <v>劫生</v>
      </c>
      <c r="F4" s="52" t="s">
        <v>92</v>
      </c>
      <c r="G4" s="52" t="str">
        <f>苍云!C11</f>
        <v>102级</v>
      </c>
      <c r="H4" s="54">
        <f ca="1">D111</f>
        <v>0.1</v>
      </c>
      <c r="I4" s="54">
        <f ca="1">F111</f>
        <v>0</v>
      </c>
      <c r="J4" s="54">
        <f ca="1">H111</f>
        <v>0.171</v>
      </c>
      <c r="K4" s="54">
        <f ca="1">J111</f>
        <v>0.04</v>
      </c>
      <c r="L4" s="54">
        <f ca="1">L111</f>
        <v>0.145</v>
      </c>
      <c r="M4" s="54">
        <f ca="1">N111</f>
        <v>0.09</v>
      </c>
      <c r="N4" s="54">
        <f ca="1">P111</f>
        <v>0</v>
      </c>
      <c r="O4" s="54">
        <f ca="1">R111</f>
        <v>0.03</v>
      </c>
      <c r="P4" s="54">
        <f ca="1">T111</f>
        <v>0.5</v>
      </c>
      <c r="Q4" s="54">
        <f ca="1" t="shared" ref="P4:R4" si="0">U111</f>
        <v>0</v>
      </c>
      <c r="R4" s="54">
        <f ca="1" t="shared" si="0"/>
        <v>0.0101333333333333</v>
      </c>
    </row>
    <row r="5" customHeight="1" spans="1:18">
      <c r="A5" s="52" t="str">
        <f>苍云!A31</f>
        <v>洗髓</v>
      </c>
      <c r="B5" s="52" t="b">
        <f>苍云!B31</f>
        <v>0</v>
      </c>
      <c r="D5" s="52" t="s">
        <v>53</v>
      </c>
      <c r="E5" s="52" t="str">
        <f>苍云!L6</f>
        <v>锋鸣</v>
      </c>
      <c r="F5" s="52" t="s">
        <v>100</v>
      </c>
      <c r="G5" s="52">
        <f>LEFT(苍云!C12,1)*60</f>
        <v>300</v>
      </c>
      <c r="H5" s="55" t="s">
        <v>196</v>
      </c>
      <c r="I5" s="55"/>
      <c r="J5" s="55" t="s">
        <v>197</v>
      </c>
      <c r="K5" s="60"/>
      <c r="L5" s="55" t="s">
        <v>198</v>
      </c>
      <c r="M5" s="55"/>
      <c r="Q5" s="55" t="s">
        <v>199</v>
      </c>
      <c r="R5" s="55"/>
    </row>
    <row r="6" customHeight="1" spans="1:18">
      <c r="A6" s="52" t="str">
        <f>苍云!C27</f>
        <v>套装技能</v>
      </c>
      <c r="B6" s="52" t="b">
        <f>苍云!D27</f>
        <v>1</v>
      </c>
      <c r="D6" s="52" t="s">
        <v>63</v>
      </c>
      <c r="E6" s="52" t="str">
        <f>苍云!L7</f>
        <v>割裂</v>
      </c>
      <c r="F6" s="52" t="s">
        <v>9</v>
      </c>
      <c r="G6" s="52" t="str">
        <f>苍云!H2</f>
        <v>降龙伏虎阵</v>
      </c>
      <c r="H6" s="52" t="s">
        <v>6</v>
      </c>
      <c r="I6" s="52">
        <f>苍云!B2</f>
        <v>1749</v>
      </c>
      <c r="J6" s="52" t="s">
        <v>6</v>
      </c>
      <c r="K6" s="52">
        <f ca="1">K7*(1+H4)</f>
        <v>1970.1</v>
      </c>
      <c r="L6" s="52" t="s">
        <v>26</v>
      </c>
      <c r="M6" s="52">
        <v>15344.2</v>
      </c>
      <c r="N6" s="52" t="s">
        <v>200</v>
      </c>
      <c r="Q6" s="52" t="s">
        <v>6</v>
      </c>
      <c r="R6" s="52">
        <f ca="1">R7*(1+IF(E7="活脉",0.1))</f>
        <v>1749</v>
      </c>
    </row>
    <row r="7" customHeight="1" spans="1:18">
      <c r="A7" s="52" t="str">
        <f>苍云!C28</f>
        <v>小cw</v>
      </c>
      <c r="B7" s="52" t="b">
        <f>苍云!D28</f>
        <v>0</v>
      </c>
      <c r="D7" s="52" t="s">
        <v>71</v>
      </c>
      <c r="E7" s="52" t="str">
        <f>苍云!L8</f>
        <v>活脉</v>
      </c>
      <c r="F7" s="52" t="s">
        <v>19</v>
      </c>
      <c r="G7" s="52" t="str">
        <f>苍云!H3</f>
        <v>玉笛谁家听梅落</v>
      </c>
      <c r="H7" s="52" t="s">
        <v>201</v>
      </c>
      <c r="I7" s="52">
        <f>IF(E7="活脉",IF(G18=TRUE,I6/1.1,I6),I6)</f>
        <v>1590</v>
      </c>
      <c r="J7" s="52" t="s">
        <v>201</v>
      </c>
      <c r="K7" s="52">
        <f ca="1">I7+H2</f>
        <v>1791</v>
      </c>
      <c r="L7" s="52" t="s">
        <v>36</v>
      </c>
      <c r="M7" s="52">
        <v>5370.3</v>
      </c>
      <c r="O7" s="52">
        <v>1.7</v>
      </c>
      <c r="P7" s="52" t="s">
        <v>202</v>
      </c>
      <c r="Q7" s="52" t="s">
        <v>201</v>
      </c>
      <c r="R7" s="52">
        <f ca="1">I7+C77</f>
        <v>1590</v>
      </c>
    </row>
    <row r="8" customHeight="1" spans="1:18">
      <c r="A8" s="52" t="str">
        <f>苍云!C29</f>
        <v>风特效</v>
      </c>
      <c r="B8" s="52" t="b">
        <f>苍云!D29</f>
        <v>0</v>
      </c>
      <c r="D8" s="52" t="s">
        <v>80</v>
      </c>
      <c r="E8" s="52" t="str">
        <f>苍云!L9</f>
        <v>恋战</v>
      </c>
      <c r="F8" s="52" t="s">
        <v>29</v>
      </c>
      <c r="G8" s="52" t="str">
        <f>苍云!H4</f>
        <v>杂锦鱼球粥（紫-身法）</v>
      </c>
      <c r="H8" s="52" t="s">
        <v>191</v>
      </c>
      <c r="I8" s="52">
        <v>32</v>
      </c>
      <c r="J8" s="52" t="s">
        <v>191</v>
      </c>
      <c r="K8" s="52">
        <f ca="1">(I8+I2)*(1+I4)</f>
        <v>84</v>
      </c>
      <c r="L8" s="52" t="s">
        <v>56</v>
      </c>
      <c r="M8" s="52">
        <v>13948.5</v>
      </c>
      <c r="N8" s="52" t="s">
        <v>203</v>
      </c>
      <c r="O8" s="52">
        <v>0.25</v>
      </c>
      <c r="P8" s="52" t="s">
        <v>47</v>
      </c>
      <c r="Q8" s="52" t="s">
        <v>191</v>
      </c>
      <c r="R8" s="52">
        <f ca="1">I8+E77</f>
        <v>32</v>
      </c>
    </row>
    <row r="9" customHeight="1" spans="1:18">
      <c r="A9" s="52" t="str">
        <f>苍云!C30</f>
        <v>铁骨</v>
      </c>
      <c r="B9" s="52" t="b">
        <f>苍云!D30</f>
        <v>0</v>
      </c>
      <c r="D9" s="52" t="s">
        <v>90</v>
      </c>
      <c r="E9" s="52" t="str">
        <f>苍云!L10</f>
        <v>从容</v>
      </c>
      <c r="F9" s="52" t="s">
        <v>39</v>
      </c>
      <c r="G9" s="52" t="str">
        <f>苍云!H5</f>
        <v>红烧排骨（紫-破防）</v>
      </c>
      <c r="H9" s="52" t="s">
        <v>15</v>
      </c>
      <c r="I9" s="52">
        <f>苍云!B3</f>
        <v>12484</v>
      </c>
      <c r="J9" s="52" t="s">
        <v>15</v>
      </c>
      <c r="K9" s="52">
        <f ca="1">K10*(1+J4)+K6*O7</f>
        <v>12158.2787230769</v>
      </c>
      <c r="L9" s="52" t="s">
        <v>66</v>
      </c>
      <c r="M9" s="52">
        <v>8717.6</v>
      </c>
      <c r="O9" s="52">
        <v>0.15</v>
      </c>
      <c r="P9" s="52" t="s">
        <v>16</v>
      </c>
      <c r="Q9" s="52" t="s">
        <v>15</v>
      </c>
      <c r="R9" s="52">
        <f ca="1">R10*(1+H74)+R6*O7</f>
        <v>10808.6536153846</v>
      </c>
    </row>
    <row r="10" customHeight="1" spans="1:18">
      <c r="A10" s="52" t="str">
        <f>苍云!C31</f>
        <v>明尊</v>
      </c>
      <c r="B10" s="52" t="b">
        <f>苍云!D31</f>
        <v>0</v>
      </c>
      <c r="D10" s="52" t="s">
        <v>98</v>
      </c>
      <c r="E10" s="52" t="str">
        <f>苍云!L11</f>
        <v>愤恨</v>
      </c>
      <c r="F10" s="52" t="s">
        <v>49</v>
      </c>
      <c r="G10" s="52" t="str">
        <f>苍云!H6</f>
        <v>上品轻身丹（紫-身法）</v>
      </c>
      <c r="H10" s="52" t="s">
        <v>16</v>
      </c>
      <c r="I10" s="52">
        <f>(I9-I6*O7)/(1+G18*0.3)</f>
        <v>7315.92307692308</v>
      </c>
      <c r="J10" s="52" t="s">
        <v>16</v>
      </c>
      <c r="K10" s="52">
        <f ca="1">I10+J2+O9*(K8-I8)</f>
        <v>7522.72307692308</v>
      </c>
      <c r="L10" s="52" t="s">
        <v>83</v>
      </c>
      <c r="M10" s="52">
        <v>18830.9</v>
      </c>
      <c r="N10" s="52" t="s">
        <v>204</v>
      </c>
      <c r="O10" s="52">
        <v>0.64</v>
      </c>
      <c r="P10" s="52" t="s">
        <v>26</v>
      </c>
      <c r="Q10" s="52" t="s">
        <v>16</v>
      </c>
      <c r="R10" s="52">
        <f ca="1">I10+G77+G74+G73+G63</f>
        <v>7315.92307692308</v>
      </c>
    </row>
    <row r="11" customHeight="1" spans="1:18">
      <c r="A11" s="52" t="str">
        <f>苍云!E27</f>
        <v>      梅隐香</v>
      </c>
      <c r="B11" s="52" t="b">
        <f>苍云!F27</f>
        <v>1</v>
      </c>
      <c r="D11" s="52" t="s">
        <v>106</v>
      </c>
      <c r="E11" s="52" t="str">
        <f>苍云!L12</f>
        <v>蔑视</v>
      </c>
      <c r="F11" s="52" t="s">
        <v>59</v>
      </c>
      <c r="G11" s="52" t="str">
        <f>苍云!H7</f>
        <v>上品破秽散（紫-破防）</v>
      </c>
      <c r="H11" s="52" t="s">
        <v>26</v>
      </c>
      <c r="I11" s="54">
        <f>苍云!B4</f>
        <v>0.2668</v>
      </c>
      <c r="J11" s="52" t="s">
        <v>26</v>
      </c>
      <c r="K11" s="54">
        <f ca="1">I11+L2/M6+(K6-I6)*O10/M6+L4</f>
        <v>0.433665199880085</v>
      </c>
      <c r="L11" s="52" t="s">
        <v>205</v>
      </c>
      <c r="M11" s="52">
        <v>15344.2</v>
      </c>
      <c r="O11" s="52">
        <v>0</v>
      </c>
      <c r="P11" s="52" t="s">
        <v>36</v>
      </c>
      <c r="Q11" s="52" t="s">
        <v>26</v>
      </c>
      <c r="R11" s="54">
        <f ca="1">I11+K77/M6+(R6-I6)*O10/M6</f>
        <v>0.2668</v>
      </c>
    </row>
    <row r="12" customHeight="1" spans="1:18">
      <c r="A12" s="52" t="str">
        <f>苍云!E28</f>
        <v>      碎星辰</v>
      </c>
      <c r="B12" s="52" t="b">
        <f>苍云!F28</f>
        <v>1</v>
      </c>
      <c r="D12" s="52" t="s">
        <v>115</v>
      </c>
      <c r="E12" s="52" t="str">
        <f>苍云!L13</f>
        <v>骇日</v>
      </c>
      <c r="F12" s="52" t="s">
        <v>151</v>
      </c>
      <c r="G12" s="52" t="str">
        <f>苍云!H9</f>
        <v>仙踪·瀑沙熔锭（紫）</v>
      </c>
      <c r="H12" s="52" t="s">
        <v>36</v>
      </c>
      <c r="I12" s="54">
        <f>苍云!B5</f>
        <v>1.8533</v>
      </c>
      <c r="J12" s="52" t="s">
        <v>36</v>
      </c>
      <c r="K12" s="54">
        <f ca="1">I12+(M2+(K6-I6)*O11)/M7+M4</f>
        <v>1.9433</v>
      </c>
      <c r="Q12" s="52" t="s">
        <v>36</v>
      </c>
      <c r="R12" s="54">
        <f ca="1">I12+(R6-I6)*O11/M7</f>
        <v>1.8533</v>
      </c>
    </row>
    <row r="13" customHeight="1" spans="1:18">
      <c r="A13" s="52" t="str">
        <f>苍云!E29</f>
        <v>      酒中仙</v>
      </c>
      <c r="B13" s="52" t="b">
        <f>苍云!F29</f>
        <v>1</v>
      </c>
      <c r="F13" s="52" t="s">
        <v>69</v>
      </c>
      <c r="G13" s="52">
        <f>苍云!H8</f>
        <v>0</v>
      </c>
      <c r="H13" s="52" t="s">
        <v>206</v>
      </c>
      <c r="I13" s="52">
        <f>IF(苍云!B6&lt;2,苍云!B6*M11,苍云!B6)</f>
        <v>7718.1326</v>
      </c>
      <c r="J13" s="52" t="s">
        <v>206</v>
      </c>
      <c r="K13" s="52">
        <f ca="1">K14*(1+P4)</f>
        <v>13855.6989</v>
      </c>
      <c r="Q13" s="52" t="s">
        <v>206</v>
      </c>
      <c r="R13" s="52">
        <f ca="1">(R14*(1+T106))</f>
        <v>10033.57238</v>
      </c>
    </row>
    <row r="14" customHeight="1" spans="1:18">
      <c r="A14" s="52" t="s">
        <v>207</v>
      </c>
      <c r="B14" s="52" t="b">
        <f>苍云!F30</f>
        <v>0</v>
      </c>
      <c r="D14" s="54"/>
      <c r="E14" s="54"/>
      <c r="F14" s="52" t="s">
        <v>185</v>
      </c>
      <c r="G14" s="52">
        <f>苍云!J8</f>
        <v>0</v>
      </c>
      <c r="H14" s="52" t="s">
        <v>47</v>
      </c>
      <c r="I14" s="52">
        <f>I13</f>
        <v>7718.1326</v>
      </c>
      <c r="J14" s="52" t="s">
        <v>47</v>
      </c>
      <c r="K14" s="52">
        <f ca="1">I14+P2+(K8-I8)*O8</f>
        <v>9237.1326</v>
      </c>
      <c r="Q14" s="52" t="s">
        <v>47</v>
      </c>
      <c r="R14" s="52">
        <f ca="1">I14+(R8-I8)*O8+S78+S66</f>
        <v>7718.1326</v>
      </c>
    </row>
    <row r="15" customHeight="1" spans="1:18">
      <c r="A15" s="52" t="str">
        <f>苍云!G27</f>
        <v>      袖气</v>
      </c>
      <c r="B15" s="52" t="b">
        <f>苍云!H27</f>
        <v>1</v>
      </c>
      <c r="D15" s="4" t="s">
        <v>208</v>
      </c>
      <c r="E15" s="52">
        <f>苍云!F34</f>
        <v>0</v>
      </c>
      <c r="F15" s="52" t="s">
        <v>209</v>
      </c>
      <c r="G15" s="52">
        <f>苍云!J10</f>
        <v>1</v>
      </c>
      <c r="H15" s="52" t="s">
        <v>205</v>
      </c>
      <c r="I15" s="54">
        <f>I13/M11</f>
        <v>0.503</v>
      </c>
      <c r="J15" s="54" t="s">
        <v>205</v>
      </c>
      <c r="K15" s="54">
        <f ca="1">K13/M11</f>
        <v>0.902992590034019</v>
      </c>
      <c r="L15" s="66">
        <v>1500</v>
      </c>
      <c r="M15" s="66">
        <v>348</v>
      </c>
      <c r="N15" s="66">
        <v>580</v>
      </c>
      <c r="O15" s="66">
        <f t="shared" ref="O15:O22" si="1">(N15+M15)/2/L15</f>
        <v>0.309333333333333</v>
      </c>
      <c r="Q15" s="52" t="s">
        <v>205</v>
      </c>
      <c r="R15" s="54">
        <f ca="1">R13/M11</f>
        <v>0.6539</v>
      </c>
    </row>
    <row r="16" customHeight="1" spans="1:18">
      <c r="A16" s="52" t="str">
        <f>苍云!G28</f>
        <v>      撼如雷</v>
      </c>
      <c r="B16" s="52" t="b">
        <f>苍云!H28</f>
        <v>1</v>
      </c>
      <c r="D16" s="4" t="s">
        <v>210</v>
      </c>
      <c r="E16" s="52">
        <f>苍云!F35</f>
        <v>0</v>
      </c>
      <c r="F16" s="52" t="s">
        <v>211</v>
      </c>
      <c r="G16" s="52">
        <f>苍云!J9</f>
        <v>0</v>
      </c>
      <c r="H16" s="52" t="s">
        <v>83</v>
      </c>
      <c r="I16" s="52">
        <f>苍云!B10</f>
        <v>828</v>
      </c>
      <c r="J16" s="52" t="s">
        <v>83</v>
      </c>
      <c r="K16" s="52">
        <f>I16</f>
        <v>828</v>
      </c>
      <c r="L16" s="66">
        <v>1800</v>
      </c>
      <c r="M16" s="66">
        <v>418</v>
      </c>
      <c r="N16" s="66">
        <v>697</v>
      </c>
      <c r="O16" s="66">
        <f t="shared" si="1"/>
        <v>0.309722222222222</v>
      </c>
      <c r="Q16" s="52" t="s">
        <v>83</v>
      </c>
      <c r="R16" s="52">
        <f>I16</f>
        <v>828</v>
      </c>
    </row>
    <row r="17" customHeight="1" spans="1:18">
      <c r="A17" s="52" t="str">
        <f>苍云!G29</f>
        <v>      曼舞</v>
      </c>
      <c r="B17" s="52" t="b">
        <f>苍云!H29</f>
        <v>0</v>
      </c>
      <c r="D17" s="4" t="s">
        <v>146</v>
      </c>
      <c r="E17" s="52" t="b">
        <f>苍云!F36</f>
        <v>1</v>
      </c>
      <c r="F17" s="52" t="s">
        <v>104</v>
      </c>
      <c r="G17" s="52" t="str">
        <f>苍云!H12</f>
        <v>属性面板</v>
      </c>
      <c r="H17" s="52" t="s">
        <v>56</v>
      </c>
      <c r="I17" s="54">
        <f>苍云!B7</f>
        <v>1.0715</v>
      </c>
      <c r="J17" s="54" t="s">
        <v>56</v>
      </c>
      <c r="K17" s="54">
        <f ca="1">I17+K4+K2/M8</f>
        <v>1.13257753521884</v>
      </c>
      <c r="L17" s="66">
        <v>1950</v>
      </c>
      <c r="M17" s="66">
        <v>453</v>
      </c>
      <c r="N17" s="66">
        <v>755</v>
      </c>
      <c r="O17" s="66">
        <f t="shared" si="1"/>
        <v>0.30974358974359</v>
      </c>
      <c r="Q17" s="52" t="s">
        <v>56</v>
      </c>
      <c r="R17" s="54">
        <f>苍云!B7</f>
        <v>1.0715</v>
      </c>
    </row>
    <row r="18" customHeight="1" spans="1:18">
      <c r="A18" s="52" t="str">
        <f>苍云!G30</f>
        <v>      蒸鱼菜盘</v>
      </c>
      <c r="B18" s="52" t="b">
        <f>苍云!H30</f>
        <v>1</v>
      </c>
      <c r="D18" s="4" t="s">
        <v>147</v>
      </c>
      <c r="E18" s="52" t="b">
        <f>苍云!F37</f>
        <v>1</v>
      </c>
      <c r="F18" s="52" t="s">
        <v>105</v>
      </c>
      <c r="G18" s="52" t="b">
        <f>G17=F18</f>
        <v>1</v>
      </c>
      <c r="H18" s="52" t="s">
        <v>66</v>
      </c>
      <c r="I18" s="54">
        <f>苍云!B8</f>
        <v>0.2319</v>
      </c>
      <c r="J18" s="54" t="s">
        <v>66</v>
      </c>
      <c r="K18" s="54">
        <f ca="1">I18+O4+O2/M9</f>
        <v>0.273371047077177</v>
      </c>
      <c r="L18" s="66">
        <v>1100</v>
      </c>
      <c r="M18" s="66">
        <v>291</v>
      </c>
      <c r="N18" s="66">
        <v>485</v>
      </c>
      <c r="O18" s="66">
        <f t="shared" si="1"/>
        <v>0.352727272727273</v>
      </c>
      <c r="Q18" s="52" t="s">
        <v>66</v>
      </c>
      <c r="R18" s="54">
        <f>苍云!B8</f>
        <v>0.2319</v>
      </c>
    </row>
    <row r="19" customHeight="1" spans="1:18">
      <c r="A19" s="52" t="str">
        <f>苍云!G31</f>
        <v>       炼狱水煮鱼    </v>
      </c>
      <c r="B19" s="52" t="b">
        <f>苍云!H31</f>
        <v>1</v>
      </c>
      <c r="D19" s="4" t="s">
        <v>148</v>
      </c>
      <c r="E19" s="52" t="b">
        <f>苍云!F38</f>
        <v>1</v>
      </c>
      <c r="H19" s="52" t="s">
        <v>75</v>
      </c>
      <c r="I19" s="52">
        <f>ROUND(G1*0.309599715099715*NOT(B2)*NOT(B7)+B2*G1*0.352475248281131+B7*G1*0.352475248281131,0)</f>
        <v>751</v>
      </c>
      <c r="J19" s="52" t="s">
        <v>75</v>
      </c>
      <c r="K19" s="52">
        <f ca="1">I19+Q2</f>
        <v>751</v>
      </c>
      <c r="L19" s="66">
        <v>1190</v>
      </c>
      <c r="M19" s="66">
        <v>315</v>
      </c>
      <c r="N19" s="66">
        <v>525</v>
      </c>
      <c r="O19" s="66">
        <f t="shared" si="1"/>
        <v>0.352941176470588</v>
      </c>
      <c r="Q19" s="52" t="s">
        <v>75</v>
      </c>
      <c r="R19" s="52">
        <f ca="1">I19+Q2</f>
        <v>751</v>
      </c>
    </row>
    <row r="20" customHeight="1" spans="1:18">
      <c r="A20" s="52" t="str">
        <f>苍云!E31</f>
        <v>梅花盾</v>
      </c>
      <c r="B20" s="52" t="b">
        <f>苍云!F31</f>
        <v>1</v>
      </c>
      <c r="C20" s="52">
        <f>IF(苍云!J7="[梅花盾覆盖率]",100%,苍云!J7)</f>
        <v>1</v>
      </c>
      <c r="H20" s="52" t="s">
        <v>212</v>
      </c>
      <c r="I20" s="54">
        <f>INDEX(N30:N34,MATCH(G4,J30:J34,))</f>
        <v>0</v>
      </c>
      <c r="J20" s="52" t="s">
        <v>212</v>
      </c>
      <c r="K20" s="54">
        <f ca="1">IF(I20-K17+I17&gt;0,I20-K17+I17,0)</f>
        <v>0</v>
      </c>
      <c r="L20" s="66">
        <v>1120</v>
      </c>
      <c r="M20" s="66">
        <v>297</v>
      </c>
      <c r="N20" s="66">
        <v>495</v>
      </c>
      <c r="O20" s="66">
        <f t="shared" si="1"/>
        <v>0.353571428571429</v>
      </c>
      <c r="Q20" s="52" t="s">
        <v>212</v>
      </c>
      <c r="R20" s="54">
        <f>INDEX(N30:N34,MATCH(G4,J30:J34,))</f>
        <v>0</v>
      </c>
    </row>
    <row r="21" customHeight="1" spans="1:18">
      <c r="A21" s="52" t="str">
        <f>苍云!A32</f>
        <v>竞技场套装</v>
      </c>
      <c r="B21" s="52" t="b">
        <f>苍云!B32</f>
        <v>1</v>
      </c>
      <c r="H21" s="52" t="s">
        <v>213</v>
      </c>
      <c r="I21" s="54">
        <f>INDEX(O30:O34,MATCH(G4,J30:J34,))</f>
        <v>0</v>
      </c>
      <c r="J21" s="52" t="s">
        <v>213</v>
      </c>
      <c r="K21" s="54">
        <f ca="1">IF(I21-K18+I18&gt;0,I21-K18+I18,0)</f>
        <v>0</v>
      </c>
      <c r="L21" s="66">
        <v>440</v>
      </c>
      <c r="M21" s="66">
        <v>116</v>
      </c>
      <c r="N21" s="66">
        <v>193</v>
      </c>
      <c r="O21" s="66">
        <f t="shared" si="1"/>
        <v>0.351136363636364</v>
      </c>
      <c r="Q21" s="52" t="s">
        <v>213</v>
      </c>
      <c r="R21" s="54">
        <f>INDEX(O30:O34,MATCH(G4,J30:J34,))</f>
        <v>0</v>
      </c>
    </row>
    <row r="22" customHeight="1" spans="1:15">
      <c r="A22" s="52" t="s">
        <v>143</v>
      </c>
      <c r="B22" s="52" t="b">
        <f>苍云!D32</f>
        <v>0</v>
      </c>
      <c r="L22" s="66">
        <v>500</v>
      </c>
      <c r="M22" s="66">
        <v>132</v>
      </c>
      <c r="N22" s="66">
        <v>220</v>
      </c>
      <c r="O22" s="66">
        <f t="shared" si="1"/>
        <v>0.352</v>
      </c>
    </row>
    <row r="23" customHeight="1" spans="8:15">
      <c r="H23" s="52" t="s">
        <v>25</v>
      </c>
      <c r="L23" s="66"/>
      <c r="M23" s="66"/>
      <c r="N23" s="66"/>
      <c r="O23" s="66">
        <f>AVERAGE(O18:O22)</f>
        <v>0.352475248281131</v>
      </c>
    </row>
    <row r="24" customHeight="1" spans="1:8">
      <c r="A24" s="52" t="s">
        <v>214</v>
      </c>
      <c r="B24" s="52" t="b">
        <v>0</v>
      </c>
      <c r="H24" s="52">
        <f>苍云!B60</f>
        <v>1</v>
      </c>
    </row>
    <row r="26" customHeight="1" spans="4:4">
      <c r="D26" s="56"/>
    </row>
    <row r="27" customHeight="1" spans="4:4">
      <c r="D27" s="57"/>
    </row>
    <row r="28" customHeight="1" spans="2:23">
      <c r="B28" s="52" t="s">
        <v>192</v>
      </c>
      <c r="C28" s="58">
        <f>MIN(0.5+B20*C20*0.3+G15*0.026,1)</f>
        <v>0.826</v>
      </c>
      <c r="D28" s="59"/>
      <c r="V28" s="67"/>
      <c r="W28" s="67"/>
    </row>
    <row r="29" customHeight="1" spans="1:18">
      <c r="A29" s="55" t="s">
        <v>215</v>
      </c>
      <c r="B29" s="55" t="s">
        <v>216</v>
      </c>
      <c r="C29" s="60" t="s">
        <v>217</v>
      </c>
      <c r="D29" s="55" t="s">
        <v>218</v>
      </c>
      <c r="E29" s="55" t="s">
        <v>219</v>
      </c>
      <c r="F29" s="52" t="s">
        <v>144</v>
      </c>
      <c r="G29" s="52" t="s">
        <v>220</v>
      </c>
      <c r="H29" s="60" t="s">
        <v>145</v>
      </c>
      <c r="I29" s="52" t="s">
        <v>221</v>
      </c>
      <c r="J29" s="55" t="s">
        <v>222</v>
      </c>
      <c r="K29" s="55" t="s">
        <v>223</v>
      </c>
      <c r="L29" s="55" t="s">
        <v>224</v>
      </c>
      <c r="M29" s="55" t="s">
        <v>225</v>
      </c>
      <c r="N29" s="55" t="s">
        <v>212</v>
      </c>
      <c r="O29" s="55" t="s">
        <v>213</v>
      </c>
      <c r="P29" s="55" t="s">
        <v>226</v>
      </c>
      <c r="Q29" s="55" t="s">
        <v>227</v>
      </c>
      <c r="R29" s="55"/>
    </row>
    <row r="30" customHeight="1" spans="1:23">
      <c r="A30" s="52" t="s">
        <v>228</v>
      </c>
      <c r="B30" s="52">
        <v>2818</v>
      </c>
      <c r="C30" s="52">
        <f ca="1">(B30-$R$2)*(1-$C$28)</f>
        <v>455.532</v>
      </c>
      <c r="D30" s="52">
        <v>8454</v>
      </c>
      <c r="E30" s="54">
        <f t="shared" ref="E30:E34" si="2">D30/(D30+B30)</f>
        <v>0.75</v>
      </c>
      <c r="F30" s="61">
        <f>D30/(B30*0.474+D30)</f>
        <v>0.863557858376511</v>
      </c>
      <c r="G30" s="61">
        <f>D30/(B30*0.5*0.474+D30)</f>
        <v>0.92678405931418</v>
      </c>
      <c r="H30" s="54">
        <f ca="1">D30/(D30+C30)</f>
        <v>0.948871388530846</v>
      </c>
      <c r="I30" s="61">
        <f ca="1">D30/(C30*0.5+D30)</f>
        <v>0.973765015090248</v>
      </c>
      <c r="J30" s="52" t="s">
        <v>228</v>
      </c>
      <c r="K30" s="52" t="s">
        <v>228</v>
      </c>
      <c r="L30" s="54">
        <v>1.05</v>
      </c>
      <c r="M30" s="54">
        <v>0.2</v>
      </c>
      <c r="N30" s="54">
        <f>IF(L30-I17&gt;0,L30-I17,0)</f>
        <v>0</v>
      </c>
      <c r="O30" s="54">
        <f>IF(M30-I18&gt;0,M30-I18,0)</f>
        <v>0</v>
      </c>
      <c r="P30" s="54">
        <f ca="1">IF(L30-K17&gt;0,L30-K17,0)</f>
        <v>0</v>
      </c>
      <c r="Q30" s="54">
        <f ca="1">IF(M30-K18&gt;0,M30-K18,0)</f>
        <v>0</v>
      </c>
      <c r="T30" s="61"/>
      <c r="U30" s="54"/>
      <c r="V30" s="54"/>
      <c r="W30" s="54"/>
    </row>
    <row r="31" customHeight="1" spans="1:23">
      <c r="A31" s="52" t="s">
        <v>229</v>
      </c>
      <c r="B31" s="52">
        <v>4959</v>
      </c>
      <c r="C31" s="52">
        <f ca="1" t="shared" ref="C31:C34" si="3">(B31-$R$2)*(1-$C$28)</f>
        <v>828.066</v>
      </c>
      <c r="D31" s="52">
        <v>9209.42</v>
      </c>
      <c r="E31" s="54">
        <f t="shared" si="2"/>
        <v>0.649996259286498</v>
      </c>
      <c r="F31" s="61">
        <f t="shared" ref="F31:F34" si="4">D31/(B31*0.474+D31)</f>
        <v>0.796663594575287</v>
      </c>
      <c r="G31" s="61">
        <f t="shared" ref="G31:G34" si="5">D31/(B31*0.5*0.474+D31)</f>
        <v>0.886825554856985</v>
      </c>
      <c r="H31" s="54">
        <f ca="1" t="shared" ref="H30:H34" si="6">D31/(D31+C31)</f>
        <v>0.91750264956783</v>
      </c>
      <c r="I31" s="61">
        <f ca="1" t="shared" ref="I30:I34" si="7">D31/(C31*0.5+D31)</f>
        <v>0.956976669392992</v>
      </c>
      <c r="J31" s="52" t="s">
        <v>229</v>
      </c>
      <c r="K31" s="52" t="s">
        <v>229</v>
      </c>
      <c r="L31" s="54">
        <v>1.1</v>
      </c>
      <c r="M31" s="54">
        <v>0.3</v>
      </c>
      <c r="N31" s="54">
        <f>IF(L31-I$17&gt;0,L31-I$17,0)</f>
        <v>0.0285</v>
      </c>
      <c r="O31" s="54">
        <f>IF(M31-I18&gt;0,M31-I18,0)</f>
        <v>0.0681</v>
      </c>
      <c r="P31" s="54">
        <f ca="1">IF(L31-K17&gt;0,L31-K17,0)</f>
        <v>0</v>
      </c>
      <c r="Q31" s="54">
        <f ca="1">IF(M31-K18&gt;0,M31-K18,0)</f>
        <v>0.0266289529228227</v>
      </c>
      <c r="T31" s="61"/>
      <c r="U31" s="54"/>
      <c r="V31" s="54"/>
      <c r="W31" s="54"/>
    </row>
    <row r="32" customHeight="1" spans="1:23">
      <c r="A32" s="52" t="s">
        <v>230</v>
      </c>
      <c r="B32" s="52">
        <v>6643</v>
      </c>
      <c r="C32" s="52">
        <f ca="1" t="shared" si="3"/>
        <v>1121.082</v>
      </c>
      <c r="D32" s="52">
        <v>9964.5</v>
      </c>
      <c r="E32" s="54">
        <f t="shared" si="2"/>
        <v>0.6</v>
      </c>
      <c r="F32" s="61">
        <f t="shared" si="4"/>
        <v>0.759878419452888</v>
      </c>
      <c r="G32" s="61">
        <f t="shared" si="5"/>
        <v>0.863557858376511</v>
      </c>
      <c r="H32" s="54">
        <f ca="1" t="shared" si="6"/>
        <v>0.898870262292047</v>
      </c>
      <c r="I32" s="61">
        <f ca="1" t="shared" si="7"/>
        <v>0.946742155208707</v>
      </c>
      <c r="J32" s="52" t="s">
        <v>230</v>
      </c>
      <c r="K32" s="52" t="s">
        <v>230</v>
      </c>
      <c r="L32" s="54">
        <v>1.15</v>
      </c>
      <c r="M32" s="54">
        <v>0.4</v>
      </c>
      <c r="N32" s="54">
        <f>IF(L32-I$17&gt;0,L32-I$17,0)</f>
        <v>0.0784999999999998</v>
      </c>
      <c r="O32" s="54">
        <f>IF(M32-I18&gt;0,M32-I18,0)</f>
        <v>0.1681</v>
      </c>
      <c r="P32" s="54">
        <f ca="1">IF(L32-K17&gt;0,L32-K17,0)</f>
        <v>0.0174224647811592</v>
      </c>
      <c r="Q32" s="54">
        <f ca="1">IF(M32-K18&gt;0,M32-K18,0)</f>
        <v>0.126628952922823</v>
      </c>
      <c r="T32" s="61"/>
      <c r="U32" s="54"/>
      <c r="V32" s="54"/>
      <c r="W32" s="54"/>
    </row>
    <row r="33" customHeight="1" spans="1:23">
      <c r="A33" s="52" t="s">
        <v>231</v>
      </c>
      <c r="B33" s="52">
        <v>4959</v>
      </c>
      <c r="C33" s="52">
        <f ca="1" t="shared" si="3"/>
        <v>828.066</v>
      </c>
      <c r="D33" s="52">
        <v>9209.42</v>
      </c>
      <c r="E33" s="54">
        <f t="shared" si="2"/>
        <v>0.649996259286498</v>
      </c>
      <c r="F33" s="61">
        <f t="shared" si="4"/>
        <v>0.796663594575287</v>
      </c>
      <c r="G33" s="61">
        <f t="shared" si="5"/>
        <v>0.886825554856985</v>
      </c>
      <c r="H33" s="54">
        <f ca="1" t="shared" si="6"/>
        <v>0.91750264956783</v>
      </c>
      <c r="I33" s="61">
        <f ca="1" t="shared" si="7"/>
        <v>0.956976669392992</v>
      </c>
      <c r="J33" s="52" t="s">
        <v>179</v>
      </c>
      <c r="K33" s="52" t="s">
        <v>229</v>
      </c>
      <c r="L33" s="54">
        <v>1.1</v>
      </c>
      <c r="M33" s="54">
        <v>0.3</v>
      </c>
      <c r="N33" s="54">
        <f>IF(L33-I17&gt;0,L33-I17,0)</f>
        <v>0.0285</v>
      </c>
      <c r="O33" s="54">
        <f>IF(M33-I18&gt;0,M33-I18,0)</f>
        <v>0.0681</v>
      </c>
      <c r="P33" s="54">
        <f ca="1">IF(L33-K17&gt;0,L33-K17,0)</f>
        <v>0</v>
      </c>
      <c r="Q33" s="54">
        <f ca="1">IF(M33-K18&gt;0,M33-K18,0)</f>
        <v>0.0266289529228227</v>
      </c>
      <c r="T33" s="61"/>
      <c r="U33" s="54"/>
      <c r="V33" s="54"/>
      <c r="W33" s="54"/>
    </row>
    <row r="34" customHeight="1" spans="1:17">
      <c r="A34" s="52" t="s">
        <v>180</v>
      </c>
      <c r="B34" s="52">
        <v>4959</v>
      </c>
      <c r="C34" s="52">
        <f ca="1" t="shared" si="3"/>
        <v>828.066</v>
      </c>
      <c r="D34" s="52">
        <v>9209.42</v>
      </c>
      <c r="E34" s="54">
        <f t="shared" si="2"/>
        <v>0.649996259286498</v>
      </c>
      <c r="F34" s="61">
        <f t="shared" si="4"/>
        <v>0.796663594575287</v>
      </c>
      <c r="G34" s="61">
        <f t="shared" si="5"/>
        <v>0.886825554856985</v>
      </c>
      <c r="H34" s="54">
        <f ca="1" t="shared" si="6"/>
        <v>0.91750264956783</v>
      </c>
      <c r="I34" s="61">
        <f ca="1" t="shared" si="7"/>
        <v>0.956976669392992</v>
      </c>
      <c r="J34" s="52" t="s">
        <v>180</v>
      </c>
      <c r="K34" s="52" t="s">
        <v>229</v>
      </c>
      <c r="L34" s="54">
        <v>1.1</v>
      </c>
      <c r="M34" s="54">
        <v>0.35</v>
      </c>
      <c r="N34" s="54">
        <f>IF(L34-I17&gt;0,L34-I17,0)</f>
        <v>0.0285</v>
      </c>
      <c r="O34" s="54">
        <f>IF(M34-I18&gt;0,M34-I18,0)</f>
        <v>0.1181</v>
      </c>
      <c r="P34" s="54">
        <f ca="1">IF(L34-K17&gt;0,L34-K17,0)</f>
        <v>0</v>
      </c>
      <c r="Q34" s="54">
        <f ca="1">IF(M34-K18&gt;0,M34-K18,0)</f>
        <v>0.0766289529228227</v>
      </c>
    </row>
    <row r="35" customHeight="1" spans="1:5">
      <c r="A35" s="55" t="s">
        <v>232</v>
      </c>
      <c r="B35" s="55"/>
      <c r="C35" s="60"/>
      <c r="D35" s="55" t="s">
        <v>233</v>
      </c>
      <c r="E35" s="55"/>
    </row>
    <row r="36" customHeight="1" spans="2:24">
      <c r="B36" s="52" t="s">
        <v>234</v>
      </c>
      <c r="C36" s="52" t="s">
        <v>6</v>
      </c>
      <c r="D36" s="62" t="s">
        <v>235</v>
      </c>
      <c r="E36" s="52" t="s">
        <v>191</v>
      </c>
      <c r="F36" s="62" t="s">
        <v>236</v>
      </c>
      <c r="G36" s="52" t="s">
        <v>237</v>
      </c>
      <c r="H36" s="62" t="s">
        <v>238</v>
      </c>
      <c r="I36" s="52" t="s">
        <v>239</v>
      </c>
      <c r="J36" s="62" t="s">
        <v>240</v>
      </c>
      <c r="K36" s="52" t="s">
        <v>241</v>
      </c>
      <c r="L36" s="62" t="s">
        <v>242</v>
      </c>
      <c r="M36" s="52" t="s">
        <v>243</v>
      </c>
      <c r="N36" s="62" t="s">
        <v>244</v>
      </c>
      <c r="O36" s="52" t="s">
        <v>245</v>
      </c>
      <c r="P36" s="62" t="s">
        <v>246</v>
      </c>
      <c r="Q36" s="52" t="s">
        <v>247</v>
      </c>
      <c r="R36" s="62" t="s">
        <v>248</v>
      </c>
      <c r="S36" s="52" t="s">
        <v>249</v>
      </c>
      <c r="T36" s="62" t="s">
        <v>250</v>
      </c>
      <c r="U36" s="52" t="s">
        <v>194</v>
      </c>
      <c r="V36" s="52" t="s">
        <v>195</v>
      </c>
      <c r="W36" s="52" t="s">
        <v>75</v>
      </c>
      <c r="X36" s="52" t="s">
        <v>192</v>
      </c>
    </row>
    <row r="37" customHeight="1" spans="1:24">
      <c r="A37" s="52" t="s">
        <v>167</v>
      </c>
      <c r="B37" s="52">
        <f>COUNTIF(G2:G13,A:A)</f>
        <v>0</v>
      </c>
      <c r="C37" s="52">
        <f ca="1">INDIRECT(ADDRESS(ROW(),2))*28</f>
        <v>0</v>
      </c>
      <c r="D37" s="62">
        <f ca="1" t="shared" ref="D37:M52" si="8">INDIRECT(ADDRESS(ROW(),2))*0</f>
        <v>0</v>
      </c>
      <c r="E37" s="52">
        <f ca="1" t="shared" si="8"/>
        <v>0</v>
      </c>
      <c r="F37" s="62">
        <f ca="1" t="shared" ref="F37:G39" si="9">INDIRECT(ADDRESS(ROW(),2))*0</f>
        <v>0</v>
      </c>
      <c r="G37" s="52">
        <f ca="1" t="shared" si="9"/>
        <v>0</v>
      </c>
      <c r="H37" s="62">
        <f ca="1" t="shared" si="8"/>
        <v>0</v>
      </c>
      <c r="I37" s="52">
        <f ca="1" t="shared" si="8"/>
        <v>0</v>
      </c>
      <c r="J37" s="62">
        <f ca="1" t="shared" si="8"/>
        <v>0</v>
      </c>
      <c r="K37" s="52">
        <f ca="1">INDIRECT(ADDRESS(ROW(),2))*291</f>
        <v>0</v>
      </c>
      <c r="L37" s="62">
        <f ca="1" t="shared" si="8"/>
        <v>0</v>
      </c>
      <c r="M37" s="52">
        <f ca="1" t="shared" si="8"/>
        <v>0</v>
      </c>
      <c r="N37" s="62">
        <f ca="1" t="shared" ref="N37:X47" si="10">INDIRECT(ADDRESS(ROW(),2))*0</f>
        <v>0</v>
      </c>
      <c r="O37" s="52">
        <f ca="1" t="shared" si="10"/>
        <v>0</v>
      </c>
      <c r="P37" s="62">
        <f ca="1" t="shared" si="10"/>
        <v>0</v>
      </c>
      <c r="Q37" s="52">
        <f ca="1" t="shared" si="10"/>
        <v>0</v>
      </c>
      <c r="R37" s="62">
        <f ca="1" t="shared" si="10"/>
        <v>0</v>
      </c>
      <c r="S37" s="52">
        <f ca="1" t="shared" si="10"/>
        <v>0</v>
      </c>
      <c r="T37" s="62">
        <f ca="1" t="shared" si="10"/>
        <v>0</v>
      </c>
      <c r="U37" s="52">
        <f ca="1" t="shared" si="10"/>
        <v>0</v>
      </c>
      <c r="V37" s="52">
        <f ca="1" t="shared" si="10"/>
        <v>0</v>
      </c>
      <c r="W37" s="52">
        <f ca="1" t="shared" si="10"/>
        <v>0</v>
      </c>
      <c r="X37" s="52">
        <f ca="1" t="shared" si="10"/>
        <v>0</v>
      </c>
    </row>
    <row r="38" customHeight="1" spans="1:24">
      <c r="A38" s="52" t="s">
        <v>40</v>
      </c>
      <c r="B38" s="52">
        <f>COUNTIF(G2:G13,A:A)</f>
        <v>1</v>
      </c>
      <c r="C38" s="52">
        <f ca="1">INDIRECT(ADDRESS(ROW(),2))*0</f>
        <v>0</v>
      </c>
      <c r="D38" s="62">
        <f ca="1" t="shared" si="8"/>
        <v>0</v>
      </c>
      <c r="E38" s="52">
        <f ca="1" t="shared" si="8"/>
        <v>0</v>
      </c>
      <c r="F38" s="62">
        <f ca="1" t="shared" si="9"/>
        <v>0</v>
      </c>
      <c r="G38" s="52">
        <f ca="1" t="shared" si="9"/>
        <v>0</v>
      </c>
      <c r="H38" s="62">
        <f ca="1" t="shared" si="8"/>
        <v>0</v>
      </c>
      <c r="I38" s="52">
        <f ca="1" t="shared" si="8"/>
        <v>0</v>
      </c>
      <c r="J38" s="62">
        <f ca="1" t="shared" si="8"/>
        <v>0</v>
      </c>
      <c r="K38" s="52">
        <f ca="1" t="shared" si="8"/>
        <v>0</v>
      </c>
      <c r="L38" s="62">
        <f ca="1" t="shared" si="8"/>
        <v>0</v>
      </c>
      <c r="M38" s="52">
        <f ca="1" t="shared" si="8"/>
        <v>0</v>
      </c>
      <c r="N38" s="62">
        <f ca="1" t="shared" si="10"/>
        <v>0</v>
      </c>
      <c r="O38" s="52">
        <f ca="1" t="shared" si="10"/>
        <v>0</v>
      </c>
      <c r="P38" s="62">
        <f ca="1" t="shared" si="10"/>
        <v>0</v>
      </c>
      <c r="Q38" s="52">
        <f ca="1" t="shared" si="10"/>
        <v>0</v>
      </c>
      <c r="R38" s="62">
        <f ca="1" t="shared" si="10"/>
        <v>0</v>
      </c>
      <c r="S38" s="52">
        <f ca="1">INDIRECT(ADDRESS(ROW(),2))*265</f>
        <v>265</v>
      </c>
      <c r="T38" s="62">
        <f ca="1" t="shared" si="10"/>
        <v>0</v>
      </c>
      <c r="U38" s="52">
        <f ca="1" t="shared" si="10"/>
        <v>0</v>
      </c>
      <c r="V38" s="52">
        <f ca="1" t="shared" si="10"/>
        <v>0</v>
      </c>
      <c r="W38" s="52">
        <f ca="1" t="shared" si="10"/>
        <v>0</v>
      </c>
      <c r="X38" s="52">
        <f ca="1" t="shared" si="10"/>
        <v>0</v>
      </c>
    </row>
    <row r="39" customHeight="1" spans="1:24">
      <c r="A39" s="52" t="s">
        <v>168</v>
      </c>
      <c r="B39" s="52">
        <f>COUNTIF(G2:G13,A:A)</f>
        <v>0</v>
      </c>
      <c r="C39" s="52">
        <f ca="1">INDIRECT(ADDRESS(ROW(),2))*46</f>
        <v>0</v>
      </c>
      <c r="D39" s="62">
        <f ca="1" t="shared" si="8"/>
        <v>0</v>
      </c>
      <c r="E39" s="52">
        <f ca="1" t="shared" si="8"/>
        <v>0</v>
      </c>
      <c r="F39" s="62">
        <f ca="1" t="shared" si="9"/>
        <v>0</v>
      </c>
      <c r="G39" s="52">
        <f ca="1" t="shared" si="9"/>
        <v>0</v>
      </c>
      <c r="H39" s="62">
        <f ca="1" t="shared" si="8"/>
        <v>0</v>
      </c>
      <c r="I39" s="52">
        <f ca="1">INDIRECT(ADDRESS(ROW(),2))*291</f>
        <v>0</v>
      </c>
      <c r="J39" s="62">
        <f ca="1" t="shared" si="8"/>
        <v>0</v>
      </c>
      <c r="K39" s="52">
        <f ca="1" t="shared" si="8"/>
        <v>0</v>
      </c>
      <c r="L39" s="62">
        <f ca="1" t="shared" si="8"/>
        <v>0</v>
      </c>
      <c r="M39" s="52">
        <f ca="1" t="shared" si="8"/>
        <v>0</v>
      </c>
      <c r="N39" s="62">
        <f ca="1" t="shared" si="10"/>
        <v>0</v>
      </c>
      <c r="O39" s="52">
        <f ca="1" t="shared" si="10"/>
        <v>0</v>
      </c>
      <c r="P39" s="62">
        <f ca="1" t="shared" si="10"/>
        <v>0</v>
      </c>
      <c r="Q39" s="52">
        <f ca="1" t="shared" si="10"/>
        <v>0</v>
      </c>
      <c r="R39" s="62">
        <f ca="1" t="shared" si="10"/>
        <v>0</v>
      </c>
      <c r="S39" s="52">
        <f ca="1" t="shared" si="10"/>
        <v>0</v>
      </c>
      <c r="T39" s="62">
        <f ca="1" t="shared" si="10"/>
        <v>0</v>
      </c>
      <c r="U39" s="52">
        <f ca="1" t="shared" si="10"/>
        <v>0</v>
      </c>
      <c r="V39" s="52">
        <f ca="1" t="shared" si="10"/>
        <v>0</v>
      </c>
      <c r="W39" s="52">
        <f ca="1" t="shared" si="10"/>
        <v>0</v>
      </c>
      <c r="X39" s="52">
        <f ca="1" t="shared" si="10"/>
        <v>0</v>
      </c>
    </row>
    <row r="40" customHeight="1" spans="1:20">
      <c r="A40" s="52" t="s">
        <v>169</v>
      </c>
      <c r="B40" s="52">
        <f>COUNTIF(G3:G14,A:A)</f>
        <v>0</v>
      </c>
      <c r="C40" s="52">
        <f ca="1">INDIRECT(ADDRESS(ROW(),2))*63</f>
        <v>0</v>
      </c>
      <c r="D40" s="62"/>
      <c r="F40" s="62"/>
      <c r="H40" s="62"/>
      <c r="J40" s="62"/>
      <c r="L40" s="62"/>
      <c r="N40" s="62"/>
      <c r="O40" s="52">
        <f ca="1">INDIRECT(ADDRESS(ROW(),2))*291</f>
        <v>0</v>
      </c>
      <c r="P40" s="62"/>
      <c r="R40" s="62"/>
      <c r="T40" s="62"/>
    </row>
    <row r="41" customHeight="1" spans="1:24">
      <c r="A41" s="52" t="s">
        <v>170</v>
      </c>
      <c r="B41" s="52">
        <f>COUNTIF(G2:G13,A:A)</f>
        <v>0</v>
      </c>
      <c r="C41" s="52">
        <f ca="1">INDIRECT(ADDRESS(ROW(),2))*31</f>
        <v>0</v>
      </c>
      <c r="D41" s="62">
        <f ca="1" t="shared" si="8"/>
        <v>0</v>
      </c>
      <c r="E41" s="52">
        <f ca="1" t="shared" si="8"/>
        <v>0</v>
      </c>
      <c r="F41" s="62">
        <f ca="1" t="shared" ref="F41:G56" si="11">INDIRECT(ADDRESS(ROW(),2))*0</f>
        <v>0</v>
      </c>
      <c r="G41" s="52">
        <f ca="1">INDIRECT(ADDRESS(ROW(),2))*131</f>
        <v>0</v>
      </c>
      <c r="H41" s="62">
        <f ca="1" t="shared" si="8"/>
        <v>0</v>
      </c>
      <c r="I41" s="52">
        <f ca="1" t="shared" si="8"/>
        <v>0</v>
      </c>
      <c r="J41" s="62">
        <f ca="1" t="shared" si="8"/>
        <v>0</v>
      </c>
      <c r="K41" s="52">
        <f ca="1" t="shared" si="8"/>
        <v>0</v>
      </c>
      <c r="L41" s="62">
        <f ca="1" t="shared" si="8"/>
        <v>0</v>
      </c>
      <c r="M41" s="52">
        <f ca="1" t="shared" si="8"/>
        <v>0</v>
      </c>
      <c r="N41" s="62">
        <f ca="1" t="shared" si="10"/>
        <v>0</v>
      </c>
      <c r="O41" s="52">
        <f ca="1">INDIRECT(ADDRESS(ROW(),2))*0</f>
        <v>0</v>
      </c>
      <c r="P41" s="62">
        <f ca="1" t="shared" si="10"/>
        <v>0</v>
      </c>
      <c r="Q41" s="52">
        <f ca="1" t="shared" si="10"/>
        <v>0</v>
      </c>
      <c r="R41" s="62">
        <f ca="1" t="shared" si="10"/>
        <v>0</v>
      </c>
      <c r="S41" s="52">
        <f ca="1" t="shared" si="10"/>
        <v>0</v>
      </c>
      <c r="T41" s="62">
        <f ca="1" t="shared" si="10"/>
        <v>0</v>
      </c>
      <c r="U41" s="52">
        <f ca="1" t="shared" si="10"/>
        <v>0</v>
      </c>
      <c r="V41" s="52">
        <f ca="1" t="shared" si="10"/>
        <v>0</v>
      </c>
      <c r="W41" s="52">
        <f ca="1" t="shared" si="10"/>
        <v>0</v>
      </c>
      <c r="X41" s="52">
        <f ca="1" t="shared" si="10"/>
        <v>0</v>
      </c>
    </row>
    <row r="42" customHeight="1" spans="1:24">
      <c r="A42" s="52" t="s">
        <v>30</v>
      </c>
      <c r="B42" s="52">
        <f>COUNTIF(G2:G13,A:A)</f>
        <v>1</v>
      </c>
      <c r="C42" s="52">
        <f ca="1">INDIRECT(ADDRESS(ROW(),2))*65</f>
        <v>65</v>
      </c>
      <c r="D42" s="62">
        <f ca="1" t="shared" si="8"/>
        <v>0</v>
      </c>
      <c r="E42" s="52">
        <f ca="1">INDIRECT(ADDRESS(ROW(),2))*0</f>
        <v>0</v>
      </c>
      <c r="F42" s="62">
        <f ca="1" t="shared" si="11"/>
        <v>0</v>
      </c>
      <c r="G42" s="52">
        <f ca="1" t="shared" si="11"/>
        <v>0</v>
      </c>
      <c r="H42" s="62">
        <f ca="1" t="shared" si="8"/>
        <v>0</v>
      </c>
      <c r="I42" s="52">
        <f ca="1" t="shared" si="8"/>
        <v>0</v>
      </c>
      <c r="J42" s="62">
        <f ca="1" t="shared" si="8"/>
        <v>0</v>
      </c>
      <c r="K42" s="52">
        <f ca="1" t="shared" si="8"/>
        <v>0</v>
      </c>
      <c r="L42" s="62">
        <f ca="1" t="shared" si="8"/>
        <v>0</v>
      </c>
      <c r="M42" s="52">
        <f ca="1" t="shared" si="8"/>
        <v>0</v>
      </c>
      <c r="N42" s="62">
        <f ca="1" t="shared" si="10"/>
        <v>0</v>
      </c>
      <c r="O42" s="52">
        <f ca="1" t="shared" si="10"/>
        <v>0</v>
      </c>
      <c r="P42" s="62">
        <f ca="1" t="shared" si="10"/>
        <v>0</v>
      </c>
      <c r="Q42" s="52">
        <f ca="1" t="shared" si="10"/>
        <v>0</v>
      </c>
      <c r="R42" s="62">
        <f ca="1" t="shared" si="10"/>
        <v>0</v>
      </c>
      <c r="S42" s="52">
        <f ca="1" t="shared" si="10"/>
        <v>0</v>
      </c>
      <c r="T42" s="62">
        <f ca="1" t="shared" si="10"/>
        <v>0</v>
      </c>
      <c r="U42" s="52">
        <f ca="1" t="shared" si="10"/>
        <v>0</v>
      </c>
      <c r="V42" s="52">
        <f ca="1" t="shared" si="10"/>
        <v>0</v>
      </c>
      <c r="W42" s="52">
        <f ca="1" t="shared" si="10"/>
        <v>0</v>
      </c>
      <c r="X42" s="52">
        <f ca="1" t="shared" si="10"/>
        <v>0</v>
      </c>
    </row>
    <row r="43" customHeight="1" spans="1:24">
      <c r="A43" s="63" t="s">
        <v>50</v>
      </c>
      <c r="B43" s="52">
        <f>COUNTIF(G3:G14,A:A)</f>
        <v>1</v>
      </c>
      <c r="C43" s="52">
        <f ca="1">INDIRECT(ADDRESS(ROW(),2))*84</f>
        <v>84</v>
      </c>
      <c r="D43" s="62">
        <f ca="1" t="shared" si="8"/>
        <v>0</v>
      </c>
      <c r="E43" s="52">
        <f ca="1">INDIRECT(ADDRESS(ROW(),2))*0</f>
        <v>0</v>
      </c>
      <c r="F43" s="62">
        <f ca="1" t="shared" si="11"/>
        <v>0</v>
      </c>
      <c r="G43" s="52">
        <f ca="1" t="shared" si="11"/>
        <v>0</v>
      </c>
      <c r="H43" s="62">
        <f ca="1" t="shared" si="8"/>
        <v>0</v>
      </c>
      <c r="I43" s="52">
        <f ca="1" t="shared" si="8"/>
        <v>0</v>
      </c>
      <c r="J43" s="62">
        <f ca="1" t="shared" si="8"/>
        <v>0</v>
      </c>
      <c r="K43" s="52">
        <f ca="1" t="shared" si="8"/>
        <v>0</v>
      </c>
      <c r="L43" s="62">
        <f ca="1" t="shared" si="8"/>
        <v>0</v>
      </c>
      <c r="M43" s="52">
        <f ca="1" t="shared" si="8"/>
        <v>0</v>
      </c>
      <c r="N43" s="62">
        <f ca="1" t="shared" si="10"/>
        <v>0</v>
      </c>
      <c r="O43" s="52">
        <f ca="1" t="shared" si="10"/>
        <v>0</v>
      </c>
      <c r="P43" s="62">
        <f ca="1" t="shared" si="10"/>
        <v>0</v>
      </c>
      <c r="Q43" s="52">
        <f ca="1" t="shared" si="10"/>
        <v>0</v>
      </c>
      <c r="R43" s="62">
        <f ca="1" t="shared" si="10"/>
        <v>0</v>
      </c>
      <c r="S43" s="52">
        <f ca="1" t="shared" si="10"/>
        <v>0</v>
      </c>
      <c r="T43" s="62">
        <f ca="1" t="shared" si="10"/>
        <v>0</v>
      </c>
      <c r="U43" s="52">
        <f ca="1" t="shared" si="10"/>
        <v>0</v>
      </c>
      <c r="V43" s="52">
        <f ca="1" t="shared" si="10"/>
        <v>0</v>
      </c>
      <c r="W43" s="52">
        <f ca="1" t="shared" si="10"/>
        <v>0</v>
      </c>
      <c r="X43" s="52">
        <f ca="1" t="shared" si="10"/>
        <v>0</v>
      </c>
    </row>
    <row r="44" customHeight="1" spans="1:24">
      <c r="A44" s="52" t="s">
        <v>161</v>
      </c>
      <c r="B44" s="52">
        <f>COUNTIF(G2:G13,A:A)</f>
        <v>0</v>
      </c>
      <c r="C44" s="52">
        <f ca="1">INDIRECT(ADDRESS(ROW(),2))*0</f>
        <v>0</v>
      </c>
      <c r="D44" s="62">
        <f ca="1" t="shared" si="8"/>
        <v>0</v>
      </c>
      <c r="E44" s="52">
        <f ca="1" t="shared" si="8"/>
        <v>0</v>
      </c>
      <c r="F44" s="62">
        <f ca="1" t="shared" si="11"/>
        <v>0</v>
      </c>
      <c r="G44" s="52">
        <f ca="1" t="shared" si="11"/>
        <v>0</v>
      </c>
      <c r="H44" s="62">
        <f ca="1" t="shared" si="8"/>
        <v>0</v>
      </c>
      <c r="I44" s="52">
        <f ca="1" t="shared" si="8"/>
        <v>0</v>
      </c>
      <c r="J44" s="62">
        <f ca="1" t="shared" si="8"/>
        <v>0</v>
      </c>
      <c r="K44" s="52">
        <f ca="1">INDIRECT(ADDRESS(ROW(),2))*374</f>
        <v>0</v>
      </c>
      <c r="L44" s="62">
        <f ca="1" t="shared" si="8"/>
        <v>0</v>
      </c>
      <c r="M44" s="52">
        <f ca="1" t="shared" si="8"/>
        <v>0</v>
      </c>
      <c r="N44" s="62">
        <f ca="1" t="shared" si="10"/>
        <v>0</v>
      </c>
      <c r="O44" s="52">
        <f ca="1" t="shared" si="10"/>
        <v>0</v>
      </c>
      <c r="P44" s="62">
        <f ca="1" t="shared" si="10"/>
        <v>0</v>
      </c>
      <c r="Q44" s="52">
        <f ca="1" t="shared" si="10"/>
        <v>0</v>
      </c>
      <c r="R44" s="62">
        <f ca="1" t="shared" si="10"/>
        <v>0</v>
      </c>
      <c r="S44" s="52">
        <f ca="1" t="shared" si="10"/>
        <v>0</v>
      </c>
      <c r="T44" s="62">
        <f ca="1" t="shared" si="10"/>
        <v>0</v>
      </c>
      <c r="U44" s="52">
        <f ca="1" t="shared" si="10"/>
        <v>0</v>
      </c>
      <c r="V44" s="52">
        <f ca="1" t="shared" si="10"/>
        <v>0</v>
      </c>
      <c r="W44" s="52">
        <f ca="1" t="shared" si="10"/>
        <v>0</v>
      </c>
      <c r="X44" s="52">
        <f ca="1" t="shared" si="10"/>
        <v>0</v>
      </c>
    </row>
    <row r="45" customHeight="1" spans="1:24">
      <c r="A45" s="52" t="s">
        <v>60</v>
      </c>
      <c r="B45" s="52">
        <f>COUNTIF(G2:G13,A:A)</f>
        <v>1</v>
      </c>
      <c r="C45" s="52">
        <f ca="1">INDIRECT(ADDRESS(ROW(),2))*0</f>
        <v>0</v>
      </c>
      <c r="D45" s="62">
        <f ca="1" t="shared" si="8"/>
        <v>0</v>
      </c>
      <c r="E45" s="52">
        <f ca="1" t="shared" si="8"/>
        <v>0</v>
      </c>
      <c r="F45" s="62">
        <f ca="1" t="shared" si="11"/>
        <v>0</v>
      </c>
      <c r="G45" s="52">
        <f ca="1" t="shared" si="11"/>
        <v>0</v>
      </c>
      <c r="H45" s="62">
        <f ca="1" t="shared" si="8"/>
        <v>0</v>
      </c>
      <c r="I45" s="52">
        <f ca="1" t="shared" si="8"/>
        <v>0</v>
      </c>
      <c r="J45" s="62">
        <f ca="1" t="shared" si="8"/>
        <v>0</v>
      </c>
      <c r="K45" s="52">
        <f ca="1" t="shared" si="8"/>
        <v>0</v>
      </c>
      <c r="L45" s="62">
        <f ca="1" t="shared" si="8"/>
        <v>0</v>
      </c>
      <c r="M45" s="52">
        <f ca="1" t="shared" si="8"/>
        <v>0</v>
      </c>
      <c r="N45" s="62">
        <f ca="1" t="shared" si="10"/>
        <v>0</v>
      </c>
      <c r="O45" s="52">
        <f ca="1" t="shared" si="10"/>
        <v>0</v>
      </c>
      <c r="P45" s="62">
        <f ca="1" t="shared" si="10"/>
        <v>0</v>
      </c>
      <c r="Q45" s="52">
        <f ca="1" t="shared" si="10"/>
        <v>0</v>
      </c>
      <c r="R45" s="62">
        <f ca="1" t="shared" si="10"/>
        <v>0</v>
      </c>
      <c r="S45" s="52">
        <f ca="1">INDIRECT(ADDRESS(ROW(),2))*341</f>
        <v>341</v>
      </c>
      <c r="T45" s="62">
        <f ca="1" t="shared" si="10"/>
        <v>0</v>
      </c>
      <c r="U45" s="52">
        <f ca="1" t="shared" si="10"/>
        <v>0</v>
      </c>
      <c r="V45" s="52">
        <f ca="1" t="shared" si="10"/>
        <v>0</v>
      </c>
      <c r="W45" s="52">
        <f ca="1" t="shared" si="10"/>
        <v>0</v>
      </c>
      <c r="X45" s="52">
        <f ca="1" t="shared" si="10"/>
        <v>0</v>
      </c>
    </row>
    <row r="46" customHeight="1" spans="1:24">
      <c r="A46" s="63" t="s">
        <v>162</v>
      </c>
      <c r="B46" s="52">
        <f>COUNTIF(G3:G14,A:A)</f>
        <v>0</v>
      </c>
      <c r="C46" s="52">
        <f ca="1">INDIRECT(ADDRESS(ROW(),2))*0</f>
        <v>0</v>
      </c>
      <c r="D46" s="62">
        <f ca="1" t="shared" si="8"/>
        <v>0</v>
      </c>
      <c r="E46" s="52">
        <f ca="1" t="shared" si="8"/>
        <v>0</v>
      </c>
      <c r="F46" s="62">
        <f ca="1" t="shared" si="11"/>
        <v>0</v>
      </c>
      <c r="G46" s="52">
        <f ca="1" t="shared" si="11"/>
        <v>0</v>
      </c>
      <c r="H46" s="62">
        <f ca="1" t="shared" si="8"/>
        <v>0</v>
      </c>
      <c r="I46" s="52">
        <f ca="1">INDIRECT(ADDRESS(ROW(),2))*374</f>
        <v>0</v>
      </c>
      <c r="J46" s="62">
        <f ca="1" t="shared" si="8"/>
        <v>0</v>
      </c>
      <c r="K46" s="52">
        <f ca="1" t="shared" si="8"/>
        <v>0</v>
      </c>
      <c r="L46" s="62">
        <f ca="1" t="shared" si="8"/>
        <v>0</v>
      </c>
      <c r="M46" s="52">
        <f ca="1" t="shared" si="8"/>
        <v>0</v>
      </c>
      <c r="N46" s="62">
        <f ca="1" t="shared" si="10"/>
        <v>0</v>
      </c>
      <c r="O46" s="52">
        <f ca="1" t="shared" si="10"/>
        <v>0</v>
      </c>
      <c r="P46" s="62">
        <f ca="1" t="shared" si="10"/>
        <v>0</v>
      </c>
      <c r="Q46" s="52">
        <f ca="1" t="shared" si="10"/>
        <v>0</v>
      </c>
      <c r="R46" s="62">
        <f ca="1" t="shared" si="10"/>
        <v>0</v>
      </c>
      <c r="S46" s="52">
        <f ca="1" t="shared" si="10"/>
        <v>0</v>
      </c>
      <c r="T46" s="62">
        <f ca="1" t="shared" si="10"/>
        <v>0</v>
      </c>
      <c r="U46" s="52">
        <f ca="1" t="shared" si="10"/>
        <v>0</v>
      </c>
      <c r="V46" s="52">
        <f ca="1" t="shared" si="10"/>
        <v>0</v>
      </c>
      <c r="W46" s="52">
        <f ca="1" t="shared" si="10"/>
        <v>0</v>
      </c>
      <c r="X46" s="52">
        <f ca="1" t="shared" si="10"/>
        <v>0</v>
      </c>
    </row>
    <row r="47" customHeight="1" spans="1:24">
      <c r="A47" s="52" t="s">
        <v>163</v>
      </c>
      <c r="B47" s="52">
        <f>COUNTIF(G2:G13,A:A)</f>
        <v>0</v>
      </c>
      <c r="C47" s="52">
        <f ca="1" t="shared" ref="C47:C77" si="12">INDIRECT(ADDRESS(ROW(),2))*0</f>
        <v>0</v>
      </c>
      <c r="D47" s="62">
        <f ca="1" t="shared" si="8"/>
        <v>0</v>
      </c>
      <c r="E47" s="52">
        <f ca="1" t="shared" si="8"/>
        <v>0</v>
      </c>
      <c r="F47" s="62">
        <f ca="1" t="shared" si="11"/>
        <v>0</v>
      </c>
      <c r="G47" s="52">
        <f ca="1" t="shared" si="11"/>
        <v>0</v>
      </c>
      <c r="H47" s="62">
        <f ca="1" t="shared" si="8"/>
        <v>0</v>
      </c>
      <c r="I47" s="52">
        <f ca="1" t="shared" si="8"/>
        <v>0</v>
      </c>
      <c r="J47" s="62">
        <f ca="1" t="shared" si="8"/>
        <v>0</v>
      </c>
      <c r="K47" s="52">
        <f ca="1" t="shared" si="8"/>
        <v>0</v>
      </c>
      <c r="L47" s="62">
        <f ca="1" t="shared" si="8"/>
        <v>0</v>
      </c>
      <c r="M47" s="52">
        <f ca="1" t="shared" si="8"/>
        <v>0</v>
      </c>
      <c r="N47" s="62">
        <f ca="1" t="shared" si="10"/>
        <v>0</v>
      </c>
      <c r="O47" s="52">
        <f ca="1">INDIRECT(ADDRESS(ROW(),2))*374</f>
        <v>0</v>
      </c>
      <c r="P47" s="62">
        <f ca="1" t="shared" si="10"/>
        <v>0</v>
      </c>
      <c r="Q47" s="52">
        <f ca="1" t="shared" si="10"/>
        <v>0</v>
      </c>
      <c r="R47" s="62">
        <f ca="1" t="shared" si="10"/>
        <v>0</v>
      </c>
      <c r="S47" s="52">
        <f ca="1" t="shared" si="10"/>
        <v>0</v>
      </c>
      <c r="T47" s="62">
        <f ca="1" t="shared" si="10"/>
        <v>0</v>
      </c>
      <c r="U47" s="52">
        <f ca="1" t="shared" si="10"/>
        <v>0</v>
      </c>
      <c r="V47" s="52">
        <f ca="1" t="shared" si="10"/>
        <v>0</v>
      </c>
      <c r="W47" s="52">
        <f ca="1" t="shared" si="10"/>
        <v>0</v>
      </c>
      <c r="X47" s="52">
        <f ca="1" t="shared" si="10"/>
        <v>0</v>
      </c>
    </row>
    <row r="48" customHeight="1" spans="1:24">
      <c r="A48" s="52" t="s">
        <v>164</v>
      </c>
      <c r="B48" s="52">
        <f>COUNTIF(G2:G13,A:A)</f>
        <v>0</v>
      </c>
      <c r="C48" s="52">
        <f ca="1" t="shared" si="12"/>
        <v>0</v>
      </c>
      <c r="D48" s="62">
        <f ca="1" t="shared" ref="D48:J60" si="13">INDIRECT(ADDRESS(ROW(),2))*0</f>
        <v>0</v>
      </c>
      <c r="E48" s="52">
        <f ca="1" t="shared" si="13"/>
        <v>0</v>
      </c>
      <c r="F48" s="62">
        <f ca="1" t="shared" si="11"/>
        <v>0</v>
      </c>
      <c r="G48" s="52">
        <f ca="1">INDIRECT(ADDRESS(ROW(),2))*168</f>
        <v>0</v>
      </c>
      <c r="H48" s="62">
        <f ca="1" t="shared" si="13"/>
        <v>0</v>
      </c>
      <c r="I48" s="52">
        <f ca="1" t="shared" si="13"/>
        <v>0</v>
      </c>
      <c r="J48" s="62">
        <f ca="1" t="shared" si="13"/>
        <v>0</v>
      </c>
      <c r="K48" s="52">
        <f ca="1" t="shared" si="8"/>
        <v>0</v>
      </c>
      <c r="L48" s="62">
        <f ca="1">INDIRECT(ADDRESS(ROW(),2))*0</f>
        <v>0</v>
      </c>
      <c r="M48" s="52">
        <f ca="1" t="shared" si="8"/>
        <v>0</v>
      </c>
      <c r="N48" s="62">
        <f ca="1" t="shared" ref="N48:X48" si="14">INDIRECT(ADDRESS(ROW(),2))*0</f>
        <v>0</v>
      </c>
      <c r="O48" s="52">
        <f ca="1" t="shared" si="14"/>
        <v>0</v>
      </c>
      <c r="P48" s="62">
        <f ca="1" t="shared" si="14"/>
        <v>0</v>
      </c>
      <c r="Q48" s="52">
        <f ca="1" t="shared" si="14"/>
        <v>0</v>
      </c>
      <c r="R48" s="62">
        <f ca="1" t="shared" si="14"/>
        <v>0</v>
      </c>
      <c r="S48" s="52">
        <f ca="1" t="shared" si="14"/>
        <v>0</v>
      </c>
      <c r="T48" s="62">
        <f ca="1" t="shared" si="14"/>
        <v>0</v>
      </c>
      <c r="U48" s="52">
        <f ca="1" t="shared" si="14"/>
        <v>0</v>
      </c>
      <c r="V48" s="52">
        <f ca="1" t="shared" si="14"/>
        <v>0</v>
      </c>
      <c r="W48" s="52">
        <f ca="1" t="shared" si="14"/>
        <v>0</v>
      </c>
      <c r="X48" s="52">
        <f ca="1" t="shared" si="14"/>
        <v>0</v>
      </c>
    </row>
    <row r="49" customHeight="1" spans="1:24">
      <c r="A49" s="52" t="s">
        <v>20</v>
      </c>
      <c r="B49" s="52">
        <f>COUNTIF(G2:G13,A:A)</f>
        <v>1</v>
      </c>
      <c r="C49" s="52">
        <f ca="1" t="shared" si="12"/>
        <v>0</v>
      </c>
      <c r="D49" s="62">
        <f ca="1" t="shared" si="13"/>
        <v>0</v>
      </c>
      <c r="E49" s="52">
        <f ca="1" t="shared" si="13"/>
        <v>0</v>
      </c>
      <c r="F49" s="62">
        <f ca="1" t="shared" si="11"/>
        <v>0</v>
      </c>
      <c r="G49" s="52">
        <f ca="1">INDIRECT(ADDRESS(ROW(),2))*87</f>
        <v>87</v>
      </c>
      <c r="H49" s="62">
        <f ca="1" t="shared" si="13"/>
        <v>0</v>
      </c>
      <c r="I49" s="52">
        <f ca="1">INDIRECT(ADDRESS(ROW(),2))*194</f>
        <v>194</v>
      </c>
      <c r="J49" s="62">
        <f ca="1" t="shared" si="13"/>
        <v>0</v>
      </c>
      <c r="K49" s="52">
        <f ca="1">INDIRECT(ADDRESS(ROW(),2))*194</f>
        <v>194</v>
      </c>
      <c r="L49" s="62">
        <f ca="1">INDIRECT(ADDRESS(ROW(),2))*0</f>
        <v>0</v>
      </c>
      <c r="M49" s="52">
        <f ca="1" t="shared" si="8"/>
        <v>0</v>
      </c>
      <c r="N49" s="62">
        <f ca="1" t="shared" ref="N49:X49" si="15">INDIRECT(ADDRESS(ROW(),2))*0</f>
        <v>0</v>
      </c>
      <c r="O49" s="52">
        <f ca="1" t="shared" si="15"/>
        <v>0</v>
      </c>
      <c r="P49" s="62">
        <f ca="1" t="shared" si="15"/>
        <v>0</v>
      </c>
      <c r="Q49" s="52">
        <f ca="1" t="shared" si="15"/>
        <v>0</v>
      </c>
      <c r="R49" s="62">
        <f ca="1" t="shared" si="15"/>
        <v>0</v>
      </c>
      <c r="S49" s="52">
        <f ca="1" t="shared" si="15"/>
        <v>0</v>
      </c>
      <c r="T49" s="62">
        <f ca="1" t="shared" si="15"/>
        <v>0</v>
      </c>
      <c r="U49" s="52">
        <f ca="1" t="shared" si="15"/>
        <v>0</v>
      </c>
      <c r="V49" s="52">
        <f ca="1" t="shared" si="15"/>
        <v>0</v>
      </c>
      <c r="W49" s="52">
        <f ca="1" t="shared" si="15"/>
        <v>0</v>
      </c>
      <c r="X49" s="52">
        <f ca="1" t="shared" si="15"/>
        <v>0</v>
      </c>
    </row>
    <row r="50" customHeight="1" spans="1:24">
      <c r="A50" s="52" t="s">
        <v>150</v>
      </c>
      <c r="B50" s="52">
        <f>COUNTIF(G2:G13,A:A)</f>
        <v>0</v>
      </c>
      <c r="C50" s="52">
        <f ca="1">INDIRECT(ADDRESS(ROW(),2))*68</f>
        <v>0</v>
      </c>
      <c r="D50" s="62">
        <f ca="1" t="shared" si="13"/>
        <v>0</v>
      </c>
      <c r="E50" s="52">
        <f ca="1" t="shared" si="13"/>
        <v>0</v>
      </c>
      <c r="F50" s="62">
        <f ca="1" t="shared" si="11"/>
        <v>0</v>
      </c>
      <c r="G50" s="52">
        <f ca="1" t="shared" si="11"/>
        <v>0</v>
      </c>
      <c r="H50" s="62">
        <f ca="1" t="shared" si="13"/>
        <v>0</v>
      </c>
      <c r="I50" s="52">
        <f ca="1" t="shared" si="13"/>
        <v>0</v>
      </c>
      <c r="J50" s="62">
        <f ca="1" t="shared" si="13"/>
        <v>0</v>
      </c>
      <c r="K50" s="52">
        <f ca="1" t="shared" si="8"/>
        <v>0</v>
      </c>
      <c r="L50" s="62">
        <f ca="1" t="shared" ref="L50:M64" si="16">INDIRECT(ADDRESS(ROW(),2))*0</f>
        <v>0</v>
      </c>
      <c r="M50" s="52">
        <f ca="1" t="shared" si="8"/>
        <v>0</v>
      </c>
      <c r="N50" s="62">
        <f ca="1" t="shared" ref="N50:X55" si="17">INDIRECT(ADDRESS(ROW(),2))*0</f>
        <v>0</v>
      </c>
      <c r="O50" s="52">
        <f ca="1" t="shared" si="17"/>
        <v>0</v>
      </c>
      <c r="P50" s="62">
        <f ca="1" t="shared" si="17"/>
        <v>0</v>
      </c>
      <c r="Q50" s="52">
        <f ca="1" t="shared" si="17"/>
        <v>0</v>
      </c>
      <c r="R50" s="62">
        <f ca="1" t="shared" si="17"/>
        <v>0</v>
      </c>
      <c r="S50" s="52">
        <f ca="1" t="shared" si="17"/>
        <v>0</v>
      </c>
      <c r="T50" s="62">
        <f ca="1" t="shared" si="17"/>
        <v>0</v>
      </c>
      <c r="U50" s="52">
        <f ca="1" t="shared" si="17"/>
        <v>0</v>
      </c>
      <c r="V50" s="52">
        <f ca="1" t="shared" si="17"/>
        <v>0</v>
      </c>
      <c r="W50" s="52">
        <f ca="1" t="shared" si="17"/>
        <v>0</v>
      </c>
      <c r="X50" s="52">
        <f ca="1" t="shared" si="17"/>
        <v>0</v>
      </c>
    </row>
    <row r="51" customHeight="1" spans="1:24">
      <c r="A51" s="52" t="s">
        <v>78</v>
      </c>
      <c r="B51" s="52">
        <f>COUNTIF(G2:G13,A:A)</f>
        <v>1</v>
      </c>
      <c r="C51" s="52">
        <f ca="1" t="shared" si="12"/>
        <v>0</v>
      </c>
      <c r="D51" s="62">
        <f ca="1" t="shared" si="13"/>
        <v>0</v>
      </c>
      <c r="E51" s="52">
        <f ca="1" t="shared" si="13"/>
        <v>0</v>
      </c>
      <c r="F51" s="62">
        <f ca="1" t="shared" si="11"/>
        <v>0</v>
      </c>
      <c r="G51" s="52">
        <f ca="1">INDIRECT(ADDRESS(ROW(),2))*112</f>
        <v>112</v>
      </c>
      <c r="H51" s="62">
        <f ca="1" t="shared" si="13"/>
        <v>0</v>
      </c>
      <c r="I51" s="52">
        <f ca="1" t="shared" si="13"/>
        <v>0</v>
      </c>
      <c r="J51" s="62">
        <f ca="1" t="shared" si="13"/>
        <v>0</v>
      </c>
      <c r="K51" s="52">
        <f ca="1" t="shared" si="8"/>
        <v>0</v>
      </c>
      <c r="L51" s="62">
        <f ca="1" t="shared" si="16"/>
        <v>0</v>
      </c>
      <c r="M51" s="52">
        <f ca="1" t="shared" si="8"/>
        <v>0</v>
      </c>
      <c r="N51" s="62">
        <f ca="1" t="shared" si="17"/>
        <v>0</v>
      </c>
      <c r="O51" s="52">
        <f ca="1" t="shared" si="17"/>
        <v>0</v>
      </c>
      <c r="P51" s="62">
        <f ca="1" t="shared" si="17"/>
        <v>0</v>
      </c>
      <c r="Q51" s="52">
        <f ca="1" t="shared" si="17"/>
        <v>0</v>
      </c>
      <c r="R51" s="62">
        <f ca="1" t="shared" si="17"/>
        <v>0</v>
      </c>
      <c r="S51" s="52">
        <f ca="1">INDIRECT(ADDRESS(ROW(),2))*0</f>
        <v>0</v>
      </c>
      <c r="T51" s="62">
        <f ca="1" t="shared" si="17"/>
        <v>0</v>
      </c>
      <c r="U51" s="52">
        <f ca="1" t="shared" si="17"/>
        <v>0</v>
      </c>
      <c r="V51" s="52">
        <f ca="1" t="shared" si="17"/>
        <v>0</v>
      </c>
      <c r="W51" s="52">
        <f ca="1" t="shared" si="17"/>
        <v>0</v>
      </c>
      <c r="X51" s="52">
        <f ca="1" t="shared" si="17"/>
        <v>0</v>
      </c>
    </row>
    <row r="52" customHeight="1" spans="1:24">
      <c r="A52" s="52" t="s">
        <v>251</v>
      </c>
      <c r="B52" s="52">
        <f>COUNTIF(G3:G14,A:A)</f>
        <v>0</v>
      </c>
      <c r="C52" s="52">
        <f ca="1" t="shared" si="12"/>
        <v>0</v>
      </c>
      <c r="D52" s="62">
        <f ca="1" t="shared" ref="D52:H53" si="18">INDIRECT(ADDRESS(ROW(),2))*0</f>
        <v>0</v>
      </c>
      <c r="E52" s="52">
        <f ca="1" t="shared" si="18"/>
        <v>0</v>
      </c>
      <c r="F52" s="62">
        <f ca="1" t="shared" si="11"/>
        <v>0</v>
      </c>
      <c r="G52" s="52">
        <f ca="1">INDIRECT(ADDRESS(ROW(),2))*56</f>
        <v>0</v>
      </c>
      <c r="H52" s="62">
        <f ca="1" t="shared" si="18"/>
        <v>0</v>
      </c>
      <c r="I52" s="52">
        <f ca="1" t="shared" si="13"/>
        <v>0</v>
      </c>
      <c r="J52" s="62">
        <f ca="1" t="shared" ref="J52:K78" si="19">INDIRECT(ADDRESS(ROW(),2))*0</f>
        <v>0</v>
      </c>
      <c r="K52" s="52">
        <f ca="1" t="shared" si="8"/>
        <v>0</v>
      </c>
      <c r="L52" s="62">
        <f ca="1" t="shared" si="16"/>
        <v>0</v>
      </c>
      <c r="M52" s="52">
        <f ca="1" t="shared" si="8"/>
        <v>0</v>
      </c>
      <c r="N52" s="62">
        <f ca="1" t="shared" si="17"/>
        <v>0</v>
      </c>
      <c r="O52" s="52">
        <f ca="1" t="shared" si="17"/>
        <v>0</v>
      </c>
      <c r="P52" s="62">
        <f ca="1" t="shared" si="17"/>
        <v>0</v>
      </c>
      <c r="Q52" s="52">
        <f ca="1" t="shared" si="17"/>
        <v>0</v>
      </c>
      <c r="R52" s="62">
        <f ca="1" t="shared" si="17"/>
        <v>0</v>
      </c>
      <c r="S52" s="52">
        <f ca="1">INDIRECT(ADDRESS(ROW(),2))*0</f>
        <v>0</v>
      </c>
      <c r="T52" s="62">
        <f ca="1" t="shared" si="17"/>
        <v>0</v>
      </c>
      <c r="U52" s="52">
        <f ca="1" t="shared" si="17"/>
        <v>0</v>
      </c>
      <c r="V52" s="52">
        <f ca="1" t="shared" si="17"/>
        <v>0</v>
      </c>
      <c r="W52" s="52">
        <f ca="1" t="shared" si="17"/>
        <v>0</v>
      </c>
      <c r="X52" s="52">
        <f ca="1" t="shared" si="17"/>
        <v>0</v>
      </c>
    </row>
    <row r="53" customHeight="1" spans="1:24">
      <c r="A53" s="6" t="s">
        <v>165</v>
      </c>
      <c r="B53" s="52">
        <f>COUNTIF($G$2:$G$13,A:A)</f>
        <v>0</v>
      </c>
      <c r="C53" s="52">
        <f ca="1" t="shared" si="12"/>
        <v>0</v>
      </c>
      <c r="D53" s="62">
        <f ca="1" t="shared" si="18"/>
        <v>0</v>
      </c>
      <c r="E53" s="52">
        <f ca="1" t="shared" si="18"/>
        <v>0</v>
      </c>
      <c r="F53" s="62">
        <f ca="1" t="shared" si="11"/>
        <v>0</v>
      </c>
      <c r="G53" s="52">
        <f ca="1" t="shared" si="11"/>
        <v>0</v>
      </c>
      <c r="H53" s="62">
        <f ca="1" t="shared" si="18"/>
        <v>0</v>
      </c>
      <c r="I53" s="52">
        <f ca="1" t="shared" si="13"/>
        <v>0</v>
      </c>
      <c r="J53" s="62">
        <f ca="1" t="shared" si="19"/>
        <v>0</v>
      </c>
      <c r="K53" s="52">
        <f ca="1" t="shared" si="19"/>
        <v>0</v>
      </c>
      <c r="L53" s="62">
        <f ca="1" t="shared" si="16"/>
        <v>0</v>
      </c>
      <c r="M53" s="52">
        <f ca="1" t="shared" si="16"/>
        <v>0</v>
      </c>
      <c r="N53" s="62">
        <f ca="1" t="shared" si="17"/>
        <v>0</v>
      </c>
      <c r="O53" s="52">
        <f ca="1" t="shared" si="17"/>
        <v>0</v>
      </c>
      <c r="P53" s="62">
        <f ca="1" t="shared" si="17"/>
        <v>0</v>
      </c>
      <c r="Q53" s="52">
        <f ca="1" t="shared" si="17"/>
        <v>0</v>
      </c>
      <c r="R53" s="62">
        <f ca="1" t="shared" si="17"/>
        <v>0</v>
      </c>
      <c r="S53" s="52">
        <f ca="1">INDIRECT(ADDRESS(ROW(),2))*171</f>
        <v>0</v>
      </c>
      <c r="T53" s="62">
        <f ca="1" t="shared" si="17"/>
        <v>0</v>
      </c>
      <c r="U53" s="52">
        <f ca="1" t="shared" si="17"/>
        <v>0</v>
      </c>
      <c r="V53" s="52">
        <f ca="1" t="shared" si="17"/>
        <v>0</v>
      </c>
      <c r="W53" s="52">
        <f ca="1" t="shared" si="17"/>
        <v>0</v>
      </c>
      <c r="X53" s="52">
        <f ca="1" t="shared" si="17"/>
        <v>0</v>
      </c>
    </row>
    <row r="54" customHeight="1" spans="1:24">
      <c r="A54" s="64" t="s">
        <v>166</v>
      </c>
      <c r="B54" s="52">
        <f>COUNTIF($G$2:$G$13,A:A)</f>
        <v>0</v>
      </c>
      <c r="C54" s="52">
        <f ca="1">INDIRECT(ADDRESS(ROW(),2))*42</f>
        <v>0</v>
      </c>
      <c r="D54" s="62">
        <f ca="1" t="shared" ref="D54:E76" si="20">INDIRECT(ADDRESS(ROW(),2))*0</f>
        <v>0</v>
      </c>
      <c r="E54" s="52">
        <f ca="1" t="shared" si="20"/>
        <v>0</v>
      </c>
      <c r="F54" s="62">
        <f ca="1" t="shared" ref="F54:G76" si="21">INDIRECT(ADDRESS(ROW(),2))*0</f>
        <v>0</v>
      </c>
      <c r="G54" s="52">
        <f ca="1">INDIRECT(ADDRESS(ROW(),2))*0</f>
        <v>0</v>
      </c>
      <c r="H54" s="62">
        <f ca="1" t="shared" ref="H54:I81" si="22">INDIRECT(ADDRESS(ROW(),2))*0</f>
        <v>0</v>
      </c>
      <c r="I54" s="52">
        <f ca="1" t="shared" si="13"/>
        <v>0</v>
      </c>
      <c r="J54" s="62">
        <f ca="1" t="shared" si="19"/>
        <v>0</v>
      </c>
      <c r="K54" s="52">
        <f ca="1" t="shared" si="19"/>
        <v>0</v>
      </c>
      <c r="L54" s="62">
        <f ca="1" t="shared" si="16"/>
        <v>0</v>
      </c>
      <c r="M54" s="52">
        <f ca="1" t="shared" si="16"/>
        <v>0</v>
      </c>
      <c r="N54" s="62">
        <f ca="1" t="shared" si="17"/>
        <v>0</v>
      </c>
      <c r="O54" s="52">
        <f ca="1" t="shared" si="17"/>
        <v>0</v>
      </c>
      <c r="P54" s="62">
        <f ca="1" t="shared" si="17"/>
        <v>0</v>
      </c>
      <c r="Q54" s="52">
        <f ca="1" t="shared" si="17"/>
        <v>0</v>
      </c>
      <c r="R54" s="62">
        <f ca="1" t="shared" si="17"/>
        <v>0</v>
      </c>
      <c r="S54" s="52">
        <f ca="1">INDIRECT(ADDRESS(ROW(),2))*0</f>
        <v>0</v>
      </c>
      <c r="T54" s="62">
        <f ca="1" t="shared" si="17"/>
        <v>0</v>
      </c>
      <c r="U54" s="52">
        <f ca="1" t="shared" si="17"/>
        <v>0</v>
      </c>
      <c r="V54" s="52">
        <f ca="1" t="shared" si="17"/>
        <v>0</v>
      </c>
      <c r="W54" s="52">
        <f ca="1" t="shared" si="17"/>
        <v>0</v>
      </c>
      <c r="X54" s="52">
        <f ca="1" t="shared" si="17"/>
        <v>0</v>
      </c>
    </row>
    <row r="55" customHeight="1" spans="1:24">
      <c r="A55" s="65" t="s">
        <v>171</v>
      </c>
      <c r="B55" s="52">
        <f>COUNTIF($G$2:$G$13,A:A)</f>
        <v>0</v>
      </c>
      <c r="C55" s="52">
        <f ca="1" t="shared" si="12"/>
        <v>0</v>
      </c>
      <c r="D55" s="62">
        <f ca="1">INDIRECT(ADDRESS(ROW(),2))*0</f>
        <v>0</v>
      </c>
      <c r="E55" s="52">
        <f ca="1" t="shared" si="20"/>
        <v>0</v>
      </c>
      <c r="F55" s="62">
        <f ca="1" t="shared" si="21"/>
        <v>0</v>
      </c>
      <c r="G55" s="52">
        <f ca="1" t="shared" si="11"/>
        <v>0</v>
      </c>
      <c r="H55" s="62">
        <f ca="1" t="shared" si="22"/>
        <v>0</v>
      </c>
      <c r="I55" s="52">
        <f ca="1" t="shared" si="13"/>
        <v>0</v>
      </c>
      <c r="J55" s="62">
        <f ca="1" t="shared" si="19"/>
        <v>0</v>
      </c>
      <c r="K55" s="52">
        <f ca="1" t="shared" si="19"/>
        <v>0</v>
      </c>
      <c r="L55" s="62">
        <f ca="1" t="shared" si="16"/>
        <v>0</v>
      </c>
      <c r="M55" s="52">
        <f ca="1" t="shared" si="16"/>
        <v>0</v>
      </c>
      <c r="N55" s="62">
        <f ca="1" t="shared" si="17"/>
        <v>0</v>
      </c>
      <c r="O55" s="52">
        <f ca="1" t="shared" si="17"/>
        <v>0</v>
      </c>
      <c r="P55" s="62">
        <f ca="1" t="shared" si="17"/>
        <v>0</v>
      </c>
      <c r="Q55" s="52">
        <f ca="1" t="shared" si="17"/>
        <v>0</v>
      </c>
      <c r="R55" s="62">
        <f ca="1" t="shared" si="17"/>
        <v>0</v>
      </c>
      <c r="S55" s="52">
        <f ca="1">INDIRECT(ADDRESS(ROW(),2))*133</f>
        <v>0</v>
      </c>
      <c r="T55" s="62">
        <f ca="1" t="shared" si="17"/>
        <v>0</v>
      </c>
      <c r="U55" s="52">
        <f ca="1" t="shared" si="17"/>
        <v>0</v>
      </c>
      <c r="V55" s="52">
        <f ca="1" t="shared" si="17"/>
        <v>0</v>
      </c>
      <c r="W55" s="52">
        <f ca="1" t="shared" si="17"/>
        <v>0</v>
      </c>
      <c r="X55" s="52">
        <f ca="1" t="shared" si="17"/>
        <v>0</v>
      </c>
    </row>
    <row r="56" customHeight="1" spans="1:24">
      <c r="A56" s="64" t="s">
        <v>172</v>
      </c>
      <c r="B56" s="52">
        <f>COUNTIF($G$2:$G$13,A:A)</f>
        <v>0</v>
      </c>
      <c r="C56" s="52">
        <f ca="1">INDIRECT(ADDRESS(ROW(),2))*33</f>
        <v>0</v>
      </c>
      <c r="D56" s="62">
        <f ca="1" t="shared" si="20"/>
        <v>0</v>
      </c>
      <c r="E56" s="52">
        <f ca="1" t="shared" si="20"/>
        <v>0</v>
      </c>
      <c r="F56" s="62">
        <f ca="1" t="shared" si="21"/>
        <v>0</v>
      </c>
      <c r="G56" s="52">
        <f ca="1" t="shared" si="11"/>
        <v>0</v>
      </c>
      <c r="H56" s="62">
        <f ca="1" t="shared" si="22"/>
        <v>0</v>
      </c>
      <c r="I56" s="52">
        <f ca="1" t="shared" si="13"/>
        <v>0</v>
      </c>
      <c r="J56" s="62">
        <f ca="1" t="shared" si="19"/>
        <v>0</v>
      </c>
      <c r="K56" s="52">
        <f ca="1" t="shared" si="19"/>
        <v>0</v>
      </c>
      <c r="L56" s="62">
        <f ca="1" t="shared" si="16"/>
        <v>0</v>
      </c>
      <c r="M56" s="52">
        <f ca="1" t="shared" si="16"/>
        <v>0</v>
      </c>
      <c r="N56" s="62">
        <f ca="1" t="shared" ref="N56:R69" si="23">INDIRECT(ADDRESS(ROW(),2))*0</f>
        <v>0</v>
      </c>
      <c r="O56" s="52">
        <f ca="1" t="shared" si="23"/>
        <v>0</v>
      </c>
      <c r="P56" s="62">
        <f ca="1" t="shared" si="23"/>
        <v>0</v>
      </c>
      <c r="Q56" s="52">
        <f ca="1" t="shared" si="23"/>
        <v>0</v>
      </c>
      <c r="R56" s="62">
        <f ca="1" t="shared" si="23"/>
        <v>0</v>
      </c>
      <c r="S56" s="52">
        <f ca="1">INDIRECT(ADDRESS(ROW(),2))*0</f>
        <v>0</v>
      </c>
      <c r="T56" s="62">
        <f ca="1" t="shared" ref="T56:X69" si="24">INDIRECT(ADDRESS(ROW(),2))*0</f>
        <v>0</v>
      </c>
      <c r="U56" s="52">
        <f ca="1" t="shared" si="24"/>
        <v>0</v>
      </c>
      <c r="V56" s="52">
        <f ca="1" t="shared" si="24"/>
        <v>0</v>
      </c>
      <c r="W56" s="52">
        <f ca="1" t="shared" si="24"/>
        <v>0</v>
      </c>
      <c r="X56" s="52">
        <f ca="1" t="shared" si="24"/>
        <v>0</v>
      </c>
    </row>
    <row r="57" customHeight="1" spans="3:24">
      <c r="C57" s="52">
        <f ca="1" t="shared" si="12"/>
        <v>0</v>
      </c>
      <c r="D57" s="62">
        <f ca="1" t="shared" si="20"/>
        <v>0</v>
      </c>
      <c r="E57" s="52">
        <f ca="1" t="shared" si="20"/>
        <v>0</v>
      </c>
      <c r="F57" s="62">
        <f ca="1" t="shared" si="21"/>
        <v>0</v>
      </c>
      <c r="G57" s="52">
        <f ca="1" t="shared" si="21"/>
        <v>0</v>
      </c>
      <c r="H57" s="62">
        <f ca="1" t="shared" si="22"/>
        <v>0</v>
      </c>
      <c r="I57" s="52">
        <f ca="1" t="shared" si="13"/>
        <v>0</v>
      </c>
      <c r="J57" s="62">
        <f ca="1" t="shared" si="19"/>
        <v>0</v>
      </c>
      <c r="K57" s="52">
        <f ca="1" t="shared" si="19"/>
        <v>0</v>
      </c>
      <c r="L57" s="62">
        <f ca="1" t="shared" si="16"/>
        <v>0</v>
      </c>
      <c r="M57" s="52">
        <f ca="1" t="shared" si="16"/>
        <v>0</v>
      </c>
      <c r="N57" s="62">
        <f ca="1" t="shared" si="23"/>
        <v>0</v>
      </c>
      <c r="O57" s="52">
        <f ca="1" t="shared" si="23"/>
        <v>0</v>
      </c>
      <c r="P57" s="62">
        <f ca="1" t="shared" si="23"/>
        <v>0</v>
      </c>
      <c r="Q57" s="52">
        <f ca="1" t="shared" si="23"/>
        <v>0</v>
      </c>
      <c r="R57" s="62">
        <f ca="1" t="shared" si="23"/>
        <v>0</v>
      </c>
      <c r="S57" s="52">
        <f ca="1">INDIRECT(ADDRESS(ROW(),2))*0</f>
        <v>0</v>
      </c>
      <c r="T57" s="62">
        <f ca="1" t="shared" si="24"/>
        <v>0</v>
      </c>
      <c r="U57" s="52">
        <f ca="1" t="shared" si="24"/>
        <v>0</v>
      </c>
      <c r="V57" s="52">
        <f ca="1" t="shared" si="24"/>
        <v>0</v>
      </c>
      <c r="W57" s="52">
        <f ca="1" t="shared" si="24"/>
        <v>0</v>
      </c>
      <c r="X57" s="52">
        <f ca="1" t="shared" si="24"/>
        <v>0</v>
      </c>
    </row>
    <row r="58" customHeight="1" spans="3:24">
      <c r="C58" s="52">
        <f ca="1" t="shared" si="12"/>
        <v>0</v>
      </c>
      <c r="D58" s="62">
        <f ca="1" t="shared" si="20"/>
        <v>0</v>
      </c>
      <c r="E58" s="52">
        <f ca="1" t="shared" si="20"/>
        <v>0</v>
      </c>
      <c r="F58" s="62">
        <f ca="1" t="shared" si="21"/>
        <v>0</v>
      </c>
      <c r="G58" s="52">
        <f ca="1" t="shared" si="21"/>
        <v>0</v>
      </c>
      <c r="H58" s="62">
        <f ca="1" t="shared" si="22"/>
        <v>0</v>
      </c>
      <c r="I58" s="52">
        <f ca="1" t="shared" si="13"/>
        <v>0</v>
      </c>
      <c r="J58" s="62">
        <f ca="1" t="shared" si="19"/>
        <v>0</v>
      </c>
      <c r="K58" s="52">
        <f ca="1" t="shared" si="19"/>
        <v>0</v>
      </c>
      <c r="L58" s="62">
        <f ca="1" t="shared" si="16"/>
        <v>0</v>
      </c>
      <c r="M58" s="52">
        <f ca="1" t="shared" si="16"/>
        <v>0</v>
      </c>
      <c r="N58" s="62">
        <f ca="1" t="shared" si="23"/>
        <v>0</v>
      </c>
      <c r="O58" s="52">
        <f ca="1" t="shared" si="23"/>
        <v>0</v>
      </c>
      <c r="P58" s="62">
        <f ca="1" t="shared" si="23"/>
        <v>0</v>
      </c>
      <c r="Q58" s="52">
        <f ca="1" t="shared" si="23"/>
        <v>0</v>
      </c>
      <c r="R58" s="62">
        <f ca="1" t="shared" si="23"/>
        <v>0</v>
      </c>
      <c r="S58" s="52">
        <f ca="1">INDIRECT(ADDRESS(ROW(),2))*0</f>
        <v>0</v>
      </c>
      <c r="T58" s="62">
        <f ca="1" t="shared" si="24"/>
        <v>0</v>
      </c>
      <c r="U58" s="52">
        <f ca="1" t="shared" si="24"/>
        <v>0</v>
      </c>
      <c r="V58" s="52">
        <f ca="1" t="shared" si="24"/>
        <v>0</v>
      </c>
      <c r="W58" s="52">
        <f ca="1" t="shared" si="24"/>
        <v>0</v>
      </c>
      <c r="X58" s="52">
        <f ca="1" t="shared" si="24"/>
        <v>0</v>
      </c>
    </row>
    <row r="59" customHeight="1" spans="3:24">
      <c r="C59" s="52">
        <f ca="1" t="shared" si="12"/>
        <v>0</v>
      </c>
      <c r="D59" s="62">
        <f ca="1" t="shared" si="20"/>
        <v>0</v>
      </c>
      <c r="E59" s="52">
        <f ca="1" t="shared" si="20"/>
        <v>0</v>
      </c>
      <c r="F59" s="62">
        <f ca="1" t="shared" si="21"/>
        <v>0</v>
      </c>
      <c r="G59" s="52">
        <f ca="1" t="shared" si="21"/>
        <v>0</v>
      </c>
      <c r="H59" s="62">
        <f ca="1" t="shared" si="22"/>
        <v>0</v>
      </c>
      <c r="I59" s="52">
        <f ca="1" t="shared" si="13"/>
        <v>0</v>
      </c>
      <c r="J59" s="62">
        <f ca="1" t="shared" si="19"/>
        <v>0</v>
      </c>
      <c r="K59" s="52">
        <f ca="1" t="shared" si="19"/>
        <v>0</v>
      </c>
      <c r="L59" s="62">
        <f ca="1" t="shared" si="16"/>
        <v>0</v>
      </c>
      <c r="M59" s="52">
        <f ca="1" t="shared" si="16"/>
        <v>0</v>
      </c>
      <c r="N59" s="62">
        <f ca="1" t="shared" si="23"/>
        <v>0</v>
      </c>
      <c r="O59" s="52">
        <f ca="1" t="shared" si="23"/>
        <v>0</v>
      </c>
      <c r="P59" s="62">
        <f ca="1" t="shared" si="23"/>
        <v>0</v>
      </c>
      <c r="Q59" s="52">
        <f ca="1" t="shared" si="23"/>
        <v>0</v>
      </c>
      <c r="R59" s="62">
        <f ca="1" t="shared" si="23"/>
        <v>0</v>
      </c>
      <c r="S59" s="52">
        <f ca="1">INDIRECT(ADDRESS(ROW(),2))*0</f>
        <v>0</v>
      </c>
      <c r="T59" s="62">
        <f ca="1" t="shared" si="24"/>
        <v>0</v>
      </c>
      <c r="U59" s="52">
        <f ca="1" t="shared" si="24"/>
        <v>0</v>
      </c>
      <c r="V59" s="52">
        <f ca="1" t="shared" si="24"/>
        <v>0</v>
      </c>
      <c r="W59" s="52">
        <f ca="1" t="shared" si="24"/>
        <v>0</v>
      </c>
      <c r="X59" s="52">
        <f ca="1" t="shared" si="24"/>
        <v>0</v>
      </c>
    </row>
    <row r="60" customHeight="1" spans="3:24">
      <c r="C60" s="52">
        <f ca="1" t="shared" si="12"/>
        <v>0</v>
      </c>
      <c r="D60" s="62">
        <f ca="1" t="shared" si="20"/>
        <v>0</v>
      </c>
      <c r="E60" s="52">
        <f ca="1" t="shared" si="20"/>
        <v>0</v>
      </c>
      <c r="F60" s="62">
        <f ca="1" t="shared" si="21"/>
        <v>0</v>
      </c>
      <c r="G60" s="52">
        <f ca="1">INDIRECT(ADDRESS(ROW(),2))*0</f>
        <v>0</v>
      </c>
      <c r="H60" s="62">
        <f ca="1" t="shared" si="22"/>
        <v>0</v>
      </c>
      <c r="I60" s="52">
        <f ca="1" t="shared" si="13"/>
        <v>0</v>
      </c>
      <c r="J60" s="62">
        <f ca="1" t="shared" si="19"/>
        <v>0</v>
      </c>
      <c r="K60" s="52">
        <f ca="1" t="shared" si="19"/>
        <v>0</v>
      </c>
      <c r="L60" s="62">
        <f ca="1" t="shared" si="16"/>
        <v>0</v>
      </c>
      <c r="M60" s="52">
        <f ca="1" t="shared" si="16"/>
        <v>0</v>
      </c>
      <c r="N60" s="62">
        <f ca="1" t="shared" si="23"/>
        <v>0</v>
      </c>
      <c r="O60" s="52">
        <f ca="1" t="shared" si="23"/>
        <v>0</v>
      </c>
      <c r="P60" s="62">
        <f ca="1" t="shared" si="23"/>
        <v>0</v>
      </c>
      <c r="Q60" s="52">
        <f ca="1" t="shared" si="23"/>
        <v>0</v>
      </c>
      <c r="R60" s="62">
        <f ca="1" t="shared" si="23"/>
        <v>0</v>
      </c>
      <c r="S60" s="52">
        <f ca="1" t="shared" ref="S60:S66" si="25">INDIRECT(ADDRESS(ROW(),2))*0</f>
        <v>0</v>
      </c>
      <c r="T60" s="62">
        <f ca="1" t="shared" si="24"/>
        <v>0</v>
      </c>
      <c r="U60" s="52">
        <f ca="1" t="shared" si="24"/>
        <v>0</v>
      </c>
      <c r="V60" s="52">
        <f ca="1" t="shared" si="24"/>
        <v>0</v>
      </c>
      <c r="W60" s="52">
        <f ca="1" t="shared" si="24"/>
        <v>0</v>
      </c>
      <c r="X60" s="52">
        <f ca="1" t="shared" si="24"/>
        <v>0</v>
      </c>
    </row>
    <row r="61" customHeight="1" spans="1:24">
      <c r="A61" s="52" t="s">
        <v>252</v>
      </c>
      <c r="B61" s="52" t="b">
        <f>E17</f>
        <v>1</v>
      </c>
      <c r="C61" s="52">
        <f ca="1" t="shared" si="12"/>
        <v>0</v>
      </c>
      <c r="D61" s="62">
        <f ca="1" t="shared" si="20"/>
        <v>0</v>
      </c>
      <c r="E61" s="52">
        <f ca="1" t="shared" si="20"/>
        <v>0</v>
      </c>
      <c r="F61" s="62">
        <f ca="1" t="shared" si="21"/>
        <v>0</v>
      </c>
      <c r="G61" s="52">
        <f ca="1" t="shared" ref="G60:G64" si="26">INDIRECT(ADDRESS(ROW(),2))*0</f>
        <v>0</v>
      </c>
      <c r="H61" s="62">
        <f ca="1" t="shared" si="22"/>
        <v>0</v>
      </c>
      <c r="I61" s="52">
        <f ca="1" t="shared" si="22"/>
        <v>0</v>
      </c>
      <c r="J61" s="62">
        <f ca="1" t="shared" si="19"/>
        <v>0</v>
      </c>
      <c r="K61" s="52">
        <f ca="1" t="shared" si="19"/>
        <v>0</v>
      </c>
      <c r="L61" s="62">
        <f ca="1" t="shared" ref="L61:L79" si="27">INDIRECT(ADDRESS(ROW(),2))*0</f>
        <v>0</v>
      </c>
      <c r="M61" s="52">
        <f ca="1" t="shared" si="16"/>
        <v>0</v>
      </c>
      <c r="N61" s="62">
        <f ca="1" t="shared" si="23"/>
        <v>0</v>
      </c>
      <c r="O61" s="52">
        <f ca="1" t="shared" si="23"/>
        <v>0</v>
      </c>
      <c r="P61" s="62">
        <f ca="1" t="shared" si="23"/>
        <v>0</v>
      </c>
      <c r="Q61" s="52">
        <f ca="1" t="shared" si="23"/>
        <v>0</v>
      </c>
      <c r="R61" s="62">
        <f ca="1" t="shared" si="23"/>
        <v>0</v>
      </c>
      <c r="S61" s="52">
        <f ca="1" t="shared" si="25"/>
        <v>0</v>
      </c>
      <c r="T61" s="62">
        <f ca="1" t="shared" si="24"/>
        <v>0</v>
      </c>
      <c r="U61" s="52">
        <f ca="1" t="shared" si="24"/>
        <v>0</v>
      </c>
      <c r="V61" s="52">
        <f ca="1">INDIRECT(ADDRESS(ROW(),2))*3.8%*8/G5*(INT((G5/60)*2))</f>
        <v>0.0101333333333333</v>
      </c>
      <c r="W61" s="52">
        <f ca="1" t="shared" si="24"/>
        <v>0</v>
      </c>
      <c r="X61" s="52">
        <f ca="1" t="shared" si="24"/>
        <v>0</v>
      </c>
    </row>
    <row r="62" customHeight="1" spans="3:24">
      <c r="C62" s="52">
        <f ca="1" t="shared" si="12"/>
        <v>0</v>
      </c>
      <c r="D62" s="62">
        <f ca="1" t="shared" si="20"/>
        <v>0</v>
      </c>
      <c r="E62" s="52">
        <f ca="1" t="shared" si="20"/>
        <v>0</v>
      </c>
      <c r="F62" s="62">
        <f ca="1" t="shared" si="21"/>
        <v>0</v>
      </c>
      <c r="G62" s="52">
        <f ca="1" t="shared" si="26"/>
        <v>0</v>
      </c>
      <c r="H62" s="62">
        <f ca="1" t="shared" si="22"/>
        <v>0</v>
      </c>
      <c r="I62" s="52">
        <f ca="1" t="shared" si="22"/>
        <v>0</v>
      </c>
      <c r="J62" s="62">
        <f ca="1" t="shared" si="19"/>
        <v>0</v>
      </c>
      <c r="K62" s="52">
        <f ca="1" t="shared" si="19"/>
        <v>0</v>
      </c>
      <c r="L62" s="62">
        <f ca="1" t="shared" si="27"/>
        <v>0</v>
      </c>
      <c r="M62" s="52">
        <f ca="1" t="shared" si="16"/>
        <v>0</v>
      </c>
      <c r="N62" s="62">
        <f ca="1" t="shared" si="23"/>
        <v>0</v>
      </c>
      <c r="O62" s="52">
        <f ca="1" t="shared" si="23"/>
        <v>0</v>
      </c>
      <c r="P62" s="62">
        <f ca="1" t="shared" si="23"/>
        <v>0</v>
      </c>
      <c r="Q62" s="52">
        <f ca="1" t="shared" si="23"/>
        <v>0</v>
      </c>
      <c r="R62" s="62">
        <f ca="1" t="shared" si="23"/>
        <v>0</v>
      </c>
      <c r="S62" s="52">
        <f ca="1" t="shared" si="25"/>
        <v>0</v>
      </c>
      <c r="T62" s="62">
        <f ca="1" t="shared" si="24"/>
        <v>0</v>
      </c>
      <c r="U62" s="52">
        <f ca="1" t="shared" si="24"/>
        <v>0</v>
      </c>
      <c r="V62" s="52">
        <f ca="1" t="shared" si="24"/>
        <v>0</v>
      </c>
      <c r="W62" s="52">
        <f ca="1" t="shared" si="24"/>
        <v>0</v>
      </c>
      <c r="X62" s="52">
        <f ca="1" t="shared" si="24"/>
        <v>0</v>
      </c>
    </row>
    <row r="63" customHeight="1" spans="1:24">
      <c r="A63" s="52" t="s">
        <v>214</v>
      </c>
      <c r="B63" s="52" t="b">
        <f>B24</f>
        <v>0</v>
      </c>
      <c r="C63" s="52">
        <f ca="1" t="shared" si="12"/>
        <v>0</v>
      </c>
      <c r="D63" s="62">
        <f ca="1" t="shared" si="20"/>
        <v>0</v>
      </c>
      <c r="E63" s="52">
        <f ca="1" t="shared" si="20"/>
        <v>0</v>
      </c>
      <c r="F63" s="62">
        <f ca="1" t="shared" si="21"/>
        <v>0</v>
      </c>
      <c r="G63" s="52">
        <f ca="1">INDIRECT(ADDRESS(ROW(),2))*130</f>
        <v>0</v>
      </c>
      <c r="H63" s="62">
        <f ca="1" t="shared" si="22"/>
        <v>0</v>
      </c>
      <c r="I63" s="52">
        <f ca="1" t="shared" si="22"/>
        <v>0</v>
      </c>
      <c r="J63" s="62">
        <f ca="1" t="shared" si="19"/>
        <v>0</v>
      </c>
      <c r="K63" s="52">
        <f ca="1" t="shared" ref="K63:K76" si="28">INDIRECT(ADDRESS(ROW(),2))*0</f>
        <v>0</v>
      </c>
      <c r="L63" s="62">
        <f ca="1" t="shared" si="27"/>
        <v>0</v>
      </c>
      <c r="M63" s="52">
        <f ca="1" t="shared" si="16"/>
        <v>0</v>
      </c>
      <c r="N63" s="62">
        <f ca="1" t="shared" si="23"/>
        <v>0</v>
      </c>
      <c r="O63" s="52">
        <f ca="1" t="shared" si="23"/>
        <v>0</v>
      </c>
      <c r="P63" s="62">
        <f ca="1" t="shared" si="23"/>
        <v>0</v>
      </c>
      <c r="Q63" s="52">
        <f ca="1" t="shared" si="23"/>
        <v>0</v>
      </c>
      <c r="R63" s="62">
        <f ca="1" t="shared" si="23"/>
        <v>0</v>
      </c>
      <c r="S63" s="52">
        <f ca="1" t="shared" si="25"/>
        <v>0</v>
      </c>
      <c r="T63" s="62">
        <f ca="1" t="shared" si="24"/>
        <v>0</v>
      </c>
      <c r="U63" s="52">
        <f ca="1" t="shared" si="24"/>
        <v>0</v>
      </c>
      <c r="V63" s="52">
        <f ca="1" t="shared" si="24"/>
        <v>0</v>
      </c>
      <c r="W63" s="52">
        <f ca="1" t="shared" si="24"/>
        <v>0</v>
      </c>
      <c r="X63" s="52">
        <f ca="1" t="shared" si="24"/>
        <v>0</v>
      </c>
    </row>
    <row r="64" customHeight="1" spans="3:24">
      <c r="C64" s="52">
        <f ca="1" t="shared" si="12"/>
        <v>0</v>
      </c>
      <c r="D64" s="62">
        <f ca="1" t="shared" si="20"/>
        <v>0</v>
      </c>
      <c r="E64" s="52">
        <f ca="1" t="shared" si="20"/>
        <v>0</v>
      </c>
      <c r="F64" s="62">
        <f ca="1" t="shared" si="21"/>
        <v>0</v>
      </c>
      <c r="G64" s="52">
        <f ca="1" t="shared" si="26"/>
        <v>0</v>
      </c>
      <c r="H64" s="62">
        <f ca="1" t="shared" si="22"/>
        <v>0</v>
      </c>
      <c r="I64" s="52">
        <f ca="1" t="shared" si="22"/>
        <v>0</v>
      </c>
      <c r="J64" s="62">
        <f ca="1" t="shared" si="19"/>
        <v>0</v>
      </c>
      <c r="K64" s="52">
        <f ca="1" t="shared" si="28"/>
        <v>0</v>
      </c>
      <c r="L64" s="62">
        <f ca="1" t="shared" si="27"/>
        <v>0</v>
      </c>
      <c r="M64" s="52">
        <f ca="1" t="shared" si="16"/>
        <v>0</v>
      </c>
      <c r="N64" s="62">
        <f ca="1" t="shared" ref="N64:P64" si="29">INDIRECT(ADDRESS(ROW(),2))*0</f>
        <v>0</v>
      </c>
      <c r="O64" s="52">
        <f ca="1" t="shared" si="29"/>
        <v>0</v>
      </c>
      <c r="P64" s="62">
        <f ca="1" t="shared" si="29"/>
        <v>0</v>
      </c>
      <c r="Q64" s="52">
        <f ca="1" t="shared" si="23"/>
        <v>0</v>
      </c>
      <c r="R64" s="62">
        <f ca="1" t="shared" si="23"/>
        <v>0</v>
      </c>
      <c r="S64" s="52">
        <f ca="1" t="shared" si="25"/>
        <v>0</v>
      </c>
      <c r="T64" s="62">
        <f ca="1" t="shared" si="24"/>
        <v>0</v>
      </c>
      <c r="U64" s="52">
        <f ca="1" t="shared" si="24"/>
        <v>0</v>
      </c>
      <c r="V64" s="52">
        <f ca="1" t="shared" si="24"/>
        <v>0</v>
      </c>
      <c r="W64" s="52">
        <f ca="1" t="shared" si="24"/>
        <v>0</v>
      </c>
      <c r="X64" s="52">
        <f ca="1" t="shared" si="24"/>
        <v>0</v>
      </c>
    </row>
    <row r="65" customHeight="1" spans="3:24">
      <c r="C65" s="52">
        <f ca="1" t="shared" si="12"/>
        <v>0</v>
      </c>
      <c r="D65" s="62">
        <f ca="1" t="shared" si="20"/>
        <v>0</v>
      </c>
      <c r="E65" s="52">
        <f ca="1" t="shared" si="20"/>
        <v>0</v>
      </c>
      <c r="F65" s="62">
        <f ca="1" t="shared" si="21"/>
        <v>0</v>
      </c>
      <c r="G65" s="52">
        <f ca="1">INDIRECT(ADDRESS(ROW(),2))*94</f>
        <v>0</v>
      </c>
      <c r="H65" s="62">
        <f ca="1" t="shared" si="22"/>
        <v>0</v>
      </c>
      <c r="I65" s="52">
        <f ca="1" t="shared" si="22"/>
        <v>0</v>
      </c>
      <c r="J65" s="62">
        <f ca="1" t="shared" si="19"/>
        <v>0</v>
      </c>
      <c r="K65" s="52">
        <f ca="1" t="shared" si="28"/>
        <v>0</v>
      </c>
      <c r="L65" s="62">
        <f ca="1" t="shared" si="27"/>
        <v>0</v>
      </c>
      <c r="M65" s="52">
        <f ca="1" t="shared" ref="M65:M100" si="30">INDIRECT(ADDRESS(ROW(),2))*0</f>
        <v>0</v>
      </c>
      <c r="N65" s="62">
        <f ca="1" t="shared" si="23"/>
        <v>0</v>
      </c>
      <c r="O65" s="52">
        <f ca="1">INDIRECT(ADDRESS(ROW(),2))*0</f>
        <v>0</v>
      </c>
      <c r="P65" s="62">
        <f ca="1" t="shared" si="23"/>
        <v>0</v>
      </c>
      <c r="Q65" s="52">
        <f ca="1" t="shared" si="23"/>
        <v>0</v>
      </c>
      <c r="R65" s="62">
        <f ca="1" t="shared" si="23"/>
        <v>0</v>
      </c>
      <c r="S65" s="52">
        <f ca="1" t="shared" si="25"/>
        <v>0</v>
      </c>
      <c r="T65" s="62">
        <f ca="1" t="shared" si="24"/>
        <v>0</v>
      </c>
      <c r="U65" s="52">
        <f ca="1" t="shared" si="24"/>
        <v>0</v>
      </c>
      <c r="V65" s="52">
        <f ca="1" t="shared" si="24"/>
        <v>0</v>
      </c>
      <c r="W65" s="52">
        <f ca="1" t="shared" si="24"/>
        <v>0</v>
      </c>
      <c r="X65" s="52">
        <f ca="1" t="shared" si="24"/>
        <v>0</v>
      </c>
    </row>
    <row r="66" customHeight="1" spans="2:24">
      <c r="B66" s="52">
        <f>E15</f>
        <v>0</v>
      </c>
      <c r="C66" s="52">
        <f ca="1" t="shared" si="12"/>
        <v>0</v>
      </c>
      <c r="D66" s="62">
        <f ca="1" t="shared" si="20"/>
        <v>0</v>
      </c>
      <c r="E66" s="52">
        <f ca="1" t="shared" si="20"/>
        <v>0</v>
      </c>
      <c r="F66" s="62">
        <f ca="1" t="shared" si="21"/>
        <v>0</v>
      </c>
      <c r="G66" s="52">
        <f ca="1">INDIRECT(ADDRESS(ROW(),2))*0</f>
        <v>0</v>
      </c>
      <c r="H66" s="62">
        <f ca="1" t="shared" si="22"/>
        <v>0</v>
      </c>
      <c r="I66" s="52">
        <f ca="1" t="shared" si="22"/>
        <v>0</v>
      </c>
      <c r="J66" s="62">
        <f ca="1" t="shared" si="19"/>
        <v>0</v>
      </c>
      <c r="K66" s="52">
        <f ca="1" t="shared" si="28"/>
        <v>0</v>
      </c>
      <c r="L66" s="62">
        <f ca="1" t="shared" si="27"/>
        <v>0</v>
      </c>
      <c r="M66" s="52">
        <f ca="1" t="shared" si="30"/>
        <v>0</v>
      </c>
      <c r="N66" s="62">
        <f ca="1" t="shared" si="23"/>
        <v>0</v>
      </c>
      <c r="O66" s="52">
        <f ca="1" t="shared" si="23"/>
        <v>0</v>
      </c>
      <c r="P66" s="62">
        <f ca="1" t="shared" si="23"/>
        <v>0</v>
      </c>
      <c r="Q66" s="52">
        <f ca="1" t="shared" si="23"/>
        <v>0</v>
      </c>
      <c r="R66" s="62">
        <f ca="1" t="shared" si="23"/>
        <v>0</v>
      </c>
      <c r="S66" s="52">
        <f ca="1">INDIRECT(ADDRESS(ROW(),2))*207</f>
        <v>0</v>
      </c>
      <c r="T66" s="62">
        <f ca="1" t="shared" si="24"/>
        <v>0</v>
      </c>
      <c r="U66" s="52">
        <f ca="1" t="shared" si="24"/>
        <v>0</v>
      </c>
      <c r="V66" s="52">
        <f ca="1" t="shared" si="24"/>
        <v>0</v>
      </c>
      <c r="W66" s="52">
        <f ca="1" t="shared" si="24"/>
        <v>0</v>
      </c>
      <c r="X66" s="52">
        <f ca="1" t="shared" si="24"/>
        <v>0</v>
      </c>
    </row>
    <row r="67" customHeight="1" spans="3:24">
      <c r="C67" s="52">
        <f ca="1" t="shared" si="12"/>
        <v>0</v>
      </c>
      <c r="D67" s="62">
        <f ca="1" t="shared" si="20"/>
        <v>0</v>
      </c>
      <c r="E67" s="52">
        <f ca="1" t="shared" si="20"/>
        <v>0</v>
      </c>
      <c r="F67" s="62">
        <f ca="1" t="shared" si="21"/>
        <v>0</v>
      </c>
      <c r="G67" s="52">
        <f ca="1" t="shared" ref="G67:G70" si="31">INDIRECT(ADDRESS(ROW(),2))*0</f>
        <v>0</v>
      </c>
      <c r="H67" s="62">
        <f ca="1" t="shared" si="22"/>
        <v>0</v>
      </c>
      <c r="I67" s="52">
        <f ca="1" t="shared" si="22"/>
        <v>0</v>
      </c>
      <c r="J67" s="62">
        <f ca="1" t="shared" si="19"/>
        <v>0</v>
      </c>
      <c r="K67" s="52">
        <f ca="1" t="shared" si="28"/>
        <v>0</v>
      </c>
      <c r="L67" s="62">
        <f ca="1" t="shared" si="27"/>
        <v>0</v>
      </c>
      <c r="M67" s="52">
        <f ca="1" t="shared" si="30"/>
        <v>0</v>
      </c>
      <c r="N67" s="62">
        <f ca="1" t="shared" si="23"/>
        <v>0</v>
      </c>
      <c r="O67" s="52">
        <f ca="1" t="shared" si="23"/>
        <v>0</v>
      </c>
      <c r="P67" s="62">
        <f ca="1" t="shared" si="23"/>
        <v>0</v>
      </c>
      <c r="Q67" s="52">
        <f ca="1" t="shared" si="23"/>
        <v>0</v>
      </c>
      <c r="R67" s="62">
        <f ca="1" t="shared" si="23"/>
        <v>0</v>
      </c>
      <c r="S67" s="52">
        <f ca="1">INDIRECT(ADDRESS(ROW(),2))*125</f>
        <v>0</v>
      </c>
      <c r="T67" s="62">
        <f ca="1" t="shared" si="24"/>
        <v>0</v>
      </c>
      <c r="U67" s="52">
        <f ca="1" t="shared" si="24"/>
        <v>0</v>
      </c>
      <c r="V67" s="52">
        <f ca="1" t="shared" si="24"/>
        <v>0</v>
      </c>
      <c r="W67" s="52">
        <f ca="1" t="shared" si="24"/>
        <v>0</v>
      </c>
      <c r="X67" s="52">
        <f ca="1" t="shared" si="24"/>
        <v>0</v>
      </c>
    </row>
    <row r="68" customHeight="1" spans="3:24">
      <c r="C68" s="52">
        <f ca="1" t="shared" si="12"/>
        <v>0</v>
      </c>
      <c r="D68" s="62">
        <f ca="1" t="shared" si="20"/>
        <v>0</v>
      </c>
      <c r="E68" s="52">
        <f ca="1" t="shared" si="20"/>
        <v>0</v>
      </c>
      <c r="F68" s="62">
        <f ca="1" t="shared" si="21"/>
        <v>0</v>
      </c>
      <c r="G68" s="52">
        <f ca="1" t="shared" si="31"/>
        <v>0</v>
      </c>
      <c r="H68" s="62">
        <f ca="1" t="shared" si="22"/>
        <v>0</v>
      </c>
      <c r="I68" s="52">
        <f ca="1" t="shared" si="22"/>
        <v>0</v>
      </c>
      <c r="J68" s="62">
        <f ca="1" t="shared" si="19"/>
        <v>0</v>
      </c>
      <c r="K68" s="52">
        <f ca="1" t="shared" si="28"/>
        <v>0</v>
      </c>
      <c r="L68" s="62">
        <f ca="1" t="shared" si="27"/>
        <v>0</v>
      </c>
      <c r="M68" s="52">
        <f ca="1" t="shared" si="30"/>
        <v>0</v>
      </c>
      <c r="N68" s="62">
        <f ca="1" t="shared" ref="N68:R79" si="32">INDIRECT(ADDRESS(ROW(),2))*0</f>
        <v>0</v>
      </c>
      <c r="O68" s="52">
        <f ca="1" t="shared" si="32"/>
        <v>0</v>
      </c>
      <c r="P68" s="62">
        <f ca="1" t="shared" si="32"/>
        <v>0</v>
      </c>
      <c r="Q68" s="52">
        <f ca="1" t="shared" si="32"/>
        <v>0</v>
      </c>
      <c r="R68" s="62">
        <f ca="1" t="shared" si="32"/>
        <v>0</v>
      </c>
      <c r="S68" s="52">
        <f ca="1">INDIRECT(ADDRESS(ROW(),2))*111</f>
        <v>0</v>
      </c>
      <c r="T68" s="62">
        <f ca="1" t="shared" ref="T68:X78" si="33">INDIRECT(ADDRESS(ROW(),2))*0</f>
        <v>0</v>
      </c>
      <c r="U68" s="52">
        <f ca="1" t="shared" si="33"/>
        <v>0</v>
      </c>
      <c r="V68" s="52">
        <f ca="1" t="shared" si="33"/>
        <v>0</v>
      </c>
      <c r="W68" s="52">
        <f ca="1" t="shared" si="33"/>
        <v>0</v>
      </c>
      <c r="X68" s="52">
        <f ca="1" t="shared" si="33"/>
        <v>0</v>
      </c>
    </row>
    <row r="69" customHeight="1" spans="1:24">
      <c r="A69" s="4"/>
      <c r="C69" s="52">
        <f ca="1" t="shared" si="12"/>
        <v>0</v>
      </c>
      <c r="D69" s="62">
        <f ca="1" t="shared" si="20"/>
        <v>0</v>
      </c>
      <c r="E69" s="52">
        <f ca="1" t="shared" si="20"/>
        <v>0</v>
      </c>
      <c r="F69" s="62">
        <f ca="1" t="shared" si="21"/>
        <v>0</v>
      </c>
      <c r="G69" s="52">
        <f ca="1">INDIRECT(ADDRESS(ROW(),2))*114</f>
        <v>0</v>
      </c>
      <c r="H69" s="62">
        <f ca="1" t="shared" si="22"/>
        <v>0</v>
      </c>
      <c r="I69" s="52">
        <f ca="1" t="shared" si="22"/>
        <v>0</v>
      </c>
      <c r="J69" s="62">
        <f ca="1" t="shared" si="19"/>
        <v>0</v>
      </c>
      <c r="K69" s="52">
        <f ca="1">INDIRECT(ADDRESS(ROW(),2))*153</f>
        <v>0</v>
      </c>
      <c r="L69" s="62">
        <f ca="1" t="shared" si="27"/>
        <v>0</v>
      </c>
      <c r="M69" s="52">
        <f ca="1" t="shared" si="30"/>
        <v>0</v>
      </c>
      <c r="N69" s="62">
        <f ca="1" t="shared" si="23"/>
        <v>0</v>
      </c>
      <c r="O69" s="52">
        <f ca="1" t="shared" si="23"/>
        <v>0</v>
      </c>
      <c r="P69" s="62">
        <f ca="1" t="shared" si="23"/>
        <v>0</v>
      </c>
      <c r="Q69" s="52">
        <f ca="1" t="shared" si="23"/>
        <v>0</v>
      </c>
      <c r="R69" s="62">
        <f ca="1" t="shared" si="23"/>
        <v>0</v>
      </c>
      <c r="S69" s="52">
        <f ca="1">INDIRECT(ADDRESS(ROW(),2))*0</f>
        <v>0</v>
      </c>
      <c r="T69" s="62">
        <f ca="1" t="shared" si="24"/>
        <v>0</v>
      </c>
      <c r="U69" s="52">
        <f ca="1" t="shared" si="24"/>
        <v>0</v>
      </c>
      <c r="V69" s="52">
        <f ca="1" t="shared" si="24"/>
        <v>0</v>
      </c>
      <c r="W69" s="52">
        <f ca="1" t="shared" si="24"/>
        <v>0</v>
      </c>
      <c r="X69" s="52">
        <f ca="1" t="shared" si="24"/>
        <v>0</v>
      </c>
    </row>
    <row r="70" customHeight="1" spans="1:24">
      <c r="A70" s="4"/>
      <c r="C70" s="52">
        <f ca="1" t="shared" si="12"/>
        <v>0</v>
      </c>
      <c r="D70" s="62">
        <f ca="1" t="shared" si="20"/>
        <v>0</v>
      </c>
      <c r="E70" s="52">
        <f ca="1" t="shared" si="20"/>
        <v>0</v>
      </c>
      <c r="F70" s="62">
        <f ca="1" t="shared" si="21"/>
        <v>0</v>
      </c>
      <c r="G70" s="52">
        <f ca="1" t="shared" si="31"/>
        <v>0</v>
      </c>
      <c r="H70" s="62">
        <f ca="1" t="shared" si="22"/>
        <v>0</v>
      </c>
      <c r="I70" s="52">
        <f ca="1" t="shared" si="22"/>
        <v>0</v>
      </c>
      <c r="J70" s="62">
        <f ca="1" t="shared" si="19"/>
        <v>0</v>
      </c>
      <c r="K70" s="52">
        <f ca="1" t="shared" si="28"/>
        <v>0</v>
      </c>
      <c r="L70" s="62">
        <f ca="1" t="shared" si="27"/>
        <v>0</v>
      </c>
      <c r="M70" s="52">
        <f ca="1">INDIRECT(ADDRESS(ROW(),2))*153</f>
        <v>0</v>
      </c>
      <c r="N70" s="62">
        <f ca="1" t="shared" si="32"/>
        <v>0</v>
      </c>
      <c r="O70" s="52">
        <f ca="1" t="shared" si="32"/>
        <v>0</v>
      </c>
      <c r="P70" s="62">
        <f ca="1" t="shared" si="32"/>
        <v>0</v>
      </c>
      <c r="Q70" s="52">
        <f ca="1" t="shared" si="32"/>
        <v>0</v>
      </c>
      <c r="R70" s="62">
        <f ca="1" t="shared" si="32"/>
        <v>0</v>
      </c>
      <c r="S70" s="52">
        <f ca="1">INDIRECT(ADDRESS(ROW(),2))*0</f>
        <v>0</v>
      </c>
      <c r="T70" s="62">
        <f ca="1" t="shared" si="33"/>
        <v>0</v>
      </c>
      <c r="U70" s="52">
        <f ca="1" t="shared" si="33"/>
        <v>0</v>
      </c>
      <c r="V70" s="52">
        <f ca="1" t="shared" si="33"/>
        <v>0</v>
      </c>
      <c r="W70" s="52">
        <f ca="1" t="shared" si="33"/>
        <v>0</v>
      </c>
      <c r="X70" s="52">
        <f ca="1" t="shared" si="33"/>
        <v>0</v>
      </c>
    </row>
    <row r="71" ht="18.75" customHeight="1" spans="3:24">
      <c r="C71" s="52">
        <f ca="1" t="shared" si="12"/>
        <v>0</v>
      </c>
      <c r="D71" s="62">
        <f ca="1" t="shared" si="20"/>
        <v>0</v>
      </c>
      <c r="E71" s="52">
        <f ca="1" t="shared" si="20"/>
        <v>0</v>
      </c>
      <c r="F71" s="62">
        <f ca="1" t="shared" si="21"/>
        <v>0</v>
      </c>
      <c r="G71" s="52">
        <f ca="1">INDIRECT(ADDRESS(ROW(),2))*62</f>
        <v>0</v>
      </c>
      <c r="H71" s="62">
        <f ca="1" t="shared" si="22"/>
        <v>0</v>
      </c>
      <c r="I71" s="52">
        <f ca="1" t="shared" si="22"/>
        <v>0</v>
      </c>
      <c r="J71" s="62">
        <f ca="1" t="shared" si="19"/>
        <v>0</v>
      </c>
      <c r="K71" s="52">
        <f ca="1" t="shared" si="28"/>
        <v>0</v>
      </c>
      <c r="L71" s="62">
        <f ca="1" t="shared" si="27"/>
        <v>0</v>
      </c>
      <c r="M71" s="52">
        <f ca="1">INDIRECT(ADDRESS(ROW(),2))*0</f>
        <v>0</v>
      </c>
      <c r="N71" s="62">
        <f ca="1" t="shared" si="32"/>
        <v>0</v>
      </c>
      <c r="O71" s="52">
        <f ca="1" t="shared" si="32"/>
        <v>0</v>
      </c>
      <c r="P71" s="62">
        <f ca="1" t="shared" si="32"/>
        <v>0</v>
      </c>
      <c r="Q71" s="52">
        <f ca="1" t="shared" si="32"/>
        <v>0</v>
      </c>
      <c r="R71" s="62">
        <f ca="1" t="shared" si="32"/>
        <v>0</v>
      </c>
      <c r="S71" s="52">
        <f ca="1" t="shared" ref="S71:S93" si="34">INDIRECT(ADDRESS(ROW(),2))*0</f>
        <v>0</v>
      </c>
      <c r="T71" s="62">
        <f ca="1" t="shared" si="33"/>
        <v>0</v>
      </c>
      <c r="U71" s="52">
        <f ca="1" t="shared" si="33"/>
        <v>0</v>
      </c>
      <c r="V71" s="52">
        <f ca="1" t="shared" si="33"/>
        <v>0</v>
      </c>
      <c r="W71" s="52">
        <f ca="1" t="shared" si="33"/>
        <v>0</v>
      </c>
      <c r="X71" s="52">
        <f ca="1" t="shared" si="33"/>
        <v>0</v>
      </c>
    </row>
    <row r="72" customHeight="1" spans="3:24">
      <c r="C72" s="52">
        <f ca="1" t="shared" si="12"/>
        <v>0</v>
      </c>
      <c r="D72" s="62">
        <f ca="1" t="shared" si="20"/>
        <v>0</v>
      </c>
      <c r="E72" s="52">
        <f ca="1" t="shared" si="20"/>
        <v>0</v>
      </c>
      <c r="F72" s="62">
        <f ca="1" t="shared" si="21"/>
        <v>0</v>
      </c>
      <c r="G72" s="52">
        <f ca="1">INDIRECT(ADDRESS(ROW(),2))*55</f>
        <v>0</v>
      </c>
      <c r="H72" s="62">
        <f ca="1" t="shared" si="22"/>
        <v>0</v>
      </c>
      <c r="I72" s="52">
        <f ca="1" t="shared" si="22"/>
        <v>0</v>
      </c>
      <c r="J72" s="62">
        <f ca="1" t="shared" si="19"/>
        <v>0</v>
      </c>
      <c r="K72" s="52">
        <f ca="1" t="shared" si="28"/>
        <v>0</v>
      </c>
      <c r="L72" s="62">
        <f ca="1" t="shared" si="27"/>
        <v>0</v>
      </c>
      <c r="M72" s="52">
        <f ca="1" t="shared" si="30"/>
        <v>0</v>
      </c>
      <c r="N72" s="62">
        <f ca="1" t="shared" si="32"/>
        <v>0</v>
      </c>
      <c r="O72" s="52">
        <f ca="1" t="shared" si="32"/>
        <v>0</v>
      </c>
      <c r="P72" s="62">
        <f ca="1" t="shared" si="32"/>
        <v>0</v>
      </c>
      <c r="Q72" s="52">
        <f ca="1" t="shared" si="32"/>
        <v>0</v>
      </c>
      <c r="R72" s="62">
        <f ca="1" t="shared" si="32"/>
        <v>0</v>
      </c>
      <c r="S72" s="52">
        <f ca="1" t="shared" si="34"/>
        <v>0</v>
      </c>
      <c r="T72" s="62">
        <f ca="1" t="shared" si="33"/>
        <v>0</v>
      </c>
      <c r="U72" s="52">
        <f ca="1" t="shared" si="33"/>
        <v>0</v>
      </c>
      <c r="V72" s="52">
        <f ca="1" t="shared" si="33"/>
        <v>0</v>
      </c>
      <c r="W72" s="52">
        <f ca="1" t="shared" si="33"/>
        <v>0</v>
      </c>
      <c r="X72" s="52">
        <f ca="1" t="shared" si="33"/>
        <v>0</v>
      </c>
    </row>
    <row r="73" customHeight="1" spans="1:24">
      <c r="A73" s="52" t="s">
        <v>149</v>
      </c>
      <c r="B73" s="52" t="b">
        <f>苍云!F40</f>
        <v>0</v>
      </c>
      <c r="C73" s="52">
        <f ca="1" t="shared" si="12"/>
        <v>0</v>
      </c>
      <c r="D73" s="62">
        <f ca="1" t="shared" si="20"/>
        <v>0</v>
      </c>
      <c r="E73" s="52">
        <f ca="1" t="shared" si="20"/>
        <v>0</v>
      </c>
      <c r="F73" s="62">
        <f ca="1" t="shared" si="21"/>
        <v>0</v>
      </c>
      <c r="G73" s="52">
        <f ca="1">INDIRECT(ADDRESS(ROW(),2))*630*15/G5*(INT((G5/60)/3)+1)</f>
        <v>0</v>
      </c>
      <c r="H73" s="62">
        <f ca="1" t="shared" si="22"/>
        <v>0</v>
      </c>
      <c r="I73" s="52">
        <f ca="1" t="shared" si="22"/>
        <v>0</v>
      </c>
      <c r="J73" s="62">
        <f ca="1" t="shared" si="19"/>
        <v>0</v>
      </c>
      <c r="K73" s="52">
        <f ca="1" t="shared" si="28"/>
        <v>0</v>
      </c>
      <c r="L73" s="62">
        <f ca="1" t="shared" si="27"/>
        <v>0</v>
      </c>
      <c r="M73" s="52">
        <f ca="1" t="shared" si="30"/>
        <v>0</v>
      </c>
      <c r="N73" s="62">
        <f ca="1" t="shared" si="32"/>
        <v>0</v>
      </c>
      <c r="O73" s="52">
        <f ca="1" t="shared" si="32"/>
        <v>0</v>
      </c>
      <c r="P73" s="62">
        <f ca="1" t="shared" si="32"/>
        <v>0</v>
      </c>
      <c r="Q73" s="52">
        <f ca="1" t="shared" si="32"/>
        <v>0</v>
      </c>
      <c r="R73" s="62">
        <f ca="1" t="shared" si="32"/>
        <v>0</v>
      </c>
      <c r="S73" s="52">
        <f ca="1" t="shared" si="34"/>
        <v>0</v>
      </c>
      <c r="T73" s="62">
        <f ca="1" t="shared" si="33"/>
        <v>0</v>
      </c>
      <c r="U73" s="52">
        <f ca="1" t="shared" si="33"/>
        <v>0</v>
      </c>
      <c r="V73" s="52">
        <f ca="1" t="shared" si="33"/>
        <v>0</v>
      </c>
      <c r="W73" s="52">
        <f ca="1" t="shared" si="33"/>
        <v>0</v>
      </c>
      <c r="X73" s="52">
        <f ca="1" t="shared" si="33"/>
        <v>0</v>
      </c>
    </row>
    <row r="74" customHeight="1" spans="1:24">
      <c r="A74" s="52" t="s">
        <v>253</v>
      </c>
      <c r="B74" s="52" t="b">
        <f>B1</f>
        <v>1</v>
      </c>
      <c r="C74" s="52">
        <f ca="1" t="shared" si="12"/>
        <v>0</v>
      </c>
      <c r="D74" s="62">
        <f ca="1" t="shared" si="20"/>
        <v>0</v>
      </c>
      <c r="E74" s="52">
        <f ca="1">INDIRECT(ADDRESS(ROW(),2))*0</f>
        <v>0</v>
      </c>
      <c r="F74" s="62">
        <f ca="1" t="shared" si="21"/>
        <v>0</v>
      </c>
      <c r="G74" s="52">
        <f ca="1" t="shared" ref="G73:G79" si="35">INDIRECT(ADDRESS(ROW(),2))*0</f>
        <v>0</v>
      </c>
      <c r="H74" s="62">
        <f ca="1">INDIRECT(ADDRESS(ROW(),2))*0.071</f>
        <v>0.071</v>
      </c>
      <c r="I74" s="52">
        <f ca="1" t="shared" si="22"/>
        <v>0</v>
      </c>
      <c r="J74" s="62">
        <f ca="1" t="shared" si="19"/>
        <v>0</v>
      </c>
      <c r="K74" s="52">
        <f ca="1" t="shared" si="28"/>
        <v>0</v>
      </c>
      <c r="L74" s="62">
        <f ca="1" t="shared" si="27"/>
        <v>0</v>
      </c>
      <c r="M74" s="52">
        <f ca="1" t="shared" si="30"/>
        <v>0</v>
      </c>
      <c r="N74" s="62">
        <f ca="1" t="shared" si="32"/>
        <v>0</v>
      </c>
      <c r="O74" s="52">
        <f ca="1" t="shared" si="32"/>
        <v>0</v>
      </c>
      <c r="P74" s="62">
        <f ca="1" t="shared" si="32"/>
        <v>0</v>
      </c>
      <c r="Q74" s="52">
        <f ca="1" t="shared" si="32"/>
        <v>0</v>
      </c>
      <c r="R74" s="62">
        <f ca="1" t="shared" si="32"/>
        <v>0</v>
      </c>
      <c r="S74" s="52">
        <f ca="1" t="shared" si="34"/>
        <v>0</v>
      </c>
      <c r="T74" s="62">
        <f ca="1" t="shared" si="33"/>
        <v>0</v>
      </c>
      <c r="U74" s="52">
        <f ca="1" t="shared" si="33"/>
        <v>0</v>
      </c>
      <c r="V74" s="52">
        <f ca="1" t="shared" si="33"/>
        <v>0</v>
      </c>
      <c r="W74" s="52">
        <f ca="1" t="shared" si="33"/>
        <v>0</v>
      </c>
      <c r="X74" s="52">
        <f ca="1" t="shared" si="33"/>
        <v>0</v>
      </c>
    </row>
    <row r="75" customHeight="1" spans="1:24">
      <c r="A75" s="52" t="s">
        <v>254</v>
      </c>
      <c r="B75" s="52" t="b">
        <f>B6</f>
        <v>1</v>
      </c>
      <c r="C75" s="52">
        <f ca="1" t="shared" si="12"/>
        <v>0</v>
      </c>
      <c r="D75" s="62">
        <f ca="1" t="shared" si="20"/>
        <v>0</v>
      </c>
      <c r="E75" s="52">
        <f ca="1" t="shared" si="20"/>
        <v>0</v>
      </c>
      <c r="F75" s="62">
        <f ca="1" t="shared" si="21"/>
        <v>0</v>
      </c>
      <c r="G75" s="52">
        <f ca="1" t="shared" si="35"/>
        <v>0</v>
      </c>
      <c r="H75" s="62">
        <f ca="1" t="shared" si="22"/>
        <v>0</v>
      </c>
      <c r="I75" s="52">
        <f ca="1" t="shared" si="22"/>
        <v>0</v>
      </c>
      <c r="J75" s="62">
        <f ca="1" t="shared" si="19"/>
        <v>0</v>
      </c>
      <c r="K75" s="52">
        <f ca="1" t="shared" si="28"/>
        <v>0</v>
      </c>
      <c r="L75" s="62">
        <f ca="1" t="shared" si="27"/>
        <v>0</v>
      </c>
      <c r="M75" s="52">
        <f ca="1" t="shared" si="30"/>
        <v>0</v>
      </c>
      <c r="N75" s="62">
        <f ca="1" t="shared" si="32"/>
        <v>0</v>
      </c>
      <c r="O75" s="52">
        <f ca="1" t="shared" si="32"/>
        <v>0</v>
      </c>
      <c r="P75" s="62">
        <f ca="1" t="shared" si="32"/>
        <v>0</v>
      </c>
      <c r="Q75" s="52">
        <f ca="1" t="shared" si="32"/>
        <v>0</v>
      </c>
      <c r="R75" s="62">
        <f ca="1" t="shared" si="32"/>
        <v>0</v>
      </c>
      <c r="S75" s="52">
        <f ca="1" t="shared" si="34"/>
        <v>0</v>
      </c>
      <c r="T75" s="62">
        <f ca="1" t="shared" si="33"/>
        <v>0</v>
      </c>
      <c r="U75" s="52">
        <f ca="1" t="shared" si="33"/>
        <v>0</v>
      </c>
      <c r="V75" s="52">
        <f ca="1" t="shared" si="33"/>
        <v>0</v>
      </c>
      <c r="W75" s="52">
        <f ca="1" t="shared" si="33"/>
        <v>0</v>
      </c>
      <c r="X75" s="52">
        <f ca="1" t="shared" si="33"/>
        <v>0</v>
      </c>
    </row>
    <row r="76" customHeight="1" spans="1:24">
      <c r="A76" s="52" t="s">
        <v>126</v>
      </c>
      <c r="B76" s="52" t="b">
        <f>B2</f>
        <v>1</v>
      </c>
      <c r="C76" s="52">
        <f ca="1" t="shared" si="12"/>
        <v>0</v>
      </c>
      <c r="D76" s="62">
        <f ca="1" t="shared" si="20"/>
        <v>0</v>
      </c>
      <c r="E76" s="52">
        <f ca="1" t="shared" si="20"/>
        <v>0</v>
      </c>
      <c r="F76" s="62">
        <f ca="1" t="shared" si="21"/>
        <v>0</v>
      </c>
      <c r="G76" s="52">
        <f ca="1" t="shared" si="35"/>
        <v>0</v>
      </c>
      <c r="H76" s="62">
        <f ca="1" t="shared" si="22"/>
        <v>0</v>
      </c>
      <c r="I76" s="52">
        <f ca="1" t="shared" si="22"/>
        <v>0</v>
      </c>
      <c r="J76" s="62">
        <f ca="1" t="shared" si="19"/>
        <v>0</v>
      </c>
      <c r="K76" s="52">
        <f ca="1" t="shared" si="28"/>
        <v>0</v>
      </c>
      <c r="L76" s="62">
        <f ca="1" t="shared" si="27"/>
        <v>0</v>
      </c>
      <c r="M76" s="52">
        <f ca="1" t="shared" si="30"/>
        <v>0</v>
      </c>
      <c r="N76" s="62">
        <f ca="1" t="shared" si="32"/>
        <v>0</v>
      </c>
      <c r="O76" s="52">
        <f ca="1" t="shared" si="32"/>
        <v>0</v>
      </c>
      <c r="P76" s="62">
        <f ca="1" t="shared" si="32"/>
        <v>0</v>
      </c>
      <c r="Q76" s="52">
        <f ca="1" t="shared" si="32"/>
        <v>0</v>
      </c>
      <c r="R76" s="62">
        <f ca="1" t="shared" si="32"/>
        <v>0</v>
      </c>
      <c r="S76" s="52">
        <f ca="1" t="shared" si="34"/>
        <v>0</v>
      </c>
      <c r="T76" s="62">
        <f ca="1" t="shared" si="33"/>
        <v>0</v>
      </c>
      <c r="U76" s="52">
        <f ca="1" t="shared" si="33"/>
        <v>0</v>
      </c>
      <c r="V76" s="52">
        <f ca="1" t="shared" si="33"/>
        <v>0</v>
      </c>
      <c r="W76" s="52">
        <f ca="1" t="shared" si="33"/>
        <v>0</v>
      </c>
      <c r="X76" s="52">
        <f ca="1" t="shared" si="33"/>
        <v>0</v>
      </c>
    </row>
    <row r="77" customHeight="1" spans="1:24">
      <c r="A77" s="52" t="s">
        <v>130</v>
      </c>
      <c r="B77" s="52" t="b">
        <f>B3</f>
        <v>0</v>
      </c>
      <c r="C77" s="52">
        <f ca="1" t="shared" si="12"/>
        <v>0</v>
      </c>
      <c r="D77" s="62">
        <f ca="1" t="shared" ref="D77:D96" si="36">INDIRECT(ADDRESS(ROW(),2))*0</f>
        <v>0</v>
      </c>
      <c r="E77" s="52">
        <f ca="1">INDIRECT(ADDRESS(ROW(),2))*0</f>
        <v>0</v>
      </c>
      <c r="F77" s="62">
        <f ca="1" t="shared" ref="F77:F97" si="37">INDIRECT(ADDRESS(ROW(),2))*0</f>
        <v>0</v>
      </c>
      <c r="G77" s="52">
        <f ca="1">INDIRECT(ADDRESS(ROW(),2))*0.21*395</f>
        <v>0</v>
      </c>
      <c r="H77" s="62">
        <f ca="1" t="shared" si="22"/>
        <v>0</v>
      </c>
      <c r="I77" s="52">
        <f ca="1" t="shared" si="22"/>
        <v>0</v>
      </c>
      <c r="J77" s="62">
        <f ca="1" t="shared" si="19"/>
        <v>0</v>
      </c>
      <c r="K77" s="52">
        <f ca="1">INDIRECT(ADDRESS(ROW(),2))*0.21*378</f>
        <v>0</v>
      </c>
      <c r="L77" s="62">
        <f ca="1" t="shared" si="27"/>
        <v>0</v>
      </c>
      <c r="M77" s="52">
        <f ca="1" t="shared" si="30"/>
        <v>0</v>
      </c>
      <c r="N77" s="62">
        <f ca="1" t="shared" si="32"/>
        <v>0</v>
      </c>
      <c r="O77" s="52">
        <f ca="1" t="shared" si="32"/>
        <v>0</v>
      </c>
      <c r="P77" s="62">
        <f ca="1" t="shared" si="32"/>
        <v>0</v>
      </c>
      <c r="Q77" s="52">
        <f ca="1" t="shared" si="32"/>
        <v>0</v>
      </c>
      <c r="R77" s="62">
        <f ca="1" t="shared" si="32"/>
        <v>0</v>
      </c>
      <c r="S77" s="52">
        <f ca="1" t="shared" si="34"/>
        <v>0</v>
      </c>
      <c r="T77" s="62">
        <f ca="1" t="shared" si="33"/>
        <v>0</v>
      </c>
      <c r="U77" s="52">
        <f ca="1" t="shared" si="33"/>
        <v>0</v>
      </c>
      <c r="V77" s="52">
        <f ca="1" t="shared" si="33"/>
        <v>0</v>
      </c>
      <c r="W77" s="52">
        <f ca="1" t="shared" si="33"/>
        <v>0</v>
      </c>
      <c r="X77" s="52">
        <f ca="1" t="shared" si="33"/>
        <v>0</v>
      </c>
    </row>
    <row r="78" customHeight="1" spans="1:24">
      <c r="A78" s="52" t="s">
        <v>255</v>
      </c>
      <c r="B78" s="52" t="b">
        <f>B8</f>
        <v>0</v>
      </c>
      <c r="C78" s="52">
        <f ca="1" t="shared" ref="C78:C83" si="38">INDIRECT(ADDRESS(ROW(),2))*0</f>
        <v>0</v>
      </c>
      <c r="D78" s="62">
        <f ca="1" t="shared" si="36"/>
        <v>0</v>
      </c>
      <c r="E78" s="52">
        <f ca="1" t="shared" ref="E78:E83" si="39">INDIRECT(ADDRESS(ROW(),2))*0</f>
        <v>0</v>
      </c>
      <c r="F78" s="62">
        <f ca="1" t="shared" si="37"/>
        <v>0</v>
      </c>
      <c r="G78" s="52">
        <f ca="1" t="shared" si="35"/>
        <v>0</v>
      </c>
      <c r="H78" s="62">
        <f ca="1" t="shared" si="22"/>
        <v>0</v>
      </c>
      <c r="I78" s="52">
        <f ca="1" t="shared" si="22"/>
        <v>0</v>
      </c>
      <c r="J78" s="62">
        <f ca="1" t="shared" si="19"/>
        <v>0</v>
      </c>
      <c r="K78" s="52">
        <f ca="1" t="shared" ref="K78:K100" si="40">INDIRECT(ADDRESS(ROW(),2))*0</f>
        <v>0</v>
      </c>
      <c r="L78" s="62">
        <f ca="1" t="shared" si="27"/>
        <v>0</v>
      </c>
      <c r="M78" s="52">
        <f ca="1" t="shared" si="30"/>
        <v>0</v>
      </c>
      <c r="N78" s="62">
        <f ca="1" t="shared" si="32"/>
        <v>0</v>
      </c>
      <c r="O78" s="52">
        <f ca="1" t="shared" si="32"/>
        <v>0</v>
      </c>
      <c r="P78" s="62">
        <f ca="1" t="shared" si="32"/>
        <v>0</v>
      </c>
      <c r="Q78" s="52">
        <f ca="1" t="shared" si="32"/>
        <v>0</v>
      </c>
      <c r="R78" s="62">
        <f ca="1" t="shared" si="32"/>
        <v>0</v>
      </c>
      <c r="S78" s="52">
        <f ca="1">INDIRECT(ADDRESS(ROW(),2))*1409*15/G5*(INT((G5/60)/3)+1)</f>
        <v>0</v>
      </c>
      <c r="T78" s="62">
        <f ca="1" t="shared" si="33"/>
        <v>0</v>
      </c>
      <c r="U78" s="52">
        <f ca="1" t="shared" si="33"/>
        <v>0</v>
      </c>
      <c r="V78" s="52">
        <f ca="1" t="shared" si="33"/>
        <v>0</v>
      </c>
      <c r="W78" s="52">
        <f ca="1" t="shared" si="33"/>
        <v>0</v>
      </c>
      <c r="X78" s="52">
        <f ca="1" t="shared" si="33"/>
        <v>0</v>
      </c>
    </row>
    <row r="79" customHeight="1" spans="1:24">
      <c r="A79" s="52" t="s">
        <v>256</v>
      </c>
      <c r="B79" s="52" t="b">
        <f>B11</f>
        <v>1</v>
      </c>
      <c r="C79" s="52">
        <f ca="1" t="shared" si="38"/>
        <v>0</v>
      </c>
      <c r="D79" s="62">
        <f ca="1" t="shared" si="36"/>
        <v>0</v>
      </c>
      <c r="E79" s="52">
        <f ca="1" t="shared" si="39"/>
        <v>0</v>
      </c>
      <c r="F79" s="62">
        <f ca="1" t="shared" si="37"/>
        <v>0</v>
      </c>
      <c r="G79" s="52">
        <f ca="1" t="shared" si="35"/>
        <v>0</v>
      </c>
      <c r="H79" s="62">
        <f ca="1" t="shared" si="22"/>
        <v>0</v>
      </c>
      <c r="I79" s="52">
        <f ca="1" t="shared" si="22"/>
        <v>0</v>
      </c>
      <c r="J79" s="62">
        <f ca="1">INDIRECT(ADDRESS(ROW(),2))*3%</f>
        <v>0.03</v>
      </c>
      <c r="K79" s="52">
        <f ca="1" t="shared" si="40"/>
        <v>0</v>
      </c>
      <c r="L79" s="62">
        <f ca="1" t="shared" si="27"/>
        <v>0</v>
      </c>
      <c r="M79" s="52">
        <f ca="1" t="shared" si="30"/>
        <v>0</v>
      </c>
      <c r="N79" s="62">
        <f ca="1" t="shared" si="32"/>
        <v>0</v>
      </c>
      <c r="O79" s="52">
        <f ca="1" t="shared" si="32"/>
        <v>0</v>
      </c>
      <c r="P79" s="62">
        <f ca="1" t="shared" si="32"/>
        <v>0</v>
      </c>
      <c r="Q79" s="52">
        <f ca="1" t="shared" si="32"/>
        <v>0</v>
      </c>
      <c r="R79" s="62">
        <f ca="1" t="shared" si="32"/>
        <v>0</v>
      </c>
      <c r="S79" s="52">
        <f ca="1" t="shared" si="34"/>
        <v>0</v>
      </c>
      <c r="T79" s="62">
        <f ca="1">INDIRECT(ADDRESS(ROW(),2))*10%</f>
        <v>0.1</v>
      </c>
      <c r="U79" s="52">
        <f ca="1" t="shared" ref="U79:W89" si="41">INDIRECT(ADDRESS(ROW(),2))*0</f>
        <v>0</v>
      </c>
      <c r="V79" s="52">
        <f ca="1" t="shared" si="41"/>
        <v>0</v>
      </c>
      <c r="W79" s="52">
        <f ca="1" t="shared" si="41"/>
        <v>0</v>
      </c>
      <c r="X79" s="52">
        <f ca="1">INDIRECT(ADDRESS(ROW(),2))*0</f>
        <v>0</v>
      </c>
    </row>
    <row r="80" customHeight="1" spans="1:24">
      <c r="A80" s="52" t="s">
        <v>257</v>
      </c>
      <c r="B80" s="52" t="b">
        <f>B12</f>
        <v>1</v>
      </c>
      <c r="C80" s="52">
        <f ca="1" t="shared" si="38"/>
        <v>0</v>
      </c>
      <c r="D80" s="62">
        <f ca="1" t="shared" si="36"/>
        <v>0</v>
      </c>
      <c r="E80" s="52">
        <f ca="1" t="shared" si="39"/>
        <v>0</v>
      </c>
      <c r="F80" s="62">
        <f ca="1" t="shared" si="37"/>
        <v>0</v>
      </c>
      <c r="G80" s="52">
        <f ca="1" t="shared" ref="G80:V101" si="42">INDIRECT(ADDRESS(ROW(),2))*0</f>
        <v>0</v>
      </c>
      <c r="H80" s="62">
        <f ca="1" t="shared" si="22"/>
        <v>0</v>
      </c>
      <c r="I80" s="52">
        <f ca="1" t="shared" si="22"/>
        <v>0</v>
      </c>
      <c r="J80" s="62">
        <f ca="1" t="shared" ref="J80:J86" si="43">INDIRECT(ADDRESS(ROW(),2))*0</f>
        <v>0</v>
      </c>
      <c r="K80" s="52">
        <f ca="1" t="shared" si="40"/>
        <v>0</v>
      </c>
      <c r="L80" s="62">
        <f ca="1">INDIRECT(ADDRESS(ROW(),2))*4.5%</f>
        <v>0.045</v>
      </c>
      <c r="M80" s="52">
        <f ca="1" t="shared" si="30"/>
        <v>0</v>
      </c>
      <c r="N80" s="62">
        <f ca="1">INDIRECT(ADDRESS(ROW(),2))*9%</f>
        <v>0.09</v>
      </c>
      <c r="O80" s="52">
        <f ca="1" t="shared" ref="O80:R85" si="44">INDIRECT(ADDRESS(ROW(),2))*0</f>
        <v>0</v>
      </c>
      <c r="P80" s="62">
        <f ca="1" t="shared" si="44"/>
        <v>0</v>
      </c>
      <c r="Q80" s="52">
        <f ca="1" t="shared" si="44"/>
        <v>0</v>
      </c>
      <c r="R80" s="62">
        <f ca="1" t="shared" si="44"/>
        <v>0</v>
      </c>
      <c r="S80" s="52">
        <f ca="1" t="shared" si="34"/>
        <v>0</v>
      </c>
      <c r="T80" s="62">
        <f ca="1" t="shared" ref="T80:T81" si="45">INDIRECT(ADDRESS(ROW(),2))*0</f>
        <v>0</v>
      </c>
      <c r="U80" s="52">
        <f ca="1" t="shared" si="41"/>
        <v>0</v>
      </c>
      <c r="V80" s="52">
        <f ca="1" t="shared" si="41"/>
        <v>0</v>
      </c>
      <c r="W80" s="52">
        <f ca="1" t="shared" si="41"/>
        <v>0</v>
      </c>
      <c r="X80" s="52">
        <f ca="1" t="shared" ref="X80:X93" si="46">INDIRECT(ADDRESS(ROW(),2))*0</f>
        <v>0</v>
      </c>
    </row>
    <row r="81" customHeight="1" spans="1:24">
      <c r="A81" s="52" t="s">
        <v>258</v>
      </c>
      <c r="B81" s="52" t="b">
        <f>B13</f>
        <v>1</v>
      </c>
      <c r="C81" s="52">
        <f ca="1" t="shared" si="38"/>
        <v>0</v>
      </c>
      <c r="D81" s="62">
        <f ca="1" t="shared" si="36"/>
        <v>0</v>
      </c>
      <c r="E81" s="52">
        <f ca="1" t="shared" si="39"/>
        <v>0</v>
      </c>
      <c r="F81" s="62">
        <f ca="1" t="shared" si="37"/>
        <v>0</v>
      </c>
      <c r="G81" s="52">
        <f ca="1" t="shared" si="42"/>
        <v>0</v>
      </c>
      <c r="H81" s="62">
        <f ca="1" t="shared" si="22"/>
        <v>0</v>
      </c>
      <c r="I81" s="52">
        <f ca="1" t="shared" si="22"/>
        <v>0</v>
      </c>
      <c r="J81" s="62">
        <f ca="1" t="shared" si="43"/>
        <v>0</v>
      </c>
      <c r="K81" s="52">
        <f ca="1" t="shared" si="40"/>
        <v>0</v>
      </c>
      <c r="L81" s="62">
        <f ca="1">INDIRECT(ADDRESS(ROW(),2))*10%</f>
        <v>0.1</v>
      </c>
      <c r="M81" s="52">
        <f ca="1" t="shared" si="30"/>
        <v>0</v>
      </c>
      <c r="N81" s="62">
        <f ca="1" t="shared" ref="N81:N94" si="47">INDIRECT(ADDRESS(ROW(),2))*0</f>
        <v>0</v>
      </c>
      <c r="O81" s="52">
        <f ca="1" t="shared" si="44"/>
        <v>0</v>
      </c>
      <c r="P81" s="62">
        <f ca="1" t="shared" si="44"/>
        <v>0</v>
      </c>
      <c r="Q81" s="52">
        <f ca="1" t="shared" si="44"/>
        <v>0</v>
      </c>
      <c r="R81" s="62">
        <f ca="1" t="shared" si="44"/>
        <v>0</v>
      </c>
      <c r="S81" s="52">
        <f ca="1" t="shared" si="34"/>
        <v>0</v>
      </c>
      <c r="T81" s="62">
        <f ca="1" t="shared" si="45"/>
        <v>0</v>
      </c>
      <c r="U81" s="52">
        <f ca="1" t="shared" si="41"/>
        <v>0</v>
      </c>
      <c r="V81" s="52">
        <f ca="1" t="shared" si="41"/>
        <v>0</v>
      </c>
      <c r="W81" s="52">
        <f ca="1" t="shared" si="41"/>
        <v>0</v>
      </c>
      <c r="X81" s="52">
        <f ca="1" t="shared" si="46"/>
        <v>0</v>
      </c>
    </row>
    <row r="82" customHeight="1" spans="1:24">
      <c r="A82" s="52" t="s">
        <v>211</v>
      </c>
      <c r="B82" s="52">
        <f>G16</f>
        <v>0</v>
      </c>
      <c r="C82" s="52">
        <f ca="1" t="shared" si="38"/>
        <v>0</v>
      </c>
      <c r="D82" s="62">
        <f ca="1" t="shared" si="36"/>
        <v>0</v>
      </c>
      <c r="E82" s="52">
        <f ca="1" t="shared" si="39"/>
        <v>0</v>
      </c>
      <c r="F82" s="62">
        <f ca="1" t="shared" si="37"/>
        <v>0</v>
      </c>
      <c r="G82" s="52">
        <f ca="1" t="shared" si="42"/>
        <v>0</v>
      </c>
      <c r="H82" s="62">
        <f ca="1">INDIRECT(ADDRESS(ROW(),2))*15%*8/30</f>
        <v>0</v>
      </c>
      <c r="I82" s="52">
        <f ca="1" t="shared" ref="I82:I87" si="48">INDIRECT(ADDRESS(ROW(),2))*0</f>
        <v>0</v>
      </c>
      <c r="J82" s="62">
        <f ca="1" t="shared" si="43"/>
        <v>0</v>
      </c>
      <c r="K82" s="52">
        <f ca="1" t="shared" si="40"/>
        <v>0</v>
      </c>
      <c r="L82" s="62">
        <f ca="1" t="shared" ref="L82:L94" si="49">INDIRECT(ADDRESS(ROW(),2))*0</f>
        <v>0</v>
      </c>
      <c r="M82" s="52">
        <f ca="1" t="shared" si="30"/>
        <v>0</v>
      </c>
      <c r="N82" s="62">
        <f ca="1" t="shared" si="47"/>
        <v>0</v>
      </c>
      <c r="O82" s="52">
        <f ca="1" t="shared" si="44"/>
        <v>0</v>
      </c>
      <c r="P82" s="62">
        <f ca="1" t="shared" si="44"/>
        <v>0</v>
      </c>
      <c r="Q82" s="52">
        <f ca="1" t="shared" si="44"/>
        <v>0</v>
      </c>
      <c r="R82" s="62">
        <f ca="1" t="shared" si="44"/>
        <v>0</v>
      </c>
      <c r="S82" s="52">
        <f ca="1" t="shared" si="34"/>
        <v>0</v>
      </c>
      <c r="T82" s="62">
        <f ca="1">INDIRECT(ADDRESS(ROW(),2))*15%*8/30</f>
        <v>0</v>
      </c>
      <c r="U82" s="52">
        <f ca="1" t="shared" si="41"/>
        <v>0</v>
      </c>
      <c r="V82" s="52">
        <f ca="1" t="shared" si="41"/>
        <v>0</v>
      </c>
      <c r="W82" s="52">
        <f ca="1" t="shared" si="41"/>
        <v>0</v>
      </c>
      <c r="X82" s="52">
        <f ca="1" t="shared" si="46"/>
        <v>0</v>
      </c>
    </row>
    <row r="83" customHeight="1" spans="1:24">
      <c r="A83" s="52" t="s">
        <v>259</v>
      </c>
      <c r="B83" s="52" t="b">
        <f t="shared" ref="B83:B88" si="50">B14</f>
        <v>0</v>
      </c>
      <c r="C83" s="52">
        <f ca="1" t="shared" si="38"/>
        <v>0</v>
      </c>
      <c r="D83" s="62">
        <f ca="1" t="shared" si="36"/>
        <v>0</v>
      </c>
      <c r="E83" s="52">
        <f ca="1" t="shared" si="39"/>
        <v>0</v>
      </c>
      <c r="F83" s="62">
        <f ca="1" t="shared" si="37"/>
        <v>0</v>
      </c>
      <c r="G83" s="52">
        <f ca="1" t="shared" si="42"/>
        <v>0</v>
      </c>
      <c r="H83" s="62">
        <f ca="1">INDIRECT(ADDRESS(ROW(),2))*0.15</f>
        <v>0</v>
      </c>
      <c r="I83" s="52">
        <f ca="1" t="shared" si="48"/>
        <v>0</v>
      </c>
      <c r="J83" s="62">
        <f ca="1" t="shared" si="43"/>
        <v>0</v>
      </c>
      <c r="K83" s="52">
        <f ca="1" t="shared" si="40"/>
        <v>0</v>
      </c>
      <c r="L83" s="62">
        <f ca="1" t="shared" si="49"/>
        <v>0</v>
      </c>
      <c r="M83" s="52">
        <f ca="1" t="shared" si="30"/>
        <v>0</v>
      </c>
      <c r="N83" s="62">
        <f ca="1" t="shared" si="47"/>
        <v>0</v>
      </c>
      <c r="O83" s="52">
        <f ca="1" t="shared" si="44"/>
        <v>0</v>
      </c>
      <c r="P83" s="62">
        <f ca="1" t="shared" si="44"/>
        <v>0</v>
      </c>
      <c r="Q83" s="52">
        <f ca="1" t="shared" si="44"/>
        <v>0</v>
      </c>
      <c r="R83" s="62">
        <f ca="1" t="shared" si="44"/>
        <v>0</v>
      </c>
      <c r="S83" s="52">
        <f ca="1" t="shared" si="34"/>
        <v>0</v>
      </c>
      <c r="T83" s="62">
        <f ca="1" t="shared" ref="T83:T89" si="51">INDIRECT(ADDRESS(ROW(),2))*0</f>
        <v>0</v>
      </c>
      <c r="U83" s="52">
        <f ca="1" t="shared" si="41"/>
        <v>0</v>
      </c>
      <c r="V83" s="52">
        <f ca="1" t="shared" si="41"/>
        <v>0</v>
      </c>
      <c r="W83" s="52">
        <f ca="1" t="shared" si="41"/>
        <v>0</v>
      </c>
      <c r="X83" s="52">
        <f ca="1" t="shared" si="46"/>
        <v>0</v>
      </c>
    </row>
    <row r="84" customHeight="1" spans="1:24">
      <c r="A84" s="52" t="s">
        <v>260</v>
      </c>
      <c r="B84" s="52" t="b">
        <f t="shared" si="50"/>
        <v>1</v>
      </c>
      <c r="C84" s="52">
        <f ca="1">INDIRECT(ADDRESS(ROW(),2))*52</f>
        <v>52</v>
      </c>
      <c r="D84" s="62">
        <f ca="1" t="shared" si="36"/>
        <v>0</v>
      </c>
      <c r="E84" s="52">
        <f ca="1">INDIRECT(ADDRESS(ROW(),2))*52</f>
        <v>52</v>
      </c>
      <c r="F84" s="62">
        <f ca="1" t="shared" si="37"/>
        <v>0</v>
      </c>
      <c r="G84" s="52">
        <f ca="1" t="shared" si="42"/>
        <v>0</v>
      </c>
      <c r="H84" s="62">
        <f ca="1">INDIRECT(ADDRESS(ROW(),2))*0</f>
        <v>0</v>
      </c>
      <c r="I84" s="52">
        <f ca="1" t="shared" si="48"/>
        <v>0</v>
      </c>
      <c r="J84" s="62">
        <f ca="1" t="shared" si="43"/>
        <v>0</v>
      </c>
      <c r="K84" s="52">
        <f ca="1" t="shared" si="40"/>
        <v>0</v>
      </c>
      <c r="L84" s="62">
        <f ca="1" t="shared" si="49"/>
        <v>0</v>
      </c>
      <c r="M84" s="52">
        <f ca="1" t="shared" si="30"/>
        <v>0</v>
      </c>
      <c r="N84" s="62">
        <f ca="1" t="shared" si="47"/>
        <v>0</v>
      </c>
      <c r="O84" s="52">
        <f ca="1" t="shared" si="44"/>
        <v>0</v>
      </c>
      <c r="P84" s="62">
        <f ca="1" t="shared" si="44"/>
        <v>0</v>
      </c>
      <c r="Q84" s="52">
        <f ca="1" t="shared" si="44"/>
        <v>0</v>
      </c>
      <c r="R84" s="62">
        <f ca="1" t="shared" si="44"/>
        <v>0</v>
      </c>
      <c r="S84" s="52">
        <f ca="1" t="shared" si="34"/>
        <v>0</v>
      </c>
      <c r="T84" s="62">
        <f ca="1" t="shared" si="51"/>
        <v>0</v>
      </c>
      <c r="U84" s="52">
        <f ca="1" t="shared" si="41"/>
        <v>0</v>
      </c>
      <c r="V84" s="52">
        <f ca="1" t="shared" si="41"/>
        <v>0</v>
      </c>
      <c r="W84" s="52">
        <f ca="1" t="shared" si="41"/>
        <v>0</v>
      </c>
      <c r="X84" s="52">
        <f ca="1" t="shared" si="46"/>
        <v>0</v>
      </c>
    </row>
    <row r="85" customHeight="1" spans="1:24">
      <c r="A85" s="52" t="s">
        <v>261</v>
      </c>
      <c r="B85" s="52" t="b">
        <f t="shared" si="50"/>
        <v>1</v>
      </c>
      <c r="C85" s="52">
        <f ca="1" t="shared" ref="C85:C101" si="52">INDIRECT(ADDRESS(ROW(),2))*0</f>
        <v>0</v>
      </c>
      <c r="D85" s="62">
        <f ca="1" t="shared" si="36"/>
        <v>0</v>
      </c>
      <c r="E85" s="52">
        <f ca="1" t="shared" ref="E85:E101" si="53">INDIRECT(ADDRESS(ROW(),2))*0</f>
        <v>0</v>
      </c>
      <c r="F85" s="62">
        <f ca="1" t="shared" si="37"/>
        <v>0</v>
      </c>
      <c r="G85" s="52">
        <f ca="1" t="shared" si="42"/>
        <v>0</v>
      </c>
      <c r="H85" s="62">
        <f ca="1">INDIRECT(ADDRESS(ROW(),2))*0.05</f>
        <v>0.05</v>
      </c>
      <c r="I85" s="52">
        <f ca="1" t="shared" si="48"/>
        <v>0</v>
      </c>
      <c r="J85" s="62">
        <f ca="1" t="shared" si="43"/>
        <v>0</v>
      </c>
      <c r="K85" s="52">
        <f ca="1" t="shared" si="40"/>
        <v>0</v>
      </c>
      <c r="L85" s="62">
        <f ca="1" t="shared" si="49"/>
        <v>0</v>
      </c>
      <c r="M85" s="52">
        <f ca="1" t="shared" si="30"/>
        <v>0</v>
      </c>
      <c r="N85" s="62">
        <f ca="1" t="shared" si="47"/>
        <v>0</v>
      </c>
      <c r="O85" s="52">
        <f ca="1" t="shared" si="44"/>
        <v>0</v>
      </c>
      <c r="P85" s="62">
        <f ca="1" t="shared" si="44"/>
        <v>0</v>
      </c>
      <c r="Q85" s="52">
        <f ca="1" t="shared" si="44"/>
        <v>0</v>
      </c>
      <c r="R85" s="62">
        <f ca="1" t="shared" si="44"/>
        <v>0</v>
      </c>
      <c r="S85" s="52">
        <f ca="1" t="shared" si="34"/>
        <v>0</v>
      </c>
      <c r="T85" s="62">
        <f ca="1" t="shared" si="51"/>
        <v>0</v>
      </c>
      <c r="U85" s="52">
        <f ca="1" t="shared" si="41"/>
        <v>0</v>
      </c>
      <c r="V85" s="52">
        <f ca="1" t="shared" si="41"/>
        <v>0</v>
      </c>
      <c r="W85" s="52">
        <f ca="1" t="shared" si="41"/>
        <v>0</v>
      </c>
      <c r="X85" s="52">
        <f ca="1">INDIRECT(ADDRESS(ROW(),2))*200</f>
        <v>200</v>
      </c>
    </row>
    <row r="86" customHeight="1" spans="1:24">
      <c r="A86" s="52" t="s">
        <v>262</v>
      </c>
      <c r="B86" s="52" t="b">
        <f t="shared" si="50"/>
        <v>0</v>
      </c>
      <c r="C86" s="52">
        <f ca="1" t="shared" si="52"/>
        <v>0</v>
      </c>
      <c r="D86" s="62">
        <f ca="1" t="shared" si="36"/>
        <v>0</v>
      </c>
      <c r="E86" s="52">
        <f ca="1" t="shared" si="53"/>
        <v>0</v>
      </c>
      <c r="F86" s="62">
        <f ca="1" t="shared" si="37"/>
        <v>0</v>
      </c>
      <c r="G86" s="52">
        <f ca="1" t="shared" si="42"/>
        <v>0</v>
      </c>
      <c r="H86" s="62">
        <f ca="1" t="shared" ref="H86:H93" si="54">INDIRECT(ADDRESS(ROW(),2))*0</f>
        <v>0</v>
      </c>
      <c r="I86" s="52">
        <f ca="1" t="shared" si="48"/>
        <v>0</v>
      </c>
      <c r="J86" s="62">
        <f ca="1" t="shared" si="43"/>
        <v>0</v>
      </c>
      <c r="K86" s="52">
        <f ca="1" t="shared" si="40"/>
        <v>0</v>
      </c>
      <c r="L86" s="62">
        <f ca="1" t="shared" si="49"/>
        <v>0</v>
      </c>
      <c r="M86" s="52">
        <f ca="1" t="shared" si="30"/>
        <v>0</v>
      </c>
      <c r="N86" s="62">
        <f ca="1" t="shared" si="47"/>
        <v>0</v>
      </c>
      <c r="O86" s="52">
        <f ca="1" t="shared" ref="O86:P100" si="55">INDIRECT(ADDRESS(ROW(),2))*0</f>
        <v>0</v>
      </c>
      <c r="P86" s="62">
        <f ca="1" t="shared" si="55"/>
        <v>0</v>
      </c>
      <c r="Q86" s="52">
        <f ca="1">INDIRECT(ADDRESS(ROW(),2))*12</f>
        <v>0</v>
      </c>
      <c r="R86" s="62">
        <f ca="1">INDIRECT(ADDRESS(ROW(),2))*0</f>
        <v>0</v>
      </c>
      <c r="S86" s="52">
        <f ca="1" t="shared" si="34"/>
        <v>0</v>
      </c>
      <c r="T86" s="62">
        <f ca="1" t="shared" si="51"/>
        <v>0</v>
      </c>
      <c r="U86" s="52">
        <f ca="1" t="shared" si="41"/>
        <v>0</v>
      </c>
      <c r="V86" s="52">
        <f ca="1" t="shared" si="41"/>
        <v>0</v>
      </c>
      <c r="W86" s="52">
        <f ca="1" t="shared" si="41"/>
        <v>0</v>
      </c>
      <c r="X86" s="52">
        <f ca="1" t="shared" si="46"/>
        <v>0</v>
      </c>
    </row>
    <row r="87" customHeight="1" spans="1:24">
      <c r="A87" s="52" t="s">
        <v>263</v>
      </c>
      <c r="B87" s="52" t="b">
        <f t="shared" si="50"/>
        <v>1</v>
      </c>
      <c r="C87" s="52">
        <f ca="1" t="shared" si="52"/>
        <v>0</v>
      </c>
      <c r="D87" s="62">
        <f ca="1" t="shared" si="36"/>
        <v>0</v>
      </c>
      <c r="E87" s="52">
        <f ca="1" t="shared" si="53"/>
        <v>0</v>
      </c>
      <c r="F87" s="62">
        <f ca="1" t="shared" si="37"/>
        <v>0</v>
      </c>
      <c r="G87" s="52">
        <f ca="1" t="shared" si="42"/>
        <v>0</v>
      </c>
      <c r="H87" s="62">
        <f ca="1" t="shared" si="54"/>
        <v>0</v>
      </c>
      <c r="I87" s="52">
        <f ca="1" t="shared" si="48"/>
        <v>0</v>
      </c>
      <c r="J87" s="62">
        <f ca="1">INDIRECT(ADDRESS(ROW(),2))*0.01</f>
        <v>0.01</v>
      </c>
      <c r="K87" s="52">
        <f ca="1" t="shared" si="40"/>
        <v>0</v>
      </c>
      <c r="L87" s="62">
        <f ca="1" t="shared" si="49"/>
        <v>0</v>
      </c>
      <c r="M87" s="52">
        <f ca="1" t="shared" si="30"/>
        <v>0</v>
      </c>
      <c r="N87" s="62">
        <f ca="1" t="shared" si="47"/>
        <v>0</v>
      </c>
      <c r="O87" s="52">
        <f ca="1" t="shared" si="55"/>
        <v>0</v>
      </c>
      <c r="P87" s="62">
        <f ca="1" t="shared" si="55"/>
        <v>0</v>
      </c>
      <c r="Q87" s="52">
        <f ca="1">INDIRECT(ADDRESS(ROW(),2))*0</f>
        <v>0</v>
      </c>
      <c r="R87" s="62">
        <f ca="1">INDIRECT(ADDRESS(ROW(),2))*0.03</f>
        <v>0.03</v>
      </c>
      <c r="S87" s="52">
        <f ca="1" t="shared" si="34"/>
        <v>0</v>
      </c>
      <c r="T87" s="62">
        <f ca="1" t="shared" si="51"/>
        <v>0</v>
      </c>
      <c r="U87" s="52">
        <f ca="1" t="shared" si="41"/>
        <v>0</v>
      </c>
      <c r="V87" s="52">
        <f ca="1" t="shared" si="41"/>
        <v>0</v>
      </c>
      <c r="W87" s="52">
        <f ca="1" t="shared" si="41"/>
        <v>0</v>
      </c>
      <c r="X87" s="52">
        <f ca="1" t="shared" si="46"/>
        <v>0</v>
      </c>
    </row>
    <row r="88" customHeight="1" spans="1:24">
      <c r="A88" s="52" t="s">
        <v>264</v>
      </c>
      <c r="B88" s="52" t="b">
        <f t="shared" si="50"/>
        <v>1</v>
      </c>
      <c r="C88" s="52">
        <f ca="1" t="shared" si="52"/>
        <v>0</v>
      </c>
      <c r="D88" s="62">
        <f ca="1" t="shared" si="36"/>
        <v>0</v>
      </c>
      <c r="E88" s="52">
        <f ca="1" t="shared" si="53"/>
        <v>0</v>
      </c>
      <c r="F88" s="62">
        <f ca="1" t="shared" si="37"/>
        <v>0</v>
      </c>
      <c r="G88" s="52">
        <f ca="1" t="shared" si="42"/>
        <v>0</v>
      </c>
      <c r="H88" s="62">
        <f ca="1" t="shared" si="54"/>
        <v>0</v>
      </c>
      <c r="I88" s="52">
        <f ca="1">INDIRECT(ADDRESS(ROW(),2))*100</f>
        <v>100</v>
      </c>
      <c r="J88" s="62">
        <f ca="1" t="shared" ref="J88:J94" si="56">INDIRECT(ADDRESS(ROW(),2))*0</f>
        <v>0</v>
      </c>
      <c r="K88" s="52">
        <f ca="1" t="shared" si="40"/>
        <v>0</v>
      </c>
      <c r="L88" s="62">
        <f ca="1" t="shared" si="49"/>
        <v>0</v>
      </c>
      <c r="M88" s="52">
        <f ca="1" t="shared" si="30"/>
        <v>0</v>
      </c>
      <c r="N88" s="62">
        <f ca="1" t="shared" si="47"/>
        <v>0</v>
      </c>
      <c r="O88" s="52">
        <f ca="1" t="shared" si="55"/>
        <v>0</v>
      </c>
      <c r="P88" s="62">
        <f ca="1" t="shared" si="55"/>
        <v>0</v>
      </c>
      <c r="Q88" s="52">
        <f ca="1">INDIRECT(ADDRESS(ROW(),2))*100</f>
        <v>100</v>
      </c>
      <c r="R88" s="62">
        <f ca="1" t="shared" ref="R88:R100" si="57">INDIRECT(ADDRESS(ROW(),2))*0</f>
        <v>0</v>
      </c>
      <c r="S88" s="52">
        <f ca="1" t="shared" si="34"/>
        <v>0</v>
      </c>
      <c r="T88" s="62">
        <f ca="1" t="shared" si="51"/>
        <v>0</v>
      </c>
      <c r="U88" s="52">
        <f ca="1" t="shared" si="41"/>
        <v>0</v>
      </c>
      <c r="V88" s="52">
        <f ca="1" t="shared" si="41"/>
        <v>0</v>
      </c>
      <c r="W88" s="52">
        <f ca="1" t="shared" si="41"/>
        <v>0</v>
      </c>
      <c r="X88" s="52">
        <f ca="1" t="shared" si="46"/>
        <v>0</v>
      </c>
    </row>
    <row r="89" customHeight="1" spans="1:24">
      <c r="A89" s="52" t="s">
        <v>265</v>
      </c>
      <c r="B89" s="52" t="b">
        <f>B22</f>
        <v>0</v>
      </c>
      <c r="C89" s="52">
        <f ca="1" t="shared" si="52"/>
        <v>0</v>
      </c>
      <c r="D89" s="62">
        <f ca="1" t="shared" si="36"/>
        <v>0</v>
      </c>
      <c r="E89" s="52">
        <f ca="1" t="shared" si="53"/>
        <v>0</v>
      </c>
      <c r="F89" s="62">
        <f ca="1" t="shared" si="37"/>
        <v>0</v>
      </c>
      <c r="G89" s="52">
        <f ca="1" t="shared" si="42"/>
        <v>0</v>
      </c>
      <c r="H89" s="62">
        <f ca="1" t="shared" si="54"/>
        <v>0</v>
      </c>
      <c r="I89" s="52">
        <f ca="1" t="shared" ref="I89:I100" si="58">INDIRECT(ADDRESS(ROW(),2))*0</f>
        <v>0</v>
      </c>
      <c r="J89" s="62">
        <f ca="1" t="shared" si="56"/>
        <v>0</v>
      </c>
      <c r="K89" s="52">
        <f ca="1" t="shared" si="40"/>
        <v>0</v>
      </c>
      <c r="L89" s="62">
        <f ca="1" t="shared" si="49"/>
        <v>0</v>
      </c>
      <c r="M89" s="52">
        <f ca="1" t="shared" si="30"/>
        <v>0</v>
      </c>
      <c r="N89" s="62">
        <f ca="1" t="shared" si="47"/>
        <v>0</v>
      </c>
      <c r="O89" s="52">
        <f ca="1" t="shared" si="55"/>
        <v>0</v>
      </c>
      <c r="P89" s="62">
        <f ca="1" t="shared" si="55"/>
        <v>0</v>
      </c>
      <c r="Q89" s="52">
        <f ca="1" t="shared" ref="Q89:Q100" si="59">INDIRECT(ADDRESS(ROW(),2))*0</f>
        <v>0</v>
      </c>
      <c r="R89" s="62">
        <f ca="1" t="shared" si="57"/>
        <v>0</v>
      </c>
      <c r="S89" s="52">
        <f ca="1" t="shared" si="34"/>
        <v>0</v>
      </c>
      <c r="T89" s="62">
        <f ca="1" t="shared" si="51"/>
        <v>0</v>
      </c>
      <c r="U89" s="52">
        <f ca="1" t="shared" si="41"/>
        <v>0</v>
      </c>
      <c r="V89" s="52">
        <f ca="1" t="shared" si="41"/>
        <v>0</v>
      </c>
      <c r="W89" s="52">
        <f ca="1" t="shared" si="41"/>
        <v>0</v>
      </c>
      <c r="X89" s="52">
        <f ca="1" t="shared" si="46"/>
        <v>0</v>
      </c>
    </row>
    <row r="90" customHeight="1" spans="1:24">
      <c r="A90" s="52" t="s">
        <v>135</v>
      </c>
      <c r="B90" s="52" t="b">
        <f>B9</f>
        <v>0</v>
      </c>
      <c r="C90" s="52">
        <f ca="1" t="shared" si="52"/>
        <v>0</v>
      </c>
      <c r="D90" s="62">
        <f ca="1" t="shared" si="36"/>
        <v>0</v>
      </c>
      <c r="E90" s="52">
        <f ca="1" t="shared" si="53"/>
        <v>0</v>
      </c>
      <c r="F90" s="62">
        <f ca="1" t="shared" si="37"/>
        <v>0</v>
      </c>
      <c r="G90" s="52">
        <f ca="1" t="shared" si="42"/>
        <v>0</v>
      </c>
      <c r="H90" s="62">
        <f ca="1" t="shared" si="54"/>
        <v>0</v>
      </c>
      <c r="I90" s="52">
        <f ca="1" t="shared" si="58"/>
        <v>0</v>
      </c>
      <c r="J90" s="62">
        <f ca="1" t="shared" si="56"/>
        <v>0</v>
      </c>
      <c r="K90" s="52">
        <f ca="1" t="shared" si="40"/>
        <v>0</v>
      </c>
      <c r="L90" s="62">
        <f ca="1" t="shared" si="49"/>
        <v>0</v>
      </c>
      <c r="M90" s="52">
        <f ca="1" t="shared" si="30"/>
        <v>0</v>
      </c>
      <c r="N90" s="62">
        <f ca="1" t="shared" si="47"/>
        <v>0</v>
      </c>
      <c r="O90" s="52">
        <f ca="1" t="shared" si="55"/>
        <v>0</v>
      </c>
      <c r="P90" s="62">
        <f ca="1" t="shared" si="55"/>
        <v>0</v>
      </c>
      <c r="Q90" s="52">
        <f ca="1" t="shared" si="59"/>
        <v>0</v>
      </c>
      <c r="R90" s="62">
        <f ca="1" t="shared" si="57"/>
        <v>0</v>
      </c>
      <c r="S90" s="52">
        <f ca="1" t="shared" si="34"/>
        <v>0</v>
      </c>
      <c r="T90" s="62">
        <f ca="1">INDIRECT(ADDRESS(ROW(),2))*0.1</f>
        <v>0</v>
      </c>
      <c r="U90" s="52">
        <f ca="1">INDIRECT(ADDRESS(ROW(),2))*0</f>
        <v>0</v>
      </c>
      <c r="V90" s="52">
        <f ca="1" t="shared" ref="V90:W92" si="60">INDIRECT(ADDRESS(ROW(),2))*0</f>
        <v>0</v>
      </c>
      <c r="W90" s="52">
        <f ca="1" t="shared" si="60"/>
        <v>0</v>
      </c>
      <c r="X90" s="52">
        <f ca="1" t="shared" si="46"/>
        <v>0</v>
      </c>
    </row>
    <row r="91" customHeight="1" spans="1:24">
      <c r="A91" s="52" t="s">
        <v>266</v>
      </c>
      <c r="B91" s="52" t="b">
        <f>B10</f>
        <v>0</v>
      </c>
      <c r="C91" s="52">
        <f ca="1" t="shared" si="52"/>
        <v>0</v>
      </c>
      <c r="D91" s="62">
        <f ca="1" t="shared" si="36"/>
        <v>0</v>
      </c>
      <c r="E91" s="52">
        <f ca="1" t="shared" si="53"/>
        <v>0</v>
      </c>
      <c r="F91" s="62">
        <f ca="1" t="shared" si="37"/>
        <v>0</v>
      </c>
      <c r="G91" s="52">
        <f ca="1" t="shared" si="42"/>
        <v>0</v>
      </c>
      <c r="H91" s="62">
        <f ca="1">INDIRECT(ADDRESS(ROW(),2))*0.2*(INT((G5/60+1)/3)+1)*8/G5</f>
        <v>0</v>
      </c>
      <c r="I91" s="52">
        <f ca="1" t="shared" si="58"/>
        <v>0</v>
      </c>
      <c r="J91" s="62">
        <f ca="1" t="shared" si="56"/>
        <v>0</v>
      </c>
      <c r="K91" s="52">
        <f ca="1" t="shared" si="40"/>
        <v>0</v>
      </c>
      <c r="L91" s="62">
        <f ca="1" t="shared" si="49"/>
        <v>0</v>
      </c>
      <c r="M91" s="52">
        <f ca="1" t="shared" si="30"/>
        <v>0</v>
      </c>
      <c r="N91" s="62">
        <f ca="1" t="shared" si="47"/>
        <v>0</v>
      </c>
      <c r="O91" s="52">
        <f ca="1" t="shared" si="55"/>
        <v>0</v>
      </c>
      <c r="P91" s="62">
        <f ca="1" t="shared" si="55"/>
        <v>0</v>
      </c>
      <c r="Q91" s="52">
        <f ca="1" t="shared" si="59"/>
        <v>0</v>
      </c>
      <c r="R91" s="62">
        <f ca="1" t="shared" si="57"/>
        <v>0</v>
      </c>
      <c r="S91" s="52">
        <f ca="1" t="shared" si="34"/>
        <v>0</v>
      </c>
      <c r="T91" s="62">
        <f ca="1" t="shared" ref="T91:T93" si="61">INDIRECT(ADDRESS(ROW(),2))*0</f>
        <v>0</v>
      </c>
      <c r="U91" s="52">
        <f ca="1">INDIRECT(ADDRESS(ROW(),2))*0.03</f>
        <v>0</v>
      </c>
      <c r="V91" s="52">
        <f ca="1" t="shared" si="60"/>
        <v>0</v>
      </c>
      <c r="W91" s="52">
        <f ca="1" t="shared" si="60"/>
        <v>0</v>
      </c>
      <c r="X91" s="52">
        <f ca="1" t="shared" si="46"/>
        <v>0</v>
      </c>
    </row>
    <row r="92" customHeight="1" spans="1:24">
      <c r="A92" s="52" t="s">
        <v>267</v>
      </c>
      <c r="B92" s="52" t="b">
        <f>B5</f>
        <v>0</v>
      </c>
      <c r="C92" s="52">
        <f ca="1" t="shared" si="52"/>
        <v>0</v>
      </c>
      <c r="D92" s="62">
        <f ca="1" t="shared" si="36"/>
        <v>0</v>
      </c>
      <c r="E92" s="52">
        <f ca="1" t="shared" si="53"/>
        <v>0</v>
      </c>
      <c r="F92" s="62">
        <f ca="1" t="shared" si="37"/>
        <v>0</v>
      </c>
      <c r="G92" s="52">
        <f ca="1" t="shared" si="42"/>
        <v>0</v>
      </c>
      <c r="H92" s="62">
        <f ca="1" t="shared" si="54"/>
        <v>0</v>
      </c>
      <c r="I92" s="52">
        <f ca="1" t="shared" si="58"/>
        <v>0</v>
      </c>
      <c r="J92" s="62">
        <f ca="1" t="shared" si="56"/>
        <v>0</v>
      </c>
      <c r="K92" s="52">
        <f ca="1" t="shared" si="40"/>
        <v>0</v>
      </c>
      <c r="L92" s="62">
        <f ca="1" t="shared" si="49"/>
        <v>0</v>
      </c>
      <c r="M92" s="52">
        <f ca="1" t="shared" si="30"/>
        <v>0</v>
      </c>
      <c r="N92" s="62">
        <f ca="1" t="shared" si="47"/>
        <v>0</v>
      </c>
      <c r="O92" s="52">
        <f ca="1" t="shared" si="55"/>
        <v>0</v>
      </c>
      <c r="P92" s="62">
        <f ca="1" t="shared" si="55"/>
        <v>0</v>
      </c>
      <c r="Q92" s="52">
        <f ca="1" t="shared" si="59"/>
        <v>0</v>
      </c>
      <c r="R92" s="62">
        <f ca="1" t="shared" si="57"/>
        <v>0</v>
      </c>
      <c r="S92" s="52">
        <f ca="1" t="shared" si="34"/>
        <v>0</v>
      </c>
      <c r="T92" s="62">
        <f ca="1" t="shared" si="61"/>
        <v>0</v>
      </c>
      <c r="U92" s="52">
        <f ca="1">INDIRECT(ADDRESS(ROW(),2))*0</f>
        <v>0</v>
      </c>
      <c r="V92" s="52">
        <f ca="1" t="shared" si="60"/>
        <v>0</v>
      </c>
      <c r="W92" s="52">
        <f ca="1" t="shared" si="60"/>
        <v>0</v>
      </c>
      <c r="X92" s="52">
        <f ca="1" t="shared" si="46"/>
        <v>0</v>
      </c>
    </row>
    <row r="93" customHeight="1" spans="1:24">
      <c r="A93" s="52" t="s">
        <v>69</v>
      </c>
      <c r="B93" s="52">
        <f>G13</f>
        <v>0</v>
      </c>
      <c r="C93" s="52">
        <f ca="1" t="shared" si="52"/>
        <v>0</v>
      </c>
      <c r="D93" s="62">
        <f ca="1" t="shared" si="36"/>
        <v>0</v>
      </c>
      <c r="E93" s="52">
        <f ca="1" t="shared" si="53"/>
        <v>0</v>
      </c>
      <c r="F93" s="62">
        <f ca="1" t="shared" si="37"/>
        <v>0</v>
      </c>
      <c r="G93" s="52">
        <f ca="1" t="shared" si="42"/>
        <v>0</v>
      </c>
      <c r="H93" s="62">
        <f ca="1" t="shared" si="54"/>
        <v>0</v>
      </c>
      <c r="I93" s="52">
        <f ca="1" t="shared" si="58"/>
        <v>0</v>
      </c>
      <c r="J93" s="62">
        <f ca="1" t="shared" si="56"/>
        <v>0</v>
      </c>
      <c r="K93" s="52">
        <f ca="1" t="shared" si="40"/>
        <v>0</v>
      </c>
      <c r="L93" s="62">
        <f ca="1" t="shared" si="49"/>
        <v>0</v>
      </c>
      <c r="M93" s="52">
        <f ca="1" t="shared" si="30"/>
        <v>0</v>
      </c>
      <c r="N93" s="62">
        <f ca="1" t="shared" si="47"/>
        <v>0</v>
      </c>
      <c r="O93" s="52">
        <f ca="1" t="shared" si="55"/>
        <v>0</v>
      </c>
      <c r="P93" s="62">
        <f ca="1" t="shared" si="55"/>
        <v>0</v>
      </c>
      <c r="Q93" s="52">
        <f ca="1" t="shared" si="59"/>
        <v>0</v>
      </c>
      <c r="R93" s="62">
        <f ca="1" t="shared" si="57"/>
        <v>0</v>
      </c>
      <c r="S93" s="52">
        <f ca="1" t="shared" si="34"/>
        <v>0</v>
      </c>
      <c r="T93" s="62">
        <f ca="1" t="shared" si="61"/>
        <v>0</v>
      </c>
      <c r="U93" s="52">
        <f ca="1">INDIRECT(ADDRESS(ROW(),2))*0</f>
        <v>0</v>
      </c>
      <c r="V93" s="52">
        <f ca="1">INDIRECT(ADDRESS(ROW(),2))*0.05</f>
        <v>0</v>
      </c>
      <c r="W93" s="52">
        <f ca="1" t="shared" ref="W93:X101" si="62">INDIRECT(ADDRESS(ROW(),2))*0</f>
        <v>0</v>
      </c>
      <c r="X93" s="52">
        <f ca="1" t="shared" si="46"/>
        <v>0</v>
      </c>
    </row>
    <row r="94" customHeight="1" spans="1:24">
      <c r="A94" s="52" t="s">
        <v>10</v>
      </c>
      <c r="B94" s="52" t="b">
        <f>A:A=G6</f>
        <v>1</v>
      </c>
      <c r="C94" s="52">
        <f ca="1" t="shared" si="52"/>
        <v>0</v>
      </c>
      <c r="D94" s="62">
        <f ca="1" t="shared" si="36"/>
        <v>0</v>
      </c>
      <c r="E94" s="52">
        <f ca="1" t="shared" si="53"/>
        <v>0</v>
      </c>
      <c r="F94" s="62">
        <f ca="1" t="shared" si="37"/>
        <v>0</v>
      </c>
      <c r="G94" s="52">
        <f ca="1" t="shared" si="42"/>
        <v>0</v>
      </c>
      <c r="H94" s="62">
        <f ca="1">INDIRECT(ADDRESS(ROW(),2))*0.05</f>
        <v>0.05</v>
      </c>
      <c r="I94" s="52">
        <f ca="1" t="shared" si="58"/>
        <v>0</v>
      </c>
      <c r="J94" s="62">
        <f ca="1" t="shared" si="56"/>
        <v>0</v>
      </c>
      <c r="K94" s="52">
        <f ca="1" t="shared" si="40"/>
        <v>0</v>
      </c>
      <c r="L94" s="62">
        <f ca="1" t="shared" si="49"/>
        <v>0</v>
      </c>
      <c r="M94" s="52">
        <f ca="1" t="shared" si="30"/>
        <v>0</v>
      </c>
      <c r="N94" s="62">
        <f ca="1" t="shared" si="47"/>
        <v>0</v>
      </c>
      <c r="O94" s="52">
        <f ca="1" t="shared" si="55"/>
        <v>0</v>
      </c>
      <c r="P94" s="62">
        <f ca="1" t="shared" si="55"/>
        <v>0</v>
      </c>
      <c r="Q94" s="52">
        <f ca="1" t="shared" si="59"/>
        <v>0</v>
      </c>
      <c r="R94" s="62">
        <f ca="1" t="shared" si="57"/>
        <v>0</v>
      </c>
      <c r="S94" s="52">
        <f ca="1">INDIRECT(ADDRESS(ROW(),2))*IF(G5&gt;60,(1000-500*60/G5),G5/24*200)</f>
        <v>900</v>
      </c>
      <c r="T94" s="62">
        <f ca="1">INDIRECT(ADDRESS(ROW(),2))*0.1</f>
        <v>0.1</v>
      </c>
      <c r="U94" s="52">
        <f ca="1" t="shared" ref="U94:U100" si="63">INDIRECT(ADDRESS(ROW(),2))*0</f>
        <v>0</v>
      </c>
      <c r="V94" s="52">
        <f ca="1" t="shared" ref="V94:V100" si="64">INDIRECT(ADDRESS(ROW(),2))*0</f>
        <v>0</v>
      </c>
      <c r="W94" s="52">
        <f ca="1" t="shared" si="62"/>
        <v>0</v>
      </c>
      <c r="X94" s="52">
        <f ca="1" t="shared" ref="X94:X100" si="65">INDIRECT(ADDRESS(ROW(),2))*0</f>
        <v>0</v>
      </c>
    </row>
    <row r="95" customHeight="1" spans="1:24">
      <c r="A95" s="52" t="s">
        <v>154</v>
      </c>
      <c r="B95" s="52" t="b">
        <f>A:A=G6</f>
        <v>0</v>
      </c>
      <c r="C95" s="52">
        <f ca="1" t="shared" si="52"/>
        <v>0</v>
      </c>
      <c r="D95" s="62">
        <f ca="1" t="shared" si="36"/>
        <v>0</v>
      </c>
      <c r="E95" s="52">
        <f ca="1" t="shared" si="53"/>
        <v>0</v>
      </c>
      <c r="F95" s="62">
        <f ca="1" t="shared" si="37"/>
        <v>0</v>
      </c>
      <c r="G95" s="52">
        <f ca="1" t="shared" si="42"/>
        <v>0</v>
      </c>
      <c r="H95" s="62">
        <f ca="1" t="shared" ref="H95:H99" si="66">INDIRECT(ADDRESS(ROW(),2))*0</f>
        <v>0</v>
      </c>
      <c r="I95" s="52">
        <f ca="1" t="shared" si="58"/>
        <v>0</v>
      </c>
      <c r="J95" s="62">
        <f ca="1" t="shared" ref="J95:J100" si="67">INDIRECT(ADDRESS(ROW(),2))*0.03</f>
        <v>0</v>
      </c>
      <c r="K95" s="52">
        <f ca="1" t="shared" si="40"/>
        <v>0</v>
      </c>
      <c r="L95" s="62">
        <f ca="1">INDIRECT(ADDRESS(ROW(),2))*0.08</f>
        <v>0</v>
      </c>
      <c r="M95" s="52">
        <f ca="1" t="shared" si="30"/>
        <v>0</v>
      </c>
      <c r="N95" s="62">
        <f ca="1">INDIRECT(ADDRESS(ROW(),2))*0.1</f>
        <v>0</v>
      </c>
      <c r="O95" s="52">
        <f ca="1" t="shared" si="55"/>
        <v>0</v>
      </c>
      <c r="P95" s="62">
        <f ca="1" t="shared" si="55"/>
        <v>0</v>
      </c>
      <c r="Q95" s="52">
        <f ca="1" t="shared" si="59"/>
        <v>0</v>
      </c>
      <c r="R95" s="62">
        <f ca="1" t="shared" si="57"/>
        <v>0</v>
      </c>
      <c r="S95" s="52">
        <f ca="1" t="shared" ref="S95:S100" si="68">INDIRECT(ADDRESS(ROW(),2))*0</f>
        <v>0</v>
      </c>
      <c r="T95" s="62">
        <f ca="1" t="shared" ref="T95:T99" si="69">INDIRECT(ADDRESS(ROW(),2))*0</f>
        <v>0</v>
      </c>
      <c r="U95" s="52">
        <f ca="1" t="shared" si="63"/>
        <v>0</v>
      </c>
      <c r="V95" s="52">
        <f ca="1" t="shared" si="64"/>
        <v>0</v>
      </c>
      <c r="W95" s="52">
        <f ca="1" t="shared" si="62"/>
        <v>0</v>
      </c>
      <c r="X95" s="52">
        <f ca="1" t="shared" si="65"/>
        <v>0</v>
      </c>
    </row>
    <row r="96" customHeight="1" spans="1:24">
      <c r="A96" s="52" t="s">
        <v>155</v>
      </c>
      <c r="B96" s="52" t="b">
        <f>A:A=G6</f>
        <v>0</v>
      </c>
      <c r="C96" s="52">
        <f ca="1" t="shared" si="52"/>
        <v>0</v>
      </c>
      <c r="D96" s="62">
        <f ca="1" t="shared" si="36"/>
        <v>0</v>
      </c>
      <c r="E96" s="52">
        <f ca="1" t="shared" si="53"/>
        <v>0</v>
      </c>
      <c r="F96" s="62">
        <f ca="1" t="shared" si="37"/>
        <v>0</v>
      </c>
      <c r="G96" s="52">
        <f ca="1" t="shared" si="42"/>
        <v>0</v>
      </c>
      <c r="H96" s="62">
        <f ca="1">INDIRECT(ADDRESS(ROW(),2))*0.07</f>
        <v>0</v>
      </c>
      <c r="I96" s="52">
        <f ca="1" t="shared" si="58"/>
        <v>0</v>
      </c>
      <c r="J96" s="62">
        <f ca="1" t="shared" ref="J96:N96" si="70">INDIRECT(ADDRESS(ROW(),2))*0</f>
        <v>0</v>
      </c>
      <c r="K96" s="52">
        <f ca="1" t="shared" si="40"/>
        <v>0</v>
      </c>
      <c r="L96" s="62">
        <f ca="1" t="shared" si="70"/>
        <v>0</v>
      </c>
      <c r="M96" s="52">
        <f ca="1" t="shared" si="30"/>
        <v>0</v>
      </c>
      <c r="N96" s="62">
        <f ca="1" t="shared" si="70"/>
        <v>0</v>
      </c>
      <c r="O96" s="52">
        <f ca="1" t="shared" si="55"/>
        <v>0</v>
      </c>
      <c r="P96" s="62">
        <f ca="1" t="shared" si="55"/>
        <v>0</v>
      </c>
      <c r="Q96" s="52">
        <f ca="1" t="shared" si="59"/>
        <v>0</v>
      </c>
      <c r="R96" s="62">
        <f ca="1" t="shared" si="57"/>
        <v>0</v>
      </c>
      <c r="S96" s="52">
        <f ca="1" t="shared" si="68"/>
        <v>0</v>
      </c>
      <c r="T96" s="62">
        <f ca="1">INDIRECT(ADDRESS(ROW(),2))*0.2</f>
        <v>0</v>
      </c>
      <c r="U96" s="52">
        <f ca="1" t="shared" si="63"/>
        <v>0</v>
      </c>
      <c r="V96" s="52">
        <f ca="1" t="shared" si="64"/>
        <v>0</v>
      </c>
      <c r="W96" s="52">
        <f ca="1" t="shared" si="62"/>
        <v>0</v>
      </c>
      <c r="X96" s="52">
        <f ca="1" t="shared" si="65"/>
        <v>0</v>
      </c>
    </row>
    <row r="97" customHeight="1" spans="1:24">
      <c r="A97" s="52" t="s">
        <v>156</v>
      </c>
      <c r="B97" s="52" t="b">
        <f>A:A=G6</f>
        <v>0</v>
      </c>
      <c r="C97" s="52">
        <f ca="1" t="shared" si="52"/>
        <v>0</v>
      </c>
      <c r="D97" s="62">
        <f ca="1">INDIRECT(ADDRESS(ROW(),2))*0.03</f>
        <v>0</v>
      </c>
      <c r="E97" s="52">
        <f ca="1" t="shared" si="53"/>
        <v>0</v>
      </c>
      <c r="F97" s="62">
        <f ca="1" t="shared" si="37"/>
        <v>0</v>
      </c>
      <c r="G97" s="52">
        <f ca="1" t="shared" si="42"/>
        <v>0</v>
      </c>
      <c r="H97" s="62">
        <f ca="1" t="shared" si="66"/>
        <v>0</v>
      </c>
      <c r="I97" s="52">
        <f ca="1" t="shared" si="58"/>
        <v>0</v>
      </c>
      <c r="J97" s="62">
        <f ca="1" t="shared" si="67"/>
        <v>0</v>
      </c>
      <c r="K97" s="52">
        <f ca="1" t="shared" si="40"/>
        <v>0</v>
      </c>
      <c r="L97" s="62">
        <f ca="1" t="shared" ref="L97:L100" si="71">INDIRECT(ADDRESS(ROW(),2))*0.05</f>
        <v>0</v>
      </c>
      <c r="M97" s="52">
        <f ca="1" t="shared" si="30"/>
        <v>0</v>
      </c>
      <c r="N97" s="62">
        <f ca="1" t="shared" ref="N97:N100" si="72">INDIRECT(ADDRESS(ROW(),2))*0</f>
        <v>0</v>
      </c>
      <c r="O97" s="52">
        <f ca="1" t="shared" si="55"/>
        <v>0</v>
      </c>
      <c r="P97" s="62">
        <f ca="1" t="shared" si="55"/>
        <v>0</v>
      </c>
      <c r="Q97" s="52">
        <f ca="1" t="shared" si="59"/>
        <v>0</v>
      </c>
      <c r="R97" s="62">
        <f ca="1" t="shared" si="57"/>
        <v>0</v>
      </c>
      <c r="S97" s="52">
        <f ca="1" t="shared" si="68"/>
        <v>0</v>
      </c>
      <c r="T97" s="62">
        <f ca="1">INDIRECT(ADDRESS(ROW(),2))*0.1</f>
        <v>0</v>
      </c>
      <c r="U97" s="52">
        <f ca="1" t="shared" si="63"/>
        <v>0</v>
      </c>
      <c r="V97" s="52">
        <f ca="1" t="shared" si="64"/>
        <v>0</v>
      </c>
      <c r="W97" s="52">
        <f ca="1" t="shared" si="62"/>
        <v>0</v>
      </c>
      <c r="X97" s="52">
        <f ca="1" t="shared" si="65"/>
        <v>0</v>
      </c>
    </row>
    <row r="98" customHeight="1" spans="1:24">
      <c r="A98" s="52" t="s">
        <v>157</v>
      </c>
      <c r="B98" s="52" t="b">
        <f>A:A=G6</f>
        <v>0</v>
      </c>
      <c r="C98" s="52">
        <f ca="1" t="shared" si="52"/>
        <v>0</v>
      </c>
      <c r="D98" s="62">
        <f ca="1" t="shared" ref="D98:D101" si="73">INDIRECT(ADDRESS(ROW(),2))*0</f>
        <v>0</v>
      </c>
      <c r="E98" s="52">
        <f ca="1" t="shared" si="53"/>
        <v>0</v>
      </c>
      <c r="F98" s="62">
        <f ca="1">INDIRECT(ADDRESS(ROW(),2))*0.03</f>
        <v>0</v>
      </c>
      <c r="G98" s="52">
        <f ca="1" t="shared" si="42"/>
        <v>0</v>
      </c>
      <c r="H98" s="62">
        <f ca="1">INDIRECT(ADDRESS(ROW(),2))*0.05</f>
        <v>0</v>
      </c>
      <c r="I98" s="52">
        <f ca="1" t="shared" si="58"/>
        <v>0</v>
      </c>
      <c r="J98" s="62">
        <f ca="1">INDIRECT(ADDRESS(ROW(),2))*0</f>
        <v>0</v>
      </c>
      <c r="K98" s="52">
        <f ca="1" t="shared" si="40"/>
        <v>0</v>
      </c>
      <c r="L98" s="62">
        <f ca="1">INDIRECT(ADDRESS(ROW(),2))*0</f>
        <v>0</v>
      </c>
      <c r="M98" s="52">
        <f ca="1" t="shared" si="30"/>
        <v>0</v>
      </c>
      <c r="N98" s="62">
        <f ca="1">INDIRECT(ADDRESS(ROW(),2))*0.2</f>
        <v>0</v>
      </c>
      <c r="O98" s="52">
        <f ca="1" t="shared" si="55"/>
        <v>0</v>
      </c>
      <c r="P98" s="62">
        <f ca="1" t="shared" si="55"/>
        <v>0</v>
      </c>
      <c r="Q98" s="52">
        <f ca="1" t="shared" si="59"/>
        <v>0</v>
      </c>
      <c r="R98" s="62">
        <f ca="1" t="shared" si="57"/>
        <v>0</v>
      </c>
      <c r="S98" s="52">
        <f ca="1" t="shared" si="68"/>
        <v>0</v>
      </c>
      <c r="T98" s="62">
        <f ca="1" t="shared" si="69"/>
        <v>0</v>
      </c>
      <c r="U98" s="52">
        <f ca="1" t="shared" si="63"/>
        <v>0</v>
      </c>
      <c r="V98" s="52">
        <f ca="1" t="shared" si="64"/>
        <v>0</v>
      </c>
      <c r="W98" s="52">
        <f ca="1" t="shared" si="62"/>
        <v>0</v>
      </c>
      <c r="X98" s="52">
        <f ca="1" t="shared" si="65"/>
        <v>0</v>
      </c>
    </row>
    <row r="99" customHeight="1" spans="1:24">
      <c r="A99" s="52" t="s">
        <v>158</v>
      </c>
      <c r="B99" s="52" t="b">
        <f>A:A=G6</f>
        <v>0</v>
      </c>
      <c r="C99" s="52">
        <f ca="1" t="shared" si="52"/>
        <v>0</v>
      </c>
      <c r="D99" s="62">
        <f ca="1" t="shared" si="73"/>
        <v>0</v>
      </c>
      <c r="E99" s="52">
        <f ca="1" t="shared" si="53"/>
        <v>0</v>
      </c>
      <c r="F99" s="62">
        <f ca="1">INDIRECT(ADDRESS(ROW(),2))*0</f>
        <v>0</v>
      </c>
      <c r="G99" s="52">
        <f ca="1" t="shared" si="42"/>
        <v>0</v>
      </c>
      <c r="H99" s="62">
        <f ca="1" t="shared" si="66"/>
        <v>0</v>
      </c>
      <c r="I99" s="52">
        <f ca="1" t="shared" si="58"/>
        <v>0</v>
      </c>
      <c r="J99" s="62">
        <f ca="1" t="shared" si="67"/>
        <v>0</v>
      </c>
      <c r="K99" s="52">
        <f ca="1" t="shared" si="40"/>
        <v>0</v>
      </c>
      <c r="L99" s="62">
        <f ca="1" t="shared" si="71"/>
        <v>0</v>
      </c>
      <c r="M99" s="52">
        <f ca="1" t="shared" si="30"/>
        <v>0</v>
      </c>
      <c r="N99" s="62">
        <f ca="1" t="shared" si="72"/>
        <v>0</v>
      </c>
      <c r="O99" s="52">
        <f ca="1" t="shared" si="55"/>
        <v>0</v>
      </c>
      <c r="P99" s="62">
        <f ca="1" t="shared" si="55"/>
        <v>0</v>
      </c>
      <c r="Q99" s="52">
        <f ca="1" t="shared" si="59"/>
        <v>0</v>
      </c>
      <c r="R99" s="62">
        <f ca="1" t="shared" si="57"/>
        <v>0</v>
      </c>
      <c r="S99" s="52">
        <f ca="1" t="shared" si="68"/>
        <v>0</v>
      </c>
      <c r="T99" s="62">
        <f ca="1" t="shared" si="69"/>
        <v>0</v>
      </c>
      <c r="U99" s="52">
        <f ca="1" t="shared" si="63"/>
        <v>0</v>
      </c>
      <c r="V99" s="52">
        <f ca="1" t="shared" si="64"/>
        <v>0</v>
      </c>
      <c r="W99" s="52">
        <f ca="1" t="shared" si="62"/>
        <v>0</v>
      </c>
      <c r="X99" s="52">
        <f ca="1" t="shared" si="65"/>
        <v>0</v>
      </c>
    </row>
    <row r="100" customHeight="1" spans="1:24">
      <c r="A100" s="52" t="s">
        <v>159</v>
      </c>
      <c r="B100" s="52" t="b">
        <f>A:A=G6</f>
        <v>0</v>
      </c>
      <c r="C100" s="52">
        <f ca="1" t="shared" si="52"/>
        <v>0</v>
      </c>
      <c r="D100" s="62">
        <f ca="1" t="shared" si="73"/>
        <v>0</v>
      </c>
      <c r="E100" s="52">
        <f ca="1" t="shared" si="53"/>
        <v>0</v>
      </c>
      <c r="F100" s="62">
        <f ca="1">INDIRECT(ADDRESS(ROW(),2))*0</f>
        <v>0</v>
      </c>
      <c r="G100" s="52">
        <f ca="1" t="shared" si="42"/>
        <v>0</v>
      </c>
      <c r="H100" s="62">
        <f ca="1">INDIRECT(ADDRESS(ROW(),2))*0.05</f>
        <v>0</v>
      </c>
      <c r="I100" s="52">
        <f ca="1" t="shared" si="58"/>
        <v>0</v>
      </c>
      <c r="J100" s="62">
        <f ca="1" t="shared" si="67"/>
        <v>0</v>
      </c>
      <c r="K100" s="52">
        <f ca="1" t="shared" si="40"/>
        <v>0</v>
      </c>
      <c r="L100" s="62">
        <f ca="1" t="shared" si="71"/>
        <v>0</v>
      </c>
      <c r="M100" s="52">
        <f ca="1" t="shared" si="30"/>
        <v>0</v>
      </c>
      <c r="N100" s="62">
        <f ca="1" t="shared" si="72"/>
        <v>0</v>
      </c>
      <c r="O100" s="52">
        <f ca="1" t="shared" si="55"/>
        <v>0</v>
      </c>
      <c r="P100" s="62">
        <f ca="1" t="shared" si="55"/>
        <v>0</v>
      </c>
      <c r="Q100" s="52">
        <f ca="1" t="shared" si="59"/>
        <v>0</v>
      </c>
      <c r="R100" s="62">
        <f ca="1" t="shared" si="57"/>
        <v>0</v>
      </c>
      <c r="S100" s="52">
        <f ca="1" t="shared" si="68"/>
        <v>0</v>
      </c>
      <c r="T100" s="62">
        <f ca="1">INDIRECT(ADDRESS(ROW(),2))*0.1</f>
        <v>0</v>
      </c>
      <c r="U100" s="52">
        <f ca="1" t="shared" si="63"/>
        <v>0</v>
      </c>
      <c r="V100" s="52">
        <f ca="1" t="shared" si="64"/>
        <v>0</v>
      </c>
      <c r="W100" s="52">
        <f ca="1" t="shared" si="62"/>
        <v>0</v>
      </c>
      <c r="X100" s="52">
        <f ca="1" t="shared" si="65"/>
        <v>0</v>
      </c>
    </row>
    <row r="101" customHeight="1" spans="1:24">
      <c r="A101" s="68" t="s">
        <v>160</v>
      </c>
      <c r="B101" s="52" t="b">
        <f>A:A=G6</f>
        <v>0</v>
      </c>
      <c r="C101" s="52">
        <f ca="1" t="shared" si="52"/>
        <v>0</v>
      </c>
      <c r="D101" s="62">
        <f ca="1" t="shared" si="73"/>
        <v>0</v>
      </c>
      <c r="E101" s="52">
        <f ca="1" t="shared" si="53"/>
        <v>0</v>
      </c>
      <c r="F101" s="62">
        <f ca="1">INDIRECT(ADDRESS(ROW(),2))*0</f>
        <v>0</v>
      </c>
      <c r="G101" s="52">
        <f ca="1" t="shared" si="42"/>
        <v>0</v>
      </c>
      <c r="H101" s="62">
        <f ca="1">INDIRECT(ADDRESS(ROW(),2))*0.2</f>
        <v>0</v>
      </c>
      <c r="I101" s="52">
        <f ca="1" t="shared" si="42"/>
        <v>0</v>
      </c>
      <c r="J101" s="62">
        <f ca="1" t="shared" si="42"/>
        <v>0</v>
      </c>
      <c r="K101" s="52">
        <f ca="1" t="shared" si="42"/>
        <v>0</v>
      </c>
      <c r="L101" s="62">
        <f ca="1">INDIRECT(ADDRESS(ROW(),2))*0.03</f>
        <v>0</v>
      </c>
      <c r="M101" s="52">
        <f ca="1" t="shared" si="42"/>
        <v>0</v>
      </c>
      <c r="N101" s="62">
        <f ca="1" t="shared" si="42"/>
        <v>0</v>
      </c>
      <c r="O101" s="52">
        <f ca="1" t="shared" si="42"/>
        <v>0</v>
      </c>
      <c r="P101" s="62">
        <f ca="1" t="shared" si="42"/>
        <v>0</v>
      </c>
      <c r="Q101" s="52">
        <f ca="1" t="shared" si="42"/>
        <v>0</v>
      </c>
      <c r="R101" s="62">
        <f ca="1" t="shared" si="42"/>
        <v>0</v>
      </c>
      <c r="S101" s="52">
        <f ca="1" t="shared" si="42"/>
        <v>0</v>
      </c>
      <c r="T101" s="62">
        <f ca="1" t="shared" si="42"/>
        <v>0</v>
      </c>
      <c r="U101" s="52">
        <f ca="1" t="shared" si="42"/>
        <v>0</v>
      </c>
      <c r="V101" s="52">
        <f ca="1" t="shared" si="42"/>
        <v>0</v>
      </c>
      <c r="W101" s="52">
        <f ca="1" t="shared" si="62"/>
        <v>0</v>
      </c>
      <c r="X101" s="52">
        <f ca="1" t="shared" si="62"/>
        <v>0</v>
      </c>
    </row>
    <row r="102" customHeight="1" spans="1:23">
      <c r="A102" s="52" t="s">
        <v>268</v>
      </c>
      <c r="B102" s="52">
        <f>IF(G2="无",0,G2)</f>
        <v>0</v>
      </c>
      <c r="D102" s="62"/>
      <c r="F102" s="62"/>
      <c r="H102" s="62"/>
      <c r="J102" s="62"/>
      <c r="L102" s="62"/>
      <c r="N102" s="62"/>
      <c r="P102" s="62"/>
      <c r="R102" s="62"/>
      <c r="T102" s="62"/>
      <c r="W102" s="52">
        <f>(IF(B102="四级",248,0)+IF(B102="五级",311,0)+IF(B102="六级",373,0))</f>
        <v>0</v>
      </c>
    </row>
    <row r="103" customHeight="1" spans="1:24">
      <c r="A103" s="52" t="s">
        <v>72</v>
      </c>
      <c r="B103" s="52" t="b">
        <f>A:A=E7</f>
        <v>1</v>
      </c>
      <c r="C103" s="52">
        <f ca="1" t="shared" ref="C103:C109" si="74">INDIRECT(ADDRESS(ROW(),2))*0</f>
        <v>0</v>
      </c>
      <c r="D103" s="62">
        <f ca="1">INDIRECT(ADDRESS(ROW(),2))*0.1</f>
        <v>0.1</v>
      </c>
      <c r="E103" s="52">
        <f ca="1" t="shared" ref="E103:N109" si="75">INDIRECT(ADDRESS(ROW(),2))*0</f>
        <v>0</v>
      </c>
      <c r="F103" s="62">
        <f ca="1" t="shared" ref="F103:G109" si="76">INDIRECT(ADDRESS(ROW(),2))*0</f>
        <v>0</v>
      </c>
      <c r="G103" s="52">
        <f ca="1" t="shared" si="76"/>
        <v>0</v>
      </c>
      <c r="H103" s="62">
        <f ca="1" t="shared" si="75"/>
        <v>0</v>
      </c>
      <c r="I103" s="52">
        <f ca="1" t="shared" si="75"/>
        <v>0</v>
      </c>
      <c r="J103" s="62">
        <f ca="1" t="shared" si="75"/>
        <v>0</v>
      </c>
      <c r="K103" s="52">
        <f ca="1" t="shared" si="75"/>
        <v>0</v>
      </c>
      <c r="L103" s="62">
        <f ca="1" t="shared" si="75"/>
        <v>0</v>
      </c>
      <c r="M103" s="52">
        <f ca="1" t="shared" si="75"/>
        <v>0</v>
      </c>
      <c r="N103" s="62">
        <f ca="1" t="shared" si="75"/>
        <v>0</v>
      </c>
      <c r="O103" s="52">
        <f ca="1" t="shared" ref="O103:X109" si="77">INDIRECT(ADDRESS(ROW(),2))*0</f>
        <v>0</v>
      </c>
      <c r="P103" s="62">
        <f ca="1" t="shared" si="77"/>
        <v>0</v>
      </c>
      <c r="Q103" s="52">
        <f ca="1" t="shared" si="77"/>
        <v>0</v>
      </c>
      <c r="R103" s="62">
        <f ca="1" t="shared" si="77"/>
        <v>0</v>
      </c>
      <c r="S103" s="52">
        <f ca="1" t="shared" si="77"/>
        <v>0</v>
      </c>
      <c r="T103" s="62">
        <f ca="1" t="shared" si="77"/>
        <v>0</v>
      </c>
      <c r="U103" s="52">
        <f ca="1" t="shared" si="77"/>
        <v>0</v>
      </c>
      <c r="V103" s="52">
        <f ca="1" t="shared" si="77"/>
        <v>0</v>
      </c>
      <c r="W103" s="52">
        <f ca="1" t="shared" si="77"/>
        <v>0</v>
      </c>
      <c r="X103" s="52">
        <f ca="1" t="shared" si="77"/>
        <v>0</v>
      </c>
    </row>
    <row r="104" customHeight="1" spans="1:24">
      <c r="A104" s="52" t="s">
        <v>269</v>
      </c>
      <c r="B104" s="52" t="b">
        <f>A104=E8</f>
        <v>0</v>
      </c>
      <c r="C104" s="52">
        <f ca="1" t="shared" si="74"/>
        <v>0</v>
      </c>
      <c r="D104" s="62">
        <f ca="1" t="shared" ref="D104:D109" si="78">INDIRECT(ADDRESS(ROW(),2))*0</f>
        <v>0</v>
      </c>
      <c r="E104" s="52">
        <f ca="1" t="shared" si="75"/>
        <v>0</v>
      </c>
      <c r="F104" s="62">
        <f ca="1" t="shared" si="76"/>
        <v>0</v>
      </c>
      <c r="G104" s="52">
        <f ca="1" t="shared" si="76"/>
        <v>0</v>
      </c>
      <c r="H104" s="62">
        <f ca="1" t="shared" si="75"/>
        <v>0</v>
      </c>
      <c r="I104" s="52">
        <f ca="1" t="shared" si="75"/>
        <v>0</v>
      </c>
      <c r="J104" s="62">
        <f ca="1" t="shared" si="75"/>
        <v>0</v>
      </c>
      <c r="K104" s="52">
        <f ca="1" t="shared" si="75"/>
        <v>0</v>
      </c>
      <c r="L104" s="62">
        <f ca="1">INDIRECT(ADDRESS(ROW(),2))*0</f>
        <v>0</v>
      </c>
      <c r="M104" s="52">
        <f ca="1" t="shared" si="75"/>
        <v>0</v>
      </c>
      <c r="N104" s="62">
        <f ca="1">INDIRECT(ADDRESS(ROW(),2))*0</f>
        <v>0</v>
      </c>
      <c r="O104" s="52">
        <f ca="1" t="shared" si="77"/>
        <v>0</v>
      </c>
      <c r="P104" s="62">
        <f ca="1" t="shared" si="77"/>
        <v>0</v>
      </c>
      <c r="Q104" s="52">
        <f ca="1" t="shared" si="77"/>
        <v>0</v>
      </c>
      <c r="R104" s="62">
        <f ca="1" t="shared" si="77"/>
        <v>0</v>
      </c>
      <c r="S104" s="52">
        <f ca="1" t="shared" si="77"/>
        <v>0</v>
      </c>
      <c r="T104" s="62">
        <f ca="1">INDIRECT(ADDRESS(ROW(),2))*0.1*10/18</f>
        <v>0</v>
      </c>
      <c r="U104" s="52">
        <f ca="1" t="shared" si="77"/>
        <v>0</v>
      </c>
      <c r="V104" s="52">
        <f ca="1" t="shared" si="77"/>
        <v>0</v>
      </c>
      <c r="W104" s="52">
        <f ca="1" t="shared" si="77"/>
        <v>0</v>
      </c>
      <c r="X104" s="52">
        <f ca="1" t="shared" si="77"/>
        <v>0</v>
      </c>
    </row>
    <row r="105" customHeight="1" spans="1:24">
      <c r="A105" s="52" t="s">
        <v>185</v>
      </c>
      <c r="B105" s="52">
        <f>G14</f>
        <v>0</v>
      </c>
      <c r="C105" s="52">
        <f ca="1" t="shared" si="74"/>
        <v>0</v>
      </c>
      <c r="D105" s="62">
        <f ca="1" t="shared" si="78"/>
        <v>0</v>
      </c>
      <c r="E105" s="52">
        <f ca="1" t="shared" si="75"/>
        <v>0</v>
      </c>
      <c r="F105" s="62">
        <f ca="1" t="shared" si="76"/>
        <v>0</v>
      </c>
      <c r="G105" s="52">
        <f ca="1" t="shared" si="76"/>
        <v>0</v>
      </c>
      <c r="H105" s="62">
        <f>0.3*12/60*B105</f>
        <v>0</v>
      </c>
      <c r="I105" s="52">
        <f ca="1" t="shared" si="75"/>
        <v>0</v>
      </c>
      <c r="J105" s="62">
        <f ca="1" t="shared" si="75"/>
        <v>0</v>
      </c>
      <c r="K105" s="52">
        <f ca="1" t="shared" si="75"/>
        <v>0</v>
      </c>
      <c r="L105" s="62">
        <f ca="1" t="shared" si="75"/>
        <v>0</v>
      </c>
      <c r="M105" s="52">
        <f ca="1" t="shared" si="75"/>
        <v>0</v>
      </c>
      <c r="N105" s="62">
        <f ca="1" t="shared" si="75"/>
        <v>0</v>
      </c>
      <c r="O105" s="52">
        <f ca="1" t="shared" si="77"/>
        <v>0</v>
      </c>
      <c r="P105" s="62">
        <f ca="1" t="shared" si="77"/>
        <v>0</v>
      </c>
      <c r="Q105" s="52">
        <f ca="1" t="shared" si="77"/>
        <v>0</v>
      </c>
      <c r="R105" s="62">
        <f ca="1" t="shared" si="77"/>
        <v>0</v>
      </c>
      <c r="S105" s="52">
        <f ca="1" t="shared" si="77"/>
        <v>0</v>
      </c>
      <c r="T105" s="62">
        <f ca="1" t="shared" si="77"/>
        <v>0</v>
      </c>
      <c r="U105" s="52">
        <f ca="1" t="shared" si="77"/>
        <v>0</v>
      </c>
      <c r="V105" s="52">
        <f ca="1" t="shared" si="77"/>
        <v>0</v>
      </c>
      <c r="W105" s="52">
        <f ca="1" t="shared" si="77"/>
        <v>0</v>
      </c>
      <c r="X105" s="52">
        <f ca="1" t="shared" si="77"/>
        <v>0</v>
      </c>
    </row>
    <row r="106" customHeight="1" spans="1:24">
      <c r="A106" s="52" t="s">
        <v>116</v>
      </c>
      <c r="B106" s="52" t="b">
        <f>A106=E12</f>
        <v>1</v>
      </c>
      <c r="C106" s="52">
        <f ca="1" t="shared" si="74"/>
        <v>0</v>
      </c>
      <c r="D106" s="62">
        <f ca="1" t="shared" si="78"/>
        <v>0</v>
      </c>
      <c r="E106" s="52">
        <f ca="1" t="shared" si="75"/>
        <v>0</v>
      </c>
      <c r="F106" s="62">
        <f ca="1" t="shared" si="76"/>
        <v>0</v>
      </c>
      <c r="G106" s="52">
        <f ca="1" t="shared" si="76"/>
        <v>0</v>
      </c>
      <c r="H106" s="62">
        <f ca="1" t="shared" si="75"/>
        <v>0</v>
      </c>
      <c r="I106" s="52">
        <f ca="1" t="shared" si="75"/>
        <v>0</v>
      </c>
      <c r="J106" s="62">
        <f ca="1" t="shared" si="75"/>
        <v>0</v>
      </c>
      <c r="K106" s="52">
        <f ca="1" t="shared" si="75"/>
        <v>0</v>
      </c>
      <c r="L106" s="62">
        <f ca="1" t="shared" si="75"/>
        <v>0</v>
      </c>
      <c r="M106" s="52">
        <f ca="1" t="shared" si="75"/>
        <v>0</v>
      </c>
      <c r="N106" s="62">
        <f ca="1" t="shared" si="75"/>
        <v>0</v>
      </c>
      <c r="O106" s="52">
        <f ca="1" t="shared" si="77"/>
        <v>0</v>
      </c>
      <c r="P106" s="62">
        <f ca="1" t="shared" si="77"/>
        <v>0</v>
      </c>
      <c r="Q106" s="52">
        <f ca="1" t="shared" si="77"/>
        <v>0</v>
      </c>
      <c r="R106" s="62">
        <f ca="1" t="shared" si="77"/>
        <v>0</v>
      </c>
      <c r="S106" s="52">
        <f ca="1" t="shared" si="77"/>
        <v>0</v>
      </c>
      <c r="T106" s="62">
        <v>0.3</v>
      </c>
      <c r="U106" s="52">
        <f ca="1" t="shared" si="77"/>
        <v>0</v>
      </c>
      <c r="V106" s="52">
        <f ca="1" t="shared" si="77"/>
        <v>0</v>
      </c>
      <c r="W106" s="52">
        <f ca="1" t="shared" si="77"/>
        <v>0</v>
      </c>
      <c r="X106" s="52">
        <f ca="1" t="shared" si="77"/>
        <v>0</v>
      </c>
    </row>
    <row r="107" customHeight="1" spans="1:24">
      <c r="A107" s="52" t="s">
        <v>134</v>
      </c>
      <c r="B107" s="52" t="b">
        <f>B4</f>
        <v>0</v>
      </c>
      <c r="C107" s="52">
        <f ca="1" t="shared" si="74"/>
        <v>0</v>
      </c>
      <c r="D107" s="62">
        <f ca="1" t="shared" si="78"/>
        <v>0</v>
      </c>
      <c r="E107" s="52">
        <f ca="1" t="shared" si="75"/>
        <v>0</v>
      </c>
      <c r="F107" s="62">
        <f ca="1" t="shared" si="76"/>
        <v>0</v>
      </c>
      <c r="G107" s="52">
        <f ca="1" t="shared" si="76"/>
        <v>0</v>
      </c>
      <c r="H107" s="62">
        <f ca="1">INDIRECT(ADDRESS(ROW(),2))*0.3*60/G5</f>
        <v>0</v>
      </c>
      <c r="I107" s="52">
        <f ca="1" t="shared" si="75"/>
        <v>0</v>
      </c>
      <c r="J107" s="62">
        <f ca="1" t="shared" si="75"/>
        <v>0</v>
      </c>
      <c r="K107" s="52">
        <f ca="1" t="shared" si="75"/>
        <v>0</v>
      </c>
      <c r="L107" s="62">
        <f ca="1" t="shared" si="75"/>
        <v>0</v>
      </c>
      <c r="M107" s="52">
        <f ca="1" t="shared" si="75"/>
        <v>0</v>
      </c>
      <c r="N107" s="62">
        <f ca="1" t="shared" si="75"/>
        <v>0</v>
      </c>
      <c r="O107" s="52">
        <f ca="1" t="shared" si="77"/>
        <v>0</v>
      </c>
      <c r="P107" s="62">
        <f ca="1" t="shared" si="77"/>
        <v>0</v>
      </c>
      <c r="Q107" s="52">
        <f ca="1" t="shared" si="77"/>
        <v>0</v>
      </c>
      <c r="R107" s="62">
        <f ca="1" t="shared" si="77"/>
        <v>0</v>
      </c>
      <c r="S107" s="52">
        <f ca="1" t="shared" si="77"/>
        <v>0</v>
      </c>
      <c r="T107" s="62">
        <f ca="1" t="shared" si="77"/>
        <v>0</v>
      </c>
      <c r="U107" s="52">
        <f ca="1" t="shared" si="77"/>
        <v>0</v>
      </c>
      <c r="V107" s="52">
        <f ca="1" t="shared" si="77"/>
        <v>0</v>
      </c>
      <c r="W107" s="52">
        <f ca="1" t="shared" si="77"/>
        <v>0</v>
      </c>
      <c r="X107" s="52">
        <f ca="1">INDIRECT(ADDRESS(ROW(),2))*400</f>
        <v>0</v>
      </c>
    </row>
    <row r="108" customHeight="1" spans="1:24">
      <c r="A108" s="52" t="s">
        <v>143</v>
      </c>
      <c r="B108" s="52" t="b">
        <f>B22</f>
        <v>0</v>
      </c>
      <c r="C108" s="52">
        <f ca="1" t="shared" si="74"/>
        <v>0</v>
      </c>
      <c r="D108" s="62">
        <f ca="1" t="shared" si="78"/>
        <v>0</v>
      </c>
      <c r="E108" s="52">
        <f ca="1" t="shared" si="75"/>
        <v>0</v>
      </c>
      <c r="F108" s="62">
        <f ca="1" t="shared" si="76"/>
        <v>0</v>
      </c>
      <c r="G108" s="52">
        <f ca="1" t="shared" si="76"/>
        <v>0</v>
      </c>
      <c r="H108" s="62">
        <f ca="1" t="shared" si="75"/>
        <v>0</v>
      </c>
      <c r="I108" s="52">
        <f ca="1" t="shared" si="75"/>
        <v>0</v>
      </c>
      <c r="J108" s="62">
        <f ca="1" t="shared" si="75"/>
        <v>0</v>
      </c>
      <c r="K108" s="52">
        <f ca="1" t="shared" si="75"/>
        <v>0</v>
      </c>
      <c r="L108" s="62">
        <f ca="1" t="shared" si="75"/>
        <v>0</v>
      </c>
      <c r="M108" s="52">
        <f ca="1" t="shared" si="75"/>
        <v>0</v>
      </c>
      <c r="N108" s="62">
        <f ca="1" t="shared" si="75"/>
        <v>0</v>
      </c>
      <c r="O108" s="52">
        <f ca="1" t="shared" si="77"/>
        <v>0</v>
      </c>
      <c r="P108" s="62">
        <f ca="1" t="shared" si="77"/>
        <v>0</v>
      </c>
      <c r="Q108" s="52">
        <f ca="1" t="shared" si="77"/>
        <v>0</v>
      </c>
      <c r="R108" s="62">
        <f ca="1" t="shared" si="77"/>
        <v>0</v>
      </c>
      <c r="S108" s="52">
        <f ca="1" t="shared" si="77"/>
        <v>0</v>
      </c>
      <c r="T108" s="62">
        <f ca="1" t="shared" si="77"/>
        <v>0</v>
      </c>
      <c r="U108" s="52">
        <f ca="1" t="shared" si="77"/>
        <v>0</v>
      </c>
      <c r="V108" s="52">
        <f ca="1" t="shared" si="77"/>
        <v>0</v>
      </c>
      <c r="W108" s="52">
        <f ca="1">INDIRECT(ADDRESS(ROW(),2))*112</f>
        <v>0</v>
      </c>
      <c r="X108" s="52">
        <f ca="1" t="shared" si="77"/>
        <v>0</v>
      </c>
    </row>
    <row r="109" customHeight="1" spans="2:24">
      <c r="B109" s="52" t="b">
        <v>0</v>
      </c>
      <c r="C109" s="52">
        <f ca="1" t="shared" si="74"/>
        <v>0</v>
      </c>
      <c r="D109" s="62">
        <f ca="1" t="shared" si="78"/>
        <v>0</v>
      </c>
      <c r="E109" s="52">
        <f ca="1" t="shared" si="75"/>
        <v>0</v>
      </c>
      <c r="F109" s="62">
        <f ca="1" t="shared" si="76"/>
        <v>0</v>
      </c>
      <c r="G109" s="52">
        <f ca="1" t="shared" si="76"/>
        <v>0</v>
      </c>
      <c r="H109" s="62">
        <f ca="1" t="shared" si="75"/>
        <v>0</v>
      </c>
      <c r="I109" s="52">
        <f ca="1" t="shared" si="75"/>
        <v>0</v>
      </c>
      <c r="J109" s="62">
        <f ca="1" t="shared" si="75"/>
        <v>0</v>
      </c>
      <c r="K109" s="52">
        <f ca="1" t="shared" si="75"/>
        <v>0</v>
      </c>
      <c r="L109" s="62">
        <f ca="1" t="shared" si="75"/>
        <v>0</v>
      </c>
      <c r="M109" s="52">
        <f ca="1" t="shared" si="75"/>
        <v>0</v>
      </c>
      <c r="N109" s="62">
        <f ca="1" t="shared" si="75"/>
        <v>0</v>
      </c>
      <c r="O109" s="52">
        <f ca="1" t="shared" si="77"/>
        <v>0</v>
      </c>
      <c r="P109" s="62">
        <f ca="1" t="shared" si="77"/>
        <v>0</v>
      </c>
      <c r="Q109" s="52">
        <f ca="1" t="shared" si="77"/>
        <v>0</v>
      </c>
      <c r="R109" s="62">
        <f ca="1" t="shared" si="77"/>
        <v>0</v>
      </c>
      <c r="S109" s="52">
        <f ca="1" t="shared" si="77"/>
        <v>0</v>
      </c>
      <c r="T109" s="62">
        <f ca="1" t="shared" si="77"/>
        <v>0</v>
      </c>
      <c r="U109" s="52">
        <f ca="1" t="shared" si="77"/>
        <v>0</v>
      </c>
      <c r="V109" s="52">
        <f ca="1" t="shared" si="77"/>
        <v>0</v>
      </c>
      <c r="W109" s="52">
        <f ca="1" t="shared" si="77"/>
        <v>0</v>
      </c>
      <c r="X109" s="52">
        <f ca="1" t="shared" si="77"/>
        <v>0</v>
      </c>
    </row>
    <row r="110" customHeight="1" spans="3:24">
      <c r="C110" s="52" t="s">
        <v>6</v>
      </c>
      <c r="D110" s="62" t="s">
        <v>235</v>
      </c>
      <c r="E110" s="52" t="s">
        <v>191</v>
      </c>
      <c r="F110" s="62" t="s">
        <v>236</v>
      </c>
      <c r="G110" s="52" t="s">
        <v>237</v>
      </c>
      <c r="H110" s="62" t="s">
        <v>238</v>
      </c>
      <c r="I110" s="52" t="s">
        <v>239</v>
      </c>
      <c r="J110" s="62" t="s">
        <v>240</v>
      </c>
      <c r="K110" s="52" t="s">
        <v>241</v>
      </c>
      <c r="L110" s="62" t="s">
        <v>242</v>
      </c>
      <c r="M110" s="52" t="s">
        <v>243</v>
      </c>
      <c r="N110" s="62" t="s">
        <v>244</v>
      </c>
      <c r="O110" s="52" t="s">
        <v>245</v>
      </c>
      <c r="P110" s="62" t="s">
        <v>246</v>
      </c>
      <c r="Q110" s="52" t="s">
        <v>247</v>
      </c>
      <c r="R110" s="62" t="s">
        <v>248</v>
      </c>
      <c r="S110" s="52" t="s">
        <v>249</v>
      </c>
      <c r="T110" s="62" t="s">
        <v>250</v>
      </c>
      <c r="U110" s="52" t="s">
        <v>194</v>
      </c>
      <c r="V110" s="52" t="s">
        <v>195</v>
      </c>
      <c r="W110" s="52" t="s">
        <v>75</v>
      </c>
      <c r="X110" s="52" t="s">
        <v>192</v>
      </c>
    </row>
    <row r="111" customHeight="1" spans="2:24">
      <c r="B111" s="52" t="s">
        <v>270</v>
      </c>
      <c r="C111" s="52">
        <f ca="1" t="shared" ref="C111:W111" si="79">SUM(C37:C109)</f>
        <v>201</v>
      </c>
      <c r="D111" s="62">
        <f ca="1" t="shared" si="79"/>
        <v>0.1</v>
      </c>
      <c r="E111" s="52">
        <f ca="1" t="shared" si="79"/>
        <v>52</v>
      </c>
      <c r="F111" s="62">
        <f ca="1" t="shared" si="79"/>
        <v>0</v>
      </c>
      <c r="G111" s="52">
        <f ca="1" t="shared" si="79"/>
        <v>199</v>
      </c>
      <c r="H111" s="62">
        <f ca="1" t="shared" si="79"/>
        <v>0.171</v>
      </c>
      <c r="I111" s="52">
        <f ca="1" t="shared" si="79"/>
        <v>294</v>
      </c>
      <c r="J111" s="62">
        <f ca="1" t="shared" si="79"/>
        <v>0.04</v>
      </c>
      <c r="K111" s="52">
        <f ca="1" t="shared" si="79"/>
        <v>194</v>
      </c>
      <c r="L111" s="62">
        <f ca="1" t="shared" si="79"/>
        <v>0.145</v>
      </c>
      <c r="M111" s="52">
        <f ca="1" t="shared" si="79"/>
        <v>0</v>
      </c>
      <c r="N111" s="62">
        <f ca="1" t="shared" si="79"/>
        <v>0.09</v>
      </c>
      <c r="O111" s="52">
        <f ca="1" t="shared" si="79"/>
        <v>0</v>
      </c>
      <c r="P111" s="62">
        <f ca="1" t="shared" si="79"/>
        <v>0</v>
      </c>
      <c r="Q111" s="52">
        <f ca="1" t="shared" si="79"/>
        <v>100</v>
      </c>
      <c r="R111" s="62">
        <f ca="1" t="shared" si="79"/>
        <v>0.03</v>
      </c>
      <c r="S111" s="52">
        <f ca="1" t="shared" si="79"/>
        <v>1506</v>
      </c>
      <c r="T111" s="62">
        <f ca="1" t="shared" si="79"/>
        <v>0.5</v>
      </c>
      <c r="U111" s="52">
        <f ca="1" t="shared" si="79"/>
        <v>0</v>
      </c>
      <c r="V111" s="52">
        <f ca="1" t="shared" si="79"/>
        <v>0.0101333333333333</v>
      </c>
      <c r="W111" s="52">
        <f ca="1" t="shared" si="79"/>
        <v>0</v>
      </c>
      <c r="X111" s="52">
        <f ca="1">MIN(SUM(X37:X109),400)</f>
        <v>200</v>
      </c>
    </row>
  </sheetData>
  <protectedRanges>
    <protectedRange sqref="D26" name="区域1"/>
    <protectedRange sqref="D28" name="区域1_1"/>
  </protectedRanges>
  <mergeCells count="3">
    <mergeCell ref="L5:M5"/>
    <mergeCell ref="A35:B35"/>
    <mergeCell ref="D35:E3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7"/>
  <sheetViews>
    <sheetView topLeftCell="A10" workbookViewId="0">
      <selection activeCell="V61" sqref="V61"/>
    </sheetView>
  </sheetViews>
  <sheetFormatPr defaultColWidth="7.625" defaultRowHeight="15"/>
  <cols>
    <col min="1" max="1" width="12.375" style="7" customWidth="1"/>
    <col min="2" max="2" width="7.625" style="7"/>
    <col min="3" max="3" width="12.8" style="7"/>
    <col min="4" max="4" width="11.25" style="7" customWidth="1"/>
    <col min="5" max="5" width="8.4" style="7"/>
    <col min="6" max="6" width="8.375" style="7"/>
    <col min="7" max="7" width="10.625" style="7" customWidth="1"/>
    <col min="8" max="8" width="9.625" style="7" customWidth="1"/>
    <col min="9" max="9" width="9.25" style="7" customWidth="1"/>
    <col min="10" max="10" width="10" style="7" customWidth="1"/>
    <col min="11" max="11" width="7.625" style="7"/>
    <col min="12" max="12" width="12.8" style="7"/>
    <col min="13" max="13" width="10.5" style="7" customWidth="1"/>
    <col min="14" max="14" width="10.25" style="7" customWidth="1"/>
    <col min="15" max="15" width="12.5583333333333" style="7"/>
    <col min="16" max="16" width="9.75" style="7"/>
    <col min="17" max="17" width="12.8" style="7"/>
    <col min="18" max="18" width="8" style="7"/>
    <col min="19" max="19" width="8.625" style="7"/>
    <col min="20" max="20" width="8.5" style="7"/>
    <col min="21" max="21" width="10.25" style="7" customWidth="1"/>
    <col min="22" max="22" width="10.375" style="8"/>
    <col min="23" max="23" width="10.375" style="9" customWidth="1"/>
    <col min="24" max="26" width="7.625" style="7"/>
    <col min="27" max="16384" width="7.625" style="10"/>
  </cols>
  <sheetData>
    <row r="1" customHeight="1" spans="1:22">
      <c r="A1" s="11" t="s">
        <v>271</v>
      </c>
      <c r="B1" s="11" t="s">
        <v>272</v>
      </c>
      <c r="C1" s="11" t="s">
        <v>273</v>
      </c>
      <c r="D1" s="11" t="s">
        <v>274</v>
      </c>
      <c r="E1" s="11" t="s">
        <v>275</v>
      </c>
      <c r="F1" s="11" t="s">
        <v>195</v>
      </c>
      <c r="G1" s="11" t="s">
        <v>276</v>
      </c>
      <c r="H1" s="11" t="s">
        <v>277</v>
      </c>
      <c r="I1" s="11" t="s">
        <v>278</v>
      </c>
      <c r="J1" s="11" t="s">
        <v>26</v>
      </c>
      <c r="K1" s="11" t="s">
        <v>279</v>
      </c>
      <c r="L1" s="11" t="s">
        <v>36</v>
      </c>
      <c r="M1" s="11" t="s">
        <v>205</v>
      </c>
      <c r="N1" s="11" t="s">
        <v>15</v>
      </c>
      <c r="O1" s="11" t="s">
        <v>16</v>
      </c>
      <c r="P1" s="7" t="s">
        <v>280</v>
      </c>
      <c r="Q1" s="11" t="s">
        <v>75</v>
      </c>
      <c r="R1" s="11" t="s">
        <v>212</v>
      </c>
      <c r="S1" s="11" t="s">
        <v>213</v>
      </c>
      <c r="T1" s="20" t="s">
        <v>281</v>
      </c>
      <c r="U1" s="26" t="str">
        <f>属性!Q5</f>
        <v>木桩属性</v>
      </c>
      <c r="V1" s="11">
        <f>属性!R5</f>
        <v>0</v>
      </c>
    </row>
    <row r="2" customHeight="1" spans="1:22">
      <c r="A2" s="11" t="s">
        <v>282</v>
      </c>
      <c r="B2" s="11">
        <v>0</v>
      </c>
      <c r="C2" s="11">
        <f>IF(属性!E18=TRUE,0.854,0)</f>
        <v>0.854</v>
      </c>
      <c r="D2" s="11">
        <v>0</v>
      </c>
      <c r="E2" s="13">
        <v>0</v>
      </c>
      <c r="F2" s="13">
        <v>0</v>
      </c>
      <c r="G2" s="13">
        <v>0</v>
      </c>
      <c r="H2" s="13">
        <f>0.1*F21</f>
        <v>0</v>
      </c>
      <c r="I2" s="21">
        <f ca="1">(N:N*C:C+D:D+E:E*Q:Q)*(1+F:F)*(K:K*(L:L+H:H-1)+1-R:R-0.75*S:S)*(1+M:M)*INDEX($N$27:$N$31,MATCH($Q$29,$L$27:$L$31,))</f>
        <v>25947.7277142816</v>
      </c>
      <c r="J2" s="13">
        <f ca="1" t="shared" ref="J2:J17" si="0">INDEX(V:V,MATCH($1:$1,$U:$U,))+$G:$G</f>
        <v>0.2668</v>
      </c>
      <c r="K2" s="15">
        <f ca="1" t="shared" ref="K2:K8" si="1">J:J+(0.211855500496661*J:J^6-0.937563819411654*J:J^5+1.77483619127542*J:J^4-1.89647323402313*J:J^3+1.2737744963305*J:J^2-0.565275505039552*J:J+0.164596522595162)*$D$28</f>
        <v>0.34303631782102</v>
      </c>
      <c r="L2" s="13">
        <f ca="1">INDEX(V2:V17,MATCH(1:1,U2:U17,))</f>
        <v>1.8533</v>
      </c>
      <c r="M2" s="13">
        <f ca="1">INDEX(V2:V17,MATCH(1:1,U2:U17,))</f>
        <v>0.6539</v>
      </c>
      <c r="N2" s="21">
        <f ca="1">INDEX(V2:V17,MATCH(1:1,U2:U17,))+O:O*P:P</f>
        <v>16456.5462307692</v>
      </c>
      <c r="O2" s="21">
        <f ca="1">INDEX(V2:V17,MATCH(1:1,U2:U17,))</f>
        <v>7315.92307692308</v>
      </c>
      <c r="P2" s="40">
        <f t="shared" ref="P2:P8" si="2">60%+D$32*0.2*6/25+60%*(25+6*D$32)*(1+H$28)/H$27</f>
        <v>0.772</v>
      </c>
      <c r="Q2" s="21">
        <f ca="1">INDEX(V2:V17,MATCH(1:1,U2:U17,))</f>
        <v>751</v>
      </c>
      <c r="R2" s="13">
        <f ca="1">INDEX(V2:V17,MATCH(1:1,U2:U17,))</f>
        <v>0</v>
      </c>
      <c r="S2" s="13">
        <f ca="1">INDEX(V2:V17,MATCH(1:1,U2:U17,))</f>
        <v>0</v>
      </c>
      <c r="T2" s="20">
        <v>45</v>
      </c>
      <c r="U2" s="11" t="str">
        <f>属性!Q6</f>
        <v>身法</v>
      </c>
      <c r="V2" s="11">
        <f ca="1">属性!R6</f>
        <v>1749</v>
      </c>
    </row>
    <row r="3" customHeight="1" spans="1:22">
      <c r="A3" s="11" t="s">
        <v>283</v>
      </c>
      <c r="B3" s="11">
        <v>0</v>
      </c>
      <c r="C3" s="14">
        <f>IF(属性!E19=TRUE,0.338,0)</f>
        <v>0.338</v>
      </c>
      <c r="D3" s="11">
        <v>0</v>
      </c>
      <c r="E3" s="13">
        <v>0</v>
      </c>
      <c r="F3" s="15">
        <v>0</v>
      </c>
      <c r="G3" s="13">
        <f>0%+0.1*F21</f>
        <v>0</v>
      </c>
      <c r="H3" s="13">
        <f>0.1*F21</f>
        <v>0</v>
      </c>
      <c r="I3" s="21">
        <f ca="1" t="shared" ref="I3:I18" si="3">(N:N*C:C+D:D+E:E*Q:Q)*(1+F:F)*(K:K*(L:L+H:H-1)+1-R:R-0.75*S:S)*(1+M:M)*INDEX($N$27:$N$31,MATCH($Q$29,$L$27:$L$31,))</f>
        <v>10269.7095637321</v>
      </c>
      <c r="J3" s="13">
        <f ca="1" t="shared" si="0"/>
        <v>0.2668</v>
      </c>
      <c r="K3" s="15">
        <f ca="1" t="shared" si="1"/>
        <v>0.34303631782102</v>
      </c>
      <c r="L3" s="13">
        <f ca="1">INDEX(V2:V17,MATCH(1:1,U2:U17,))</f>
        <v>1.8533</v>
      </c>
      <c r="M3" s="13">
        <f ca="1">INDEX(V2:V17,MATCH(1:1,U2:U17,))</f>
        <v>0.6539</v>
      </c>
      <c r="N3" s="21">
        <f ca="1">INDEX(V2:V17,MATCH(1:1,U2:U17,))+O:O*P:P</f>
        <v>16456.5462307692</v>
      </c>
      <c r="O3" s="21">
        <f ca="1">INDEX(V2:V17,MATCH(1:1,U2:U17,))</f>
        <v>7315.92307692308</v>
      </c>
      <c r="P3" s="40">
        <f t="shared" si="2"/>
        <v>0.772</v>
      </c>
      <c r="Q3" s="21">
        <f ca="1">INDEX(V2:V17,MATCH(1:1,U2:U17,))</f>
        <v>751</v>
      </c>
      <c r="R3" s="13">
        <f ca="1">INDEX(V2:V17,MATCH(1:1,U2:U17,))</f>
        <v>0</v>
      </c>
      <c r="S3" s="13">
        <f ca="1">INDEX(V2:V17,MATCH(1:1,U2:U17,))</f>
        <v>0</v>
      </c>
      <c r="T3" s="20">
        <v>20</v>
      </c>
      <c r="U3" s="11" t="str">
        <f>属性!Q7</f>
        <v>基础身法</v>
      </c>
      <c r="V3" s="11">
        <f ca="1">属性!R7</f>
        <v>1590</v>
      </c>
    </row>
    <row r="4" customHeight="1" spans="1:22">
      <c r="A4" s="12" t="s">
        <v>284</v>
      </c>
      <c r="B4" s="11">
        <v>5</v>
      </c>
      <c r="C4" s="11">
        <v>0.656</v>
      </c>
      <c r="D4" s="11">
        <v>137.5</v>
      </c>
      <c r="E4" s="13">
        <v>1</v>
      </c>
      <c r="F4" s="13">
        <f>12%+Q25</f>
        <v>0.12</v>
      </c>
      <c r="G4" s="13">
        <f>0%+0.1*$F$21</f>
        <v>0</v>
      </c>
      <c r="H4" s="13">
        <f>0.1*F21</f>
        <v>0</v>
      </c>
      <c r="I4" s="21">
        <f ca="1" t="shared" si="3"/>
        <v>24160.845446323</v>
      </c>
      <c r="J4" s="13">
        <f ca="1" t="shared" si="0"/>
        <v>0.2668</v>
      </c>
      <c r="K4" s="15">
        <f ca="1" t="shared" si="1"/>
        <v>0.34303631782102</v>
      </c>
      <c r="L4" s="13">
        <f ca="1">INDEX(V2:V17,MATCH(1:1,U2:U17,))</f>
        <v>1.8533</v>
      </c>
      <c r="M4" s="13">
        <f ca="1">INDEX(V2:V17,MATCH(1:1,U2:U17,))</f>
        <v>0.6539</v>
      </c>
      <c r="N4" s="21">
        <f ca="1">INDEX(V2:V17,MATCH(1:1,U2:U17,))+O:O*P:P</f>
        <v>16456.5462307692</v>
      </c>
      <c r="O4" s="21">
        <f ca="1">INDEX(V2:V17,MATCH(1:1,U2:U17,))</f>
        <v>7315.92307692308</v>
      </c>
      <c r="P4" s="40">
        <f t="shared" si="2"/>
        <v>0.772</v>
      </c>
      <c r="Q4" s="21">
        <f ca="1">INDEX(V2:V17,MATCH(1:1,U2:U17,))</f>
        <v>751</v>
      </c>
      <c r="R4" s="13">
        <f ca="1">INDEX(V2:V17,MATCH(1:1,U2:U17,))</f>
        <v>0</v>
      </c>
      <c r="S4" s="13">
        <f ca="1">INDEX(V2:V17,MATCH(1:1,U2:U17,))</f>
        <v>0</v>
      </c>
      <c r="T4" s="20">
        <f>1-Q27/16</f>
        <v>0.9375</v>
      </c>
      <c r="U4" s="11" t="str">
        <f>属性!Q8</f>
        <v>力道</v>
      </c>
      <c r="V4" s="11">
        <f ca="1">属性!R8</f>
        <v>32</v>
      </c>
    </row>
    <row r="5" customHeight="1" spans="1:22">
      <c r="A5" s="12" t="s">
        <v>285</v>
      </c>
      <c r="B5" s="11">
        <v>5</v>
      </c>
      <c r="C5" s="48">
        <f>0.9375</f>
        <v>0.9375</v>
      </c>
      <c r="D5" s="11">
        <v>137.5</v>
      </c>
      <c r="E5" s="13">
        <v>1</v>
      </c>
      <c r="F5" s="13">
        <f>12%+Q25</f>
        <v>0.12</v>
      </c>
      <c r="G5" s="13">
        <f>0%+0.1*F21</f>
        <v>0</v>
      </c>
      <c r="H5" s="13">
        <f>0.1*F24</f>
        <v>0</v>
      </c>
      <c r="I5" s="21">
        <f ca="1" t="shared" si="3"/>
        <v>33740.2360713331</v>
      </c>
      <c r="J5" s="13">
        <f ca="1" t="shared" si="0"/>
        <v>0.2668</v>
      </c>
      <c r="K5" s="15">
        <f ca="1" t="shared" si="1"/>
        <v>0.34303631782102</v>
      </c>
      <c r="L5" s="13">
        <f ca="1">INDEX(V2:V17,MATCH(1:1,U2:U17,))</f>
        <v>1.8533</v>
      </c>
      <c r="M5" s="13">
        <f ca="1">INDEX(V2:V17,MATCH(1:1,U2:U17,))</f>
        <v>0.6539</v>
      </c>
      <c r="N5" s="21">
        <f ca="1">INDEX(V2:V17,MATCH(1:1,U2:U17,))+O:O*P:P</f>
        <v>16456.5462307692</v>
      </c>
      <c r="O5" s="21">
        <f ca="1">INDEX(V2:V17,MATCH(1:1,U2:U17,))</f>
        <v>7315.92307692308</v>
      </c>
      <c r="P5" s="40">
        <f t="shared" si="2"/>
        <v>0.772</v>
      </c>
      <c r="Q5" s="21">
        <f ca="1">INDEX(V2:V17,MATCH(1:1,U2:U17,))</f>
        <v>751</v>
      </c>
      <c r="R5" s="13">
        <f ca="1">INDEX(V2:V17,MATCH(1:1,U2:U17,))</f>
        <v>0</v>
      </c>
      <c r="S5" s="13">
        <f ca="1">INDEX(V2:V17,MATCH(1:1,U2:U17,))</f>
        <v>0</v>
      </c>
      <c r="T5" s="20">
        <f>1-Q28/16</f>
        <v>0.875</v>
      </c>
      <c r="U5" s="11" t="str">
        <f>属性!Q9</f>
        <v>面板攻击</v>
      </c>
      <c r="V5" s="11">
        <f ca="1">属性!R9</f>
        <v>10808.6536153846</v>
      </c>
    </row>
    <row r="6" customHeight="1" spans="1:22">
      <c r="A6" s="12" t="s">
        <v>286</v>
      </c>
      <c r="B6" s="11">
        <v>5</v>
      </c>
      <c r="C6" s="11">
        <f>0.625*(1+0.7*D25)</f>
        <v>0.625</v>
      </c>
      <c r="D6" s="11">
        <f>109*(1+0.6*D25)</f>
        <v>109</v>
      </c>
      <c r="E6" s="13">
        <v>1</v>
      </c>
      <c r="F6" s="13">
        <f>0%+Q25</f>
        <v>0</v>
      </c>
      <c r="G6" s="13">
        <f>0%+0.1*F21</f>
        <v>0</v>
      </c>
      <c r="H6" s="13">
        <f>0.1*F21</f>
        <v>0</v>
      </c>
      <c r="I6" s="21">
        <f ca="1" t="shared" si="3"/>
        <v>20577.6673846722</v>
      </c>
      <c r="J6" s="13">
        <f ca="1" t="shared" si="0"/>
        <v>0.2668</v>
      </c>
      <c r="K6" s="15">
        <f ca="1" t="shared" si="1"/>
        <v>0.34303631782102</v>
      </c>
      <c r="L6" s="13">
        <f ca="1">INDEX(V2:V17,MATCH(1:1,U2:U17,))</f>
        <v>1.8533</v>
      </c>
      <c r="M6" s="13">
        <f ca="1">INDEX(V2:V17,MATCH(1:1,U2:U17,))</f>
        <v>0.6539</v>
      </c>
      <c r="N6" s="21">
        <f ca="1">INDEX(V2:V17,MATCH(1:1,U2:U17,))+O:O*P:P</f>
        <v>16456.5462307692</v>
      </c>
      <c r="O6" s="21">
        <f ca="1">INDEX(V2:V17,MATCH(1:1,U2:U17,))</f>
        <v>7315.92307692308</v>
      </c>
      <c r="P6" s="40">
        <f t="shared" si="2"/>
        <v>0.772</v>
      </c>
      <c r="Q6" s="21">
        <f ca="1">INDEX(V2:V17,MATCH(1:1,U2:U17,))</f>
        <v>751</v>
      </c>
      <c r="R6" s="13">
        <f ca="1">INDEX(V2:V17,MATCH(1:1,U2:U17,))</f>
        <v>0</v>
      </c>
      <c r="S6" s="13">
        <f ca="1">INDEX(V2:V17,MATCH(1:1,U2:U17,))</f>
        <v>0</v>
      </c>
      <c r="T6" s="20">
        <f>1-Q27/16</f>
        <v>0.9375</v>
      </c>
      <c r="U6" s="11" t="str">
        <f>属性!Q10</f>
        <v>基础攻击</v>
      </c>
      <c r="V6" s="11">
        <f ca="1">属性!R10</f>
        <v>7315.92307692308</v>
      </c>
    </row>
    <row r="7" customHeight="1" spans="1:22">
      <c r="A7" s="12" t="s">
        <v>82</v>
      </c>
      <c r="B7" s="11">
        <v>15</v>
      </c>
      <c r="C7" s="11">
        <f>1.243</f>
        <v>1.243</v>
      </c>
      <c r="D7" s="11">
        <v>211</v>
      </c>
      <c r="E7" s="13">
        <v>1</v>
      </c>
      <c r="F7" s="13">
        <f>9%+H29*0.1</f>
        <v>0.19</v>
      </c>
      <c r="G7" s="13">
        <f>0%+0.1*F21+0.07</f>
        <v>0.07</v>
      </c>
      <c r="H7" s="13">
        <f>0.1*F21</f>
        <v>0</v>
      </c>
      <c r="I7" s="21">
        <f ca="1" t="shared" si="3"/>
        <v>48891.8931731145</v>
      </c>
      <c r="J7" s="13">
        <f ca="1" t="shared" si="0"/>
        <v>0.3368</v>
      </c>
      <c r="K7" s="15">
        <f ca="1" t="shared" si="1"/>
        <v>0.402130760032134</v>
      </c>
      <c r="L7" s="13">
        <f ca="1">INDEX(V2:V17,MATCH(1:1,U2:U17,))</f>
        <v>1.8533</v>
      </c>
      <c r="M7" s="13">
        <f ca="1">INDEX(V2:V17,MATCH(1:1,U2:U17,))</f>
        <v>0.6539</v>
      </c>
      <c r="N7" s="21">
        <f ca="1">INDEX(V2:V17,MATCH(1:1,U2:U17,))+O:O*P:P</f>
        <v>16456.5462307692</v>
      </c>
      <c r="O7" s="21">
        <f ca="1">INDEX(V2:V17,MATCH(1:1,U2:U17,))</f>
        <v>7315.92307692308</v>
      </c>
      <c r="P7" s="40">
        <f t="shared" si="2"/>
        <v>0.772</v>
      </c>
      <c r="Q7" s="21">
        <f ca="1">INDEX(V2:V17,MATCH(1:1,U2:U17,))</f>
        <v>751</v>
      </c>
      <c r="R7" s="13">
        <f ca="1">INDEX(V2:V17,MATCH(1:1,U2:U17,))</f>
        <v>0</v>
      </c>
      <c r="S7" s="13">
        <f ca="1">INDEX(V2:V17,MATCH(1:1,U2:U17,))</f>
        <v>0</v>
      </c>
      <c r="T7" s="20">
        <f>1.5-Q26/16</f>
        <v>1.375</v>
      </c>
      <c r="U7" s="11" t="str">
        <f>属性!Q11</f>
        <v>会心</v>
      </c>
      <c r="V7" s="13">
        <f ca="1">属性!R11</f>
        <v>0.2668</v>
      </c>
    </row>
    <row r="8" customHeight="1" spans="1:22">
      <c r="A8" s="12" t="s">
        <v>55</v>
      </c>
      <c r="B8" s="11">
        <v>15</v>
      </c>
      <c r="C8" s="11">
        <f>0.981*(1+1.5*F25)</f>
        <v>2.4525</v>
      </c>
      <c r="D8" s="11">
        <f>136*(1+1.5*F25)</f>
        <v>340</v>
      </c>
      <c r="E8" s="13">
        <v>1</v>
      </c>
      <c r="F8" s="13">
        <f>Q25</f>
        <v>0</v>
      </c>
      <c r="G8" s="13">
        <f>0%+0.1*F21+0.1*F25</f>
        <v>0.1</v>
      </c>
      <c r="H8" s="13">
        <f>0.1*F21+0.1*F25</f>
        <v>0.1</v>
      </c>
      <c r="I8" s="21">
        <f ca="1" t="shared" si="3"/>
        <v>83370.8828702301</v>
      </c>
      <c r="J8" s="13">
        <f ca="1" t="shared" si="0"/>
        <v>0.3668</v>
      </c>
      <c r="K8" s="15">
        <f ca="1" t="shared" si="1"/>
        <v>0.428257053164767</v>
      </c>
      <c r="L8" s="13">
        <f ca="1">INDEX(V2:V17,MATCH(1:1,U2:U17,))</f>
        <v>1.8533</v>
      </c>
      <c r="M8" s="13">
        <f ca="1">INDEX(V2:V17,MATCH(1:1,U2:U17,))</f>
        <v>0.6539</v>
      </c>
      <c r="N8" s="21">
        <f ca="1">INDEX(V2:V17,MATCH(1:1,U2:U17,))+O:O*P:P</f>
        <v>16456.5462307692</v>
      </c>
      <c r="O8" s="21">
        <f ca="1">INDEX(V2:V17,MATCH(1:1,U2:U17,))</f>
        <v>7315.92307692308</v>
      </c>
      <c r="P8" s="40">
        <f t="shared" si="2"/>
        <v>0.772</v>
      </c>
      <c r="Q8" s="21">
        <f ca="1">INDEX(V2:V17,MATCH(1:1,U2:U17,))</f>
        <v>751</v>
      </c>
      <c r="R8" s="13">
        <f ca="1">INDEX(V2:V17,MATCH(1:1,U2:U17,))</f>
        <v>0</v>
      </c>
      <c r="S8" s="13">
        <f ca="1">INDEX(V2:V17,MATCH(1:1,U2:U17,))</f>
        <v>0</v>
      </c>
      <c r="T8" s="20">
        <f>1.5-Q26/16</f>
        <v>1.375</v>
      </c>
      <c r="U8" s="11" t="str">
        <f>属性!Q12</f>
        <v>会效</v>
      </c>
      <c r="V8" s="13">
        <f ca="1">属性!R12</f>
        <v>1.8533</v>
      </c>
    </row>
    <row r="9" customHeight="1" spans="1:22">
      <c r="A9" s="12" t="s">
        <v>35</v>
      </c>
      <c r="B9" s="11">
        <v>0</v>
      </c>
      <c r="C9" s="11">
        <v>0.168</v>
      </c>
      <c r="D9" s="11">
        <v>25</v>
      </c>
      <c r="E9" s="13">
        <v>1</v>
      </c>
      <c r="F9" s="13">
        <f>7%+0.05*H30</f>
        <v>0.12</v>
      </c>
      <c r="G9" s="13">
        <f>5%</f>
        <v>0.05</v>
      </c>
      <c r="H9" s="13">
        <v>0</v>
      </c>
      <c r="I9" s="21">
        <f ca="1" t="shared" si="3"/>
        <v>7903.88523626699</v>
      </c>
      <c r="J9" s="13">
        <f ca="1" t="shared" si="0"/>
        <v>0.3168</v>
      </c>
      <c r="K9" s="15">
        <f ca="1" t="shared" ref="K9:K14" si="4">J:J+$K$19*$D$28</f>
        <v>0.382565086819516</v>
      </c>
      <c r="L9" s="13">
        <f ca="1">INDEX(V2:V17,MATCH(1:1,U2:U17,))</f>
        <v>1.8533</v>
      </c>
      <c r="M9" s="13">
        <f ca="1">INDEX(V2:V17,MATCH(1:1,U2:U17,))</f>
        <v>0.6539</v>
      </c>
      <c r="N9" s="21">
        <f ca="1">INDEX(V2:V17,MATCH(1:1,U2:U17,))+O:O*P:P</f>
        <v>17553.9346923077</v>
      </c>
      <c r="O9" s="21">
        <f ca="1">INDEX(V2:V17,MATCH(1:1,U2:U17,))</f>
        <v>7315.92307692308</v>
      </c>
      <c r="P9" s="40">
        <f t="shared" ref="P9:P14" si="5">60%+D$32*0.2*6/25+0.15*D$21+60%*(25+6*D$32)*(1+H$28)/H$27</f>
        <v>0.922</v>
      </c>
      <c r="Q9" s="21">
        <f ca="1">INDEX(V2:V17,MATCH(1:1,U2:U17,))</f>
        <v>751</v>
      </c>
      <c r="R9" s="13">
        <f ca="1">INDEX(V2:V17,MATCH(1:1,U2:U17,))</f>
        <v>0</v>
      </c>
      <c r="S9" s="13">
        <f ca="1">INDEX(V2:V17,MATCH(1:1,U2:U17,))</f>
        <v>0</v>
      </c>
      <c r="T9" s="20">
        <f>1.5-Q26/16</f>
        <v>1.375</v>
      </c>
      <c r="U9" s="11" t="str">
        <f>属性!Q13</f>
        <v>破防值</v>
      </c>
      <c r="V9" s="11">
        <f ca="1">属性!R13</f>
        <v>10033.57238</v>
      </c>
    </row>
    <row r="10" customHeight="1" spans="1:22">
      <c r="A10" s="12" t="s">
        <v>14</v>
      </c>
      <c r="B10" s="11">
        <v>-5</v>
      </c>
      <c r="C10" s="11">
        <v>1.1</v>
      </c>
      <c r="D10" s="11">
        <v>124.5</v>
      </c>
      <c r="E10" s="13">
        <v>1</v>
      </c>
      <c r="F10" s="13">
        <f>12%+Q25+H29*0.1</f>
        <v>0.22</v>
      </c>
      <c r="G10" s="13">
        <v>0.15</v>
      </c>
      <c r="H10" s="13">
        <v>0.15</v>
      </c>
      <c r="I10" s="21">
        <f ca="1">(N:N*C:C+D:D+E:E*Q:Q)*(1+F:F)*(K:K*(L:L+H:H-1)+1-R:R-0.75*S:S)*(1+M:M)*INDEX($N$27:$N$31,MATCH($Q$29,$L$27:$L$31,))</f>
        <v>52199.4084228482</v>
      </c>
      <c r="J10" s="13">
        <f ca="1" t="shared" si="0"/>
        <v>0.4168</v>
      </c>
      <c r="K10" s="15">
        <f ca="1">J:J+$K$19*$D$28</f>
        <v>0.482565086819516</v>
      </c>
      <c r="L10" s="13">
        <f ca="1">INDEX(V2:V17,MATCH(1:1,U2:U17,))</f>
        <v>1.8533</v>
      </c>
      <c r="M10" s="13">
        <f ca="1">INDEX(V2:V17,MATCH(1:1,U2:U17,))</f>
        <v>0.6539</v>
      </c>
      <c r="N10" s="21">
        <f ca="1">INDEX(V2:V17,MATCH(1:1,U2:U17,))+O:O*P:P</f>
        <v>17553.9346923077</v>
      </c>
      <c r="O10" s="21">
        <f ca="1">INDEX(V2:V17,MATCH(1:1,U2:U17,))</f>
        <v>7315.92307692308</v>
      </c>
      <c r="P10" s="40">
        <f t="shared" si="5"/>
        <v>0.922</v>
      </c>
      <c r="Q10" s="21">
        <f ca="1">INDEX(V2:V17,MATCH(1:1,U2:U17,))</f>
        <v>751</v>
      </c>
      <c r="R10" s="13">
        <f ca="1">INDEX(V2:V17,MATCH(1:1,U2:U17,))</f>
        <v>0</v>
      </c>
      <c r="S10" s="13">
        <f ca="1">INDEX(V2:V17,MATCH(1:1,U2:U17,))</f>
        <v>0</v>
      </c>
      <c r="T10" s="20">
        <f>1.5-Q26/16</f>
        <v>1.375</v>
      </c>
      <c r="U10" s="11" t="str">
        <f>属性!Q14</f>
        <v>基础破防</v>
      </c>
      <c r="V10" s="11">
        <f ca="1">属性!R14</f>
        <v>7718.1326</v>
      </c>
    </row>
    <row r="11" customHeight="1" spans="1:22">
      <c r="A11" s="12" t="s">
        <v>65</v>
      </c>
      <c r="B11" s="11">
        <v>-15</v>
      </c>
      <c r="C11" s="11">
        <v>1.193</v>
      </c>
      <c r="D11" s="11">
        <v>233</v>
      </c>
      <c r="E11" s="13">
        <v>1</v>
      </c>
      <c r="F11" s="13">
        <f>12%+H30*0.05+Q25</f>
        <v>0.17</v>
      </c>
      <c r="G11" s="13">
        <v>0.04</v>
      </c>
      <c r="H11" s="13">
        <v>0</v>
      </c>
      <c r="I11" s="21">
        <f ca="1">(N:N*C:C+D:D+E:E*Q:Q)*(1+F:F)*(K:K*(L:L+H:H-1)+1-R:R-0.75*S:S)*(1+M:M)*INDEX($N$27:$N$31,MATCH($Q$29,$L$27:$L$31,))</f>
        <v>48286.8143896807</v>
      </c>
      <c r="J11" s="13">
        <f ca="1" t="shared" si="0"/>
        <v>0.3068</v>
      </c>
      <c r="K11" s="15">
        <f ca="1" t="shared" si="4"/>
        <v>0.372565086819516</v>
      </c>
      <c r="L11" s="13">
        <f ca="1">INDEX(V2:V17,MATCH(1:1,U2:U17,))</f>
        <v>1.8533</v>
      </c>
      <c r="M11" s="13">
        <f ca="1">INDEX(V2:V17,MATCH(1:1,U2:U17,))</f>
        <v>0.6539</v>
      </c>
      <c r="N11" s="21">
        <f ca="1">INDEX(V2:V17,MATCH(1:1,U2:U17,))+O:O*P:P</f>
        <v>17553.9346923077</v>
      </c>
      <c r="O11" s="21">
        <f ca="1">INDEX(V2:V17,MATCH(1:1,U2:U17,))</f>
        <v>7315.92307692308</v>
      </c>
      <c r="P11" s="40">
        <f t="shared" si="5"/>
        <v>0.922</v>
      </c>
      <c r="Q11" s="21">
        <f ca="1">INDEX(V2:V17,MATCH(1:1,U2:U17,))</f>
        <v>751</v>
      </c>
      <c r="R11" s="13">
        <f ca="1">INDEX(V2:V17,MATCH(1:1,U2:U17,))</f>
        <v>0</v>
      </c>
      <c r="S11" s="13">
        <f ca="1">INDEX(V2:V17,MATCH(1:1,U2:U17,))</f>
        <v>0</v>
      </c>
      <c r="T11" s="20">
        <f>1.5-Q26/16</f>
        <v>1.375</v>
      </c>
      <c r="U11" s="11" t="str">
        <f>属性!Q15</f>
        <v>破防</v>
      </c>
      <c r="V11" s="13">
        <f ca="1">属性!R15</f>
        <v>0.6539</v>
      </c>
    </row>
    <row r="12" customHeight="1" spans="1:22">
      <c r="A12" s="12" t="s">
        <v>73</v>
      </c>
      <c r="B12" s="11">
        <v>-15</v>
      </c>
      <c r="C12" s="11">
        <v>0.9</v>
      </c>
      <c r="D12" s="11">
        <v>157.5</v>
      </c>
      <c r="E12" s="13">
        <v>1</v>
      </c>
      <c r="F12" s="13">
        <f>0%+Q25</f>
        <v>0</v>
      </c>
      <c r="G12" s="13">
        <f>0</f>
        <v>0</v>
      </c>
      <c r="H12" s="13">
        <v>0</v>
      </c>
      <c r="I12" s="21">
        <f ca="1" t="shared" si="3"/>
        <v>30633.0393945239</v>
      </c>
      <c r="J12" s="13">
        <f ca="1" t="shared" si="0"/>
        <v>0.2668</v>
      </c>
      <c r="K12" s="15">
        <f ca="1" t="shared" si="4"/>
        <v>0.332565086819516</v>
      </c>
      <c r="L12" s="13">
        <f ca="1">INDEX(V2:V17,MATCH(1:1,U2:U17,))</f>
        <v>1.8533</v>
      </c>
      <c r="M12" s="13">
        <f ca="1">INDEX(V2:V17,MATCH(1:1,U2:U17,))</f>
        <v>0.6539</v>
      </c>
      <c r="N12" s="21">
        <f ca="1">INDEX(V2:V17,MATCH(1:1,U2:U17,))+O:O*P:P</f>
        <v>17553.9346923077</v>
      </c>
      <c r="O12" s="21">
        <f ca="1">INDEX(V2:V17,MATCH(1:1,U2:U17,))</f>
        <v>7315.92307692308</v>
      </c>
      <c r="P12" s="40">
        <f t="shared" si="5"/>
        <v>0.922</v>
      </c>
      <c r="Q12" s="21">
        <f ca="1">INDEX(V2:V17,MATCH(1:1,U2:U17,))</f>
        <v>751</v>
      </c>
      <c r="R12" s="13">
        <f ca="1">INDEX(V2:V17,MATCH(1:1,U2:U17,))</f>
        <v>0</v>
      </c>
      <c r="S12" s="13">
        <f ca="1">INDEX(V2:V17,MATCH(1:1,U2:U17,))</f>
        <v>0</v>
      </c>
      <c r="T12" s="20">
        <f>1.5-Q26/16</f>
        <v>1.375</v>
      </c>
      <c r="U12" s="11" t="str">
        <f>属性!Q16</f>
        <v>加速</v>
      </c>
      <c r="V12" s="11">
        <f>属性!R16</f>
        <v>828</v>
      </c>
    </row>
    <row r="13" customHeight="1" spans="1:22">
      <c r="A13" s="12" t="s">
        <v>287</v>
      </c>
      <c r="B13" s="11">
        <v>0</v>
      </c>
      <c r="C13" s="11">
        <v>1.211</v>
      </c>
      <c r="D13" s="11">
        <v>186</v>
      </c>
      <c r="E13" s="13">
        <v>1</v>
      </c>
      <c r="F13" s="13">
        <f>9%+0.2*F26+Q25+40%</f>
        <v>0.49</v>
      </c>
      <c r="G13" s="13">
        <f>4%+F22*0.1</f>
        <v>0.04</v>
      </c>
      <c r="H13" s="13">
        <f>F22*0.2</f>
        <v>0</v>
      </c>
      <c r="I13" s="21">
        <f ca="1" t="shared" si="3"/>
        <v>62247.8230239787</v>
      </c>
      <c r="J13" s="13">
        <f ca="1" t="shared" si="0"/>
        <v>0.3068</v>
      </c>
      <c r="K13" s="15">
        <f ca="1" t="shared" si="4"/>
        <v>0.372565086819516</v>
      </c>
      <c r="L13" s="13">
        <f ca="1">INDEX(V2:V17,MATCH(1:1,U2:U17,))</f>
        <v>1.8533</v>
      </c>
      <c r="M13" s="13">
        <f ca="1">INDEX(V2:V17,MATCH(1:1,U2:U17,))</f>
        <v>0.6539</v>
      </c>
      <c r="N13" s="21">
        <f ca="1">INDEX(V2:V17,MATCH(1:1,U2:U17,))+O:O*P:P</f>
        <v>17553.9346923077</v>
      </c>
      <c r="O13" s="21">
        <f ca="1">INDEX(V2:V17,MATCH(1:1,U2:U17,))</f>
        <v>7315.92307692308</v>
      </c>
      <c r="P13" s="40">
        <f t="shared" si="5"/>
        <v>0.922</v>
      </c>
      <c r="Q13" s="21">
        <f ca="1">INDEX(V2:V17,MATCH(1:1,U2:U17,))</f>
        <v>751</v>
      </c>
      <c r="R13" s="13">
        <f ca="1">INDEX(V2:V17,MATCH(1:1,U2:U17,))</f>
        <v>0</v>
      </c>
      <c r="S13" s="13">
        <f ca="1">INDEX(V2:V17,MATCH(1:1,U2:U17,))</f>
        <v>0</v>
      </c>
      <c r="T13" s="20">
        <f>1.5-Q26/16</f>
        <v>1.375</v>
      </c>
      <c r="U13" s="11" t="str">
        <f>属性!Q17</f>
        <v>命中</v>
      </c>
      <c r="V13" s="11">
        <f>属性!R17</f>
        <v>1.0715</v>
      </c>
    </row>
    <row r="14" customHeight="1" spans="1:22">
      <c r="A14" s="11" t="s">
        <v>25</v>
      </c>
      <c r="B14" s="11">
        <v>0</v>
      </c>
      <c r="C14" s="14">
        <f>220/1024*(1+0.6*D26)</f>
        <v>0.34375</v>
      </c>
      <c r="D14" s="11">
        <v>47</v>
      </c>
      <c r="E14" s="13">
        <v>0</v>
      </c>
      <c r="F14" s="13">
        <f>0%+Q25</f>
        <v>0</v>
      </c>
      <c r="G14" s="13">
        <v>0</v>
      </c>
      <c r="H14" s="13">
        <v>0</v>
      </c>
      <c r="I14" s="21">
        <f ca="1" t="shared" si="3"/>
        <v>11150.0633815801</v>
      </c>
      <c r="J14" s="13">
        <f ca="1" t="shared" si="0"/>
        <v>0.2668</v>
      </c>
      <c r="K14" s="15">
        <f ca="1" t="shared" si="4"/>
        <v>0.332565086819516</v>
      </c>
      <c r="L14" s="13">
        <f ca="1">INDEX(V2:V17,MATCH(1:1,U2:U17,))</f>
        <v>1.8533</v>
      </c>
      <c r="M14" s="13">
        <f ca="1">INDEX(V2:V17,MATCH(1:1,U2:U17,))</f>
        <v>0.6539</v>
      </c>
      <c r="N14" s="21">
        <f ca="1">INDEX(V2:V17,MATCH(1:1,U2:U17,))+O:O*P:P</f>
        <v>17553.9346923077</v>
      </c>
      <c r="O14" s="21">
        <f ca="1">INDEX(V2:V17,MATCH(1:1,U2:U17,))</f>
        <v>7315.92307692308</v>
      </c>
      <c r="P14" s="40">
        <f t="shared" si="5"/>
        <v>0.922</v>
      </c>
      <c r="Q14" s="21">
        <f ca="1">INDEX(V2:V17,MATCH(1:1,U2:U17,))</f>
        <v>751</v>
      </c>
      <c r="R14" s="13">
        <f ca="1">INDEX(V2:V17,MATCH(1:1,U2:U17,))</f>
        <v>0</v>
      </c>
      <c r="S14" s="13">
        <f ca="1">INDEX(V2:V17,MATCH(1:1,U2:U17,))</f>
        <v>0</v>
      </c>
      <c r="T14" s="20">
        <f>(2-Q28/16)*NOT(D22)+(1-Q27/16)*D22</f>
        <v>0.9375</v>
      </c>
      <c r="U14" s="11" t="str">
        <f>属性!Q18</f>
        <v>无双</v>
      </c>
      <c r="V14" s="13">
        <f>属性!R18</f>
        <v>0.2319</v>
      </c>
    </row>
    <row r="15" customHeight="1" spans="1:22">
      <c r="A15" s="11" t="s">
        <v>45</v>
      </c>
      <c r="B15" s="11">
        <v>0</v>
      </c>
      <c r="C15" s="11">
        <f>0.1*T7</f>
        <v>0.1375</v>
      </c>
      <c r="D15" s="11">
        <v>0</v>
      </c>
      <c r="E15" s="13">
        <v>1</v>
      </c>
      <c r="F15" s="13">
        <f>0%+Q25</f>
        <v>0</v>
      </c>
      <c r="G15" s="13">
        <v>0</v>
      </c>
      <c r="H15" s="13">
        <v>0</v>
      </c>
      <c r="I15" s="21">
        <f ca="1" t="shared" si="3"/>
        <v>5564.33935263864</v>
      </c>
      <c r="J15" s="13">
        <f ca="1" t="shared" si="0"/>
        <v>0.2668</v>
      </c>
      <c r="K15" s="15">
        <f ca="1">J:J+(0.211855500496661*J:J^6-0.937563819411654*J:J^5+1.77483619127542*J:J^4-1.89647323402313*J:J^3+1.2737744963305*J:J^2-0.565275505039552*J:J+0.164596522595162)*$D$28</f>
        <v>0.34303631782102</v>
      </c>
      <c r="L15" s="13">
        <f ca="1">INDEX(V2:V17,MATCH(1:1,U2:U17,))</f>
        <v>1.8533</v>
      </c>
      <c r="M15" s="13">
        <f ca="1">INDEX(V2:V17,MATCH(1:1,U2:U17,))</f>
        <v>0.6539</v>
      </c>
      <c r="N15" s="21">
        <f ca="1">INDEX(V2:V17,MATCH(1:1,U2:U17,))+O:O*P:P</f>
        <v>16456.5462307692</v>
      </c>
      <c r="O15" s="21">
        <f ca="1">INDEX(V2:V17,MATCH(1:1,U2:U17,))</f>
        <v>7315.92307692308</v>
      </c>
      <c r="P15" s="40">
        <f>60%+D$32*0.2*6/25+60%*(25+6*D$32)*(1+H$28)/H$27</f>
        <v>0.772</v>
      </c>
      <c r="Q15" s="21">
        <f ca="1">INDEX(V2:V17,MATCH(1:1,U2:U17,))</f>
        <v>751</v>
      </c>
      <c r="R15" s="13">
        <f ca="1">INDEX(V2:V17,MATCH(1:1,U2:U17,))</f>
        <v>0</v>
      </c>
      <c r="S15" s="13">
        <f ca="1">INDEX(V2:V17,MATCH(1:1,U2:U17,))</f>
        <v>0</v>
      </c>
      <c r="T15" s="20">
        <f>1.5-Q26/16</f>
        <v>1.375</v>
      </c>
      <c r="U15" s="11" t="str">
        <f>属性!Q19</f>
        <v>武器伤害</v>
      </c>
      <c r="V15" s="27">
        <f ca="1">属性!R19</f>
        <v>751</v>
      </c>
    </row>
    <row r="16" customHeight="1" spans="1:22">
      <c r="A16" s="7" t="s">
        <v>288</v>
      </c>
      <c r="B16" s="7">
        <v>0</v>
      </c>
      <c r="C16" s="7">
        <f>0.1*T7</f>
        <v>0.1375</v>
      </c>
      <c r="D16" s="7">
        <v>0</v>
      </c>
      <c r="E16" s="16">
        <v>1</v>
      </c>
      <c r="F16" s="16">
        <f>0%+Q25</f>
        <v>0</v>
      </c>
      <c r="G16" s="16">
        <v>0</v>
      </c>
      <c r="H16" s="16">
        <v>0</v>
      </c>
      <c r="I16" s="21">
        <f ca="1" t="shared" si="3"/>
        <v>5802.5438240469</v>
      </c>
      <c r="J16" s="13">
        <f ca="1" t="shared" si="0"/>
        <v>0.2668</v>
      </c>
      <c r="K16" s="15">
        <f ca="1">J:J+$K$19*$D$28</f>
        <v>0.332565086819516</v>
      </c>
      <c r="L16" s="16">
        <f ca="1">INDEX(V2:V17,MATCH(1:1,U2:U17,))</f>
        <v>1.8533</v>
      </c>
      <c r="M16" s="16">
        <f ca="1">INDEX(V2:V17,MATCH(1:1,U2:U17,))</f>
        <v>0.6539</v>
      </c>
      <c r="N16" s="23">
        <f ca="1">INDEX(V2:V17,MATCH(1:1,U2:U17,))+O:O*P:P</f>
        <v>17553.9346923077</v>
      </c>
      <c r="O16" s="23">
        <f ca="1">INDEX(V2:V17,MATCH(1:1,U2:U17,))</f>
        <v>7315.92307692308</v>
      </c>
      <c r="P16" s="16">
        <f t="shared" ref="L16:T17" si="6">P12</f>
        <v>0.922</v>
      </c>
      <c r="Q16" s="23">
        <f ca="1">INDEX(V2:V17,MATCH(1:1,U2:U17,))</f>
        <v>751</v>
      </c>
      <c r="R16" s="16">
        <f ca="1">INDEX(V2:V17,MATCH(1:1,U2:U17,))</f>
        <v>0</v>
      </c>
      <c r="S16" s="16">
        <f ca="1">INDEX(V2:V17,MATCH(1:1,U2:U17,))</f>
        <v>0</v>
      </c>
      <c r="T16" s="20">
        <f>1.5-Q26/16</f>
        <v>1.375</v>
      </c>
      <c r="U16" s="7" t="str">
        <f>属性!Q20</f>
        <v>偏离率</v>
      </c>
      <c r="V16" s="28">
        <f>属性!R20</f>
        <v>0</v>
      </c>
    </row>
    <row r="17" customHeight="1" spans="1:22">
      <c r="A17" s="17" t="s">
        <v>289</v>
      </c>
      <c r="B17" s="17">
        <v>0</v>
      </c>
      <c r="C17" s="17">
        <f>C13</f>
        <v>1.211</v>
      </c>
      <c r="D17" s="17">
        <f>D13</f>
        <v>186</v>
      </c>
      <c r="E17" s="16">
        <f>E13</f>
        <v>1</v>
      </c>
      <c r="F17" s="16">
        <f>F13</f>
        <v>0.49</v>
      </c>
      <c r="G17" s="16">
        <f>G13+3%</f>
        <v>0.07</v>
      </c>
      <c r="H17" s="16">
        <f>H13</f>
        <v>0</v>
      </c>
      <c r="I17" s="21">
        <f ca="1" t="shared" si="3"/>
        <v>63456.9209724081</v>
      </c>
      <c r="J17" s="13">
        <f ca="1" t="shared" si="0"/>
        <v>0.3368</v>
      </c>
      <c r="K17" s="15">
        <f ca="1">J:J+$K$19*$D$28</f>
        <v>0.402565086819516</v>
      </c>
      <c r="L17" s="16">
        <f ca="1" t="shared" si="6"/>
        <v>1.8533</v>
      </c>
      <c r="M17" s="16">
        <f ca="1" t="shared" si="6"/>
        <v>0.6539</v>
      </c>
      <c r="N17" s="23">
        <f ca="1" t="shared" si="6"/>
        <v>17553.9346923077</v>
      </c>
      <c r="O17" s="23">
        <f ca="1" t="shared" si="6"/>
        <v>7315.92307692308</v>
      </c>
      <c r="P17" s="16">
        <f t="shared" si="6"/>
        <v>0.922</v>
      </c>
      <c r="Q17" s="23">
        <f ca="1" t="shared" si="6"/>
        <v>751</v>
      </c>
      <c r="R17" s="16">
        <f ca="1" t="shared" si="6"/>
        <v>0</v>
      </c>
      <c r="S17" s="16">
        <f ca="1" t="shared" si="6"/>
        <v>0</v>
      </c>
      <c r="T17" s="17">
        <f t="shared" si="6"/>
        <v>1.375</v>
      </c>
      <c r="U17" s="11" t="str">
        <f>属性!Q21</f>
        <v>识破率</v>
      </c>
      <c r="V17" s="11">
        <f>属性!R21</f>
        <v>0</v>
      </c>
    </row>
    <row r="18" customHeight="1" spans="1:20">
      <c r="A18" s="17" t="s">
        <v>290</v>
      </c>
      <c r="B18" s="17">
        <v>0</v>
      </c>
      <c r="C18" s="17">
        <f>C13</f>
        <v>1.211</v>
      </c>
      <c r="D18" s="17">
        <f>D13</f>
        <v>186</v>
      </c>
      <c r="E18" s="17">
        <f>E13</f>
        <v>1</v>
      </c>
      <c r="F18" s="16">
        <f>F13+20%</f>
        <v>0.69</v>
      </c>
      <c r="G18" s="17">
        <f>G13</f>
        <v>0.04</v>
      </c>
      <c r="H18" s="17">
        <f>H13</f>
        <v>0</v>
      </c>
      <c r="I18" s="21">
        <f ca="1" t="shared" si="3"/>
        <v>70603.2355104188</v>
      </c>
      <c r="J18" s="16">
        <f ca="1" t="shared" ref="J18:T18" si="7">J13</f>
        <v>0.3068</v>
      </c>
      <c r="K18" s="16">
        <f ca="1" t="shared" si="7"/>
        <v>0.372565086819516</v>
      </c>
      <c r="L18" s="22">
        <f ca="1" t="shared" si="7"/>
        <v>1.8533</v>
      </c>
      <c r="M18" s="22">
        <f ca="1" t="shared" si="7"/>
        <v>0.6539</v>
      </c>
      <c r="N18" s="49">
        <f ca="1" t="shared" si="7"/>
        <v>17553.9346923077</v>
      </c>
      <c r="O18" s="49">
        <f ca="1" t="shared" si="7"/>
        <v>7315.92307692308</v>
      </c>
      <c r="P18" s="16">
        <f ca="1" t="shared" si="7"/>
        <v>0.922</v>
      </c>
      <c r="Q18" s="17">
        <f ca="1" t="shared" si="7"/>
        <v>751</v>
      </c>
      <c r="R18" s="22">
        <f ca="1" t="shared" si="7"/>
        <v>0</v>
      </c>
      <c r="S18" s="16">
        <f ca="1" t="shared" si="7"/>
        <v>0</v>
      </c>
      <c r="T18" s="17">
        <f ca="1" t="shared" si="7"/>
        <v>1.375</v>
      </c>
    </row>
    <row r="19" customHeight="1" spans="1:25">
      <c r="A19" s="17"/>
      <c r="B19" s="17"/>
      <c r="C19" s="17"/>
      <c r="D19" s="17"/>
      <c r="E19" s="17"/>
      <c r="F19" s="17"/>
      <c r="G19" s="17"/>
      <c r="H19" s="17"/>
      <c r="I19" s="13" t="s">
        <v>291</v>
      </c>
      <c r="J19" s="24">
        <f ca="1">(0.75*J11+0.75*J12+8.5*J10+15*J9)/25</f>
        <v>0.349</v>
      </c>
      <c r="K19" s="7">
        <f ca="1">(0.450269547036277*J:J^6-1.63135022943507*J:J^5+2.53454201422095*J:J^4-2.30008535755169*J:J^3+1.39860127189957*J:J^2-0.596843023464342*J:J+0.171517229012336)*D28</f>
        <v>0.065765086819516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29"/>
      <c r="Y19" s="9"/>
    </row>
    <row r="20" customHeight="1" spans="1:2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30"/>
    </row>
    <row r="21" customHeight="1" spans="1:23">
      <c r="A21" s="11" t="str">
        <f>属性!D1</f>
        <v>第一重</v>
      </c>
      <c r="B21" s="11" t="str">
        <f>属性!E1</f>
        <v>刀魂</v>
      </c>
      <c r="C21" s="11" t="s">
        <v>13</v>
      </c>
      <c r="D21" s="11" t="b">
        <f t="shared" ref="D21:D32" si="8">C21=B21</f>
        <v>1</v>
      </c>
      <c r="E21" s="11" t="s">
        <v>292</v>
      </c>
      <c r="F21" s="11" t="b">
        <f>E21=B21</f>
        <v>0</v>
      </c>
      <c r="G21" s="13"/>
      <c r="H21" s="13"/>
      <c r="L21" s="13"/>
      <c r="M21" s="11"/>
      <c r="N21" s="11"/>
      <c r="O21" s="7" t="b">
        <f>属性!B20</f>
        <v>1</v>
      </c>
      <c r="P21" s="7" t="str">
        <f>属性!A20</f>
        <v>梅花盾</v>
      </c>
      <c r="U21" s="17"/>
      <c r="V21" s="30"/>
      <c r="W21" s="31"/>
    </row>
    <row r="22" customHeight="1" spans="1:25">
      <c r="A22" s="11" t="str">
        <f>属性!D2</f>
        <v>第二重</v>
      </c>
      <c r="B22" s="11" t="str">
        <f>属性!E2</f>
        <v>炼狱</v>
      </c>
      <c r="C22" s="11" t="s">
        <v>24</v>
      </c>
      <c r="D22" s="11" t="b">
        <f t="shared" si="8"/>
        <v>1</v>
      </c>
      <c r="E22" s="11"/>
      <c r="F22" s="11"/>
      <c r="G22" s="13"/>
      <c r="H22" s="13"/>
      <c r="I22" s="11"/>
      <c r="J22" s="24"/>
      <c r="K22" s="13"/>
      <c r="L22" s="13"/>
      <c r="M22" s="11"/>
      <c r="N22" s="11"/>
      <c r="U22" s="17"/>
      <c r="V22" s="30"/>
      <c r="W22" s="31"/>
      <c r="Y22" s="33"/>
    </row>
    <row r="23" customHeight="1" spans="1:23">
      <c r="A23" s="11" t="str">
        <f>属性!D3</f>
        <v>第三重</v>
      </c>
      <c r="B23" s="11" t="str">
        <f>属性!E3</f>
        <v>飞瀑</v>
      </c>
      <c r="C23" s="11" t="s">
        <v>34</v>
      </c>
      <c r="D23" s="11" t="b">
        <f t="shared" si="8"/>
        <v>1</v>
      </c>
      <c r="G23" s="13"/>
      <c r="H23" s="13"/>
      <c r="I23" s="11"/>
      <c r="K23" s="13"/>
      <c r="L23" s="13"/>
      <c r="M23" s="11"/>
      <c r="N23" s="11"/>
      <c r="U23" s="17"/>
      <c r="V23" s="30"/>
      <c r="W23" s="31"/>
    </row>
    <row r="24" customHeight="1" spans="1:23">
      <c r="A24" s="11" t="str">
        <f>属性!D4</f>
        <v>第四重</v>
      </c>
      <c r="B24" s="11" t="str">
        <f>属性!E4</f>
        <v>劫生</v>
      </c>
      <c r="C24" s="11" t="s">
        <v>44</v>
      </c>
      <c r="D24" s="11" t="b">
        <f t="shared" si="8"/>
        <v>1</v>
      </c>
      <c r="E24" s="11"/>
      <c r="F24" s="11"/>
      <c r="G24" s="13"/>
      <c r="H24" s="13"/>
      <c r="I24" s="11"/>
      <c r="K24" s="13"/>
      <c r="N24" s="11"/>
      <c r="U24" s="17"/>
      <c r="V24" s="32"/>
      <c r="W24" s="31"/>
    </row>
    <row r="25" spans="1:23">
      <c r="A25" s="11" t="str">
        <f>属性!D5</f>
        <v>第五重</v>
      </c>
      <c r="B25" s="11" t="str">
        <f>属性!E5</f>
        <v>锋鸣</v>
      </c>
      <c r="C25" s="11" t="s">
        <v>293</v>
      </c>
      <c r="D25" s="11" t="b">
        <f t="shared" si="8"/>
        <v>0</v>
      </c>
      <c r="E25" s="11" t="s">
        <v>54</v>
      </c>
      <c r="F25" s="11" t="b">
        <f>E25=B25</f>
        <v>1</v>
      </c>
      <c r="G25" s="13"/>
      <c r="H25" s="13"/>
      <c r="I25" s="11"/>
      <c r="K25" s="13"/>
      <c r="N25" s="50"/>
      <c r="U25" s="17"/>
      <c r="V25" s="32"/>
      <c r="W25" s="31"/>
    </row>
    <row r="26" spans="1:23">
      <c r="A26" s="11" t="str">
        <f>属性!D6</f>
        <v>第六重</v>
      </c>
      <c r="B26" s="11" t="str">
        <f>属性!E6</f>
        <v>割裂</v>
      </c>
      <c r="C26" s="11" t="s">
        <v>64</v>
      </c>
      <c r="D26" s="11" t="b">
        <f t="shared" si="8"/>
        <v>1</v>
      </c>
      <c r="E26" s="11" t="s">
        <v>294</v>
      </c>
      <c r="F26" s="11" t="b">
        <f>E26=B26</f>
        <v>0</v>
      </c>
      <c r="G26" s="17"/>
      <c r="H26" s="18"/>
      <c r="I26" s="25"/>
      <c r="J26" s="25"/>
      <c r="L26" s="26" t="s">
        <v>215</v>
      </c>
      <c r="M26" s="26" t="str">
        <f>属性!E29</f>
        <v>无增益</v>
      </c>
      <c r="N26" s="15" t="str">
        <f>属性!F29</f>
        <v>木桩</v>
      </c>
      <c r="O26" s="7" t="str">
        <f>属性!G29</f>
        <v>木桩盾击</v>
      </c>
      <c r="P26" s="26" t="s">
        <v>295</v>
      </c>
      <c r="Q26" s="11">
        <f>IF($V$12&gt;18,1)+IF($V$12&gt;827,1)+IF($V$12&gt;1728,1)+IF($V$12&gt;2703,1)</f>
        <v>2</v>
      </c>
      <c r="U26" s="17"/>
      <c r="V26" s="32"/>
      <c r="W26" s="31"/>
    </row>
    <row r="27" spans="1:23">
      <c r="A27" s="11" t="str">
        <f>属性!D7</f>
        <v>第七重</v>
      </c>
      <c r="B27" s="11" t="str">
        <f>属性!E7</f>
        <v>活脉</v>
      </c>
      <c r="C27" s="11" t="s">
        <v>72</v>
      </c>
      <c r="D27" s="11" t="b">
        <f t="shared" si="8"/>
        <v>1</v>
      </c>
      <c r="E27" s="11"/>
      <c r="F27" s="11"/>
      <c r="G27" s="17" t="str">
        <f>属性!F5</f>
        <v>战斗时间</v>
      </c>
      <c r="H27" s="30">
        <f>属性!G5</f>
        <v>300</v>
      </c>
      <c r="I27" s="17"/>
      <c r="J27" s="17"/>
      <c r="L27" s="11" t="s">
        <v>93</v>
      </c>
      <c r="M27" s="13">
        <f>属性!E30</f>
        <v>0.75</v>
      </c>
      <c r="N27" s="15">
        <f>属性!F30</f>
        <v>0.863557858376511</v>
      </c>
      <c r="O27" s="22">
        <f>属性!G30</f>
        <v>0.92678405931418</v>
      </c>
      <c r="P27" s="26" t="s">
        <v>296</v>
      </c>
      <c r="Q27" s="30">
        <f>IF($V$12&gt;18,1)+IF($V$12&gt;1268,1)+IF($V$12&gt;2703,1)</f>
        <v>1</v>
      </c>
      <c r="U27" s="17"/>
      <c r="V27" s="32"/>
      <c r="W27" s="31"/>
    </row>
    <row r="28" spans="1:23">
      <c r="A28" s="11" t="str">
        <f>属性!D8</f>
        <v>第八重</v>
      </c>
      <c r="B28" s="11" t="str">
        <f>属性!E8</f>
        <v>恋战</v>
      </c>
      <c r="C28" s="11" t="s">
        <v>81</v>
      </c>
      <c r="D28" s="11" t="b">
        <f t="shared" si="8"/>
        <v>1</v>
      </c>
      <c r="E28" s="11"/>
      <c r="F28" s="11"/>
      <c r="G28" s="17" t="str">
        <f>属性!A21</f>
        <v>竞技场套装</v>
      </c>
      <c r="H28" s="16" t="b">
        <f>属性!B21</f>
        <v>1</v>
      </c>
      <c r="I28" s="17"/>
      <c r="J28" s="17"/>
      <c r="L28" s="11" t="s">
        <v>229</v>
      </c>
      <c r="M28" s="13">
        <f>属性!E31</f>
        <v>0.649996259286498</v>
      </c>
      <c r="N28" s="15">
        <f>属性!F31</f>
        <v>0.796663594575287</v>
      </c>
      <c r="O28" s="22">
        <f>属性!G31</f>
        <v>0.886825554856985</v>
      </c>
      <c r="P28" s="26" t="s">
        <v>297</v>
      </c>
      <c r="Q28" s="30">
        <f>IF($V$12&gt;18,1)+IF($V$12&gt;625,1)+IF($V$12&gt;1268,1)+IF($V$12&gt;1949,1)+IF($V$12&gt;2703,1)</f>
        <v>2</v>
      </c>
      <c r="U28" s="17"/>
      <c r="V28" s="30"/>
      <c r="W28" s="31"/>
    </row>
    <row r="29" spans="1:23">
      <c r="A29" s="11" t="str">
        <f>属性!D9</f>
        <v>第九重</v>
      </c>
      <c r="B29" s="11" t="str">
        <f>属性!E9</f>
        <v>从容</v>
      </c>
      <c r="C29" s="11" t="s">
        <v>99</v>
      </c>
      <c r="D29" s="11" t="b">
        <f t="shared" si="8"/>
        <v>0</v>
      </c>
      <c r="E29" s="11"/>
      <c r="F29" s="11"/>
      <c r="G29" s="11" t="s">
        <v>298</v>
      </c>
      <c r="H29" s="11" t="b">
        <f>属性!B6</f>
        <v>1</v>
      </c>
      <c r="I29" s="17"/>
      <c r="J29" s="17"/>
      <c r="L29" s="11" t="s">
        <v>299</v>
      </c>
      <c r="M29" s="13">
        <f>属性!E32</f>
        <v>0.6</v>
      </c>
      <c r="N29" s="15">
        <f>属性!F32</f>
        <v>0.759878419452888</v>
      </c>
      <c r="O29" s="22">
        <f>属性!G32</f>
        <v>0.863557858376511</v>
      </c>
      <c r="P29" s="26" t="s">
        <v>92</v>
      </c>
      <c r="Q29" s="11" t="str">
        <f>苍云!C11</f>
        <v>102级</v>
      </c>
      <c r="U29" s="17"/>
      <c r="V29" s="30"/>
      <c r="W29" s="31"/>
    </row>
    <row r="30" spans="1:17">
      <c r="A30" s="11" t="str">
        <f>属性!D10</f>
        <v>第十重</v>
      </c>
      <c r="B30" s="11" t="str">
        <f>属性!E10</f>
        <v>愤恨</v>
      </c>
      <c r="C30" s="11" t="s">
        <v>91</v>
      </c>
      <c r="D30" s="11" t="b">
        <f t="shared" si="8"/>
        <v>0</v>
      </c>
      <c r="E30" s="11"/>
      <c r="F30" s="11"/>
      <c r="G30" s="11" t="s">
        <v>300</v>
      </c>
      <c r="H30" s="11" t="b">
        <f>属性!B2</f>
        <v>1</v>
      </c>
      <c r="I30" s="17"/>
      <c r="J30" s="17"/>
      <c r="L30" s="17" t="s">
        <v>179</v>
      </c>
      <c r="M30" s="13">
        <f>属性!E33</f>
        <v>0.649996259286498</v>
      </c>
      <c r="N30" s="15">
        <f>属性!F33</f>
        <v>0.796663594575287</v>
      </c>
      <c r="O30" s="22">
        <f>属性!G33</f>
        <v>0.886825554856985</v>
      </c>
      <c r="P30" s="26" t="s">
        <v>100</v>
      </c>
      <c r="Q30" s="11" t="str">
        <f>MIDB(苍云!C12,SEARCHB("?",苍云!C12),2*LEN(苍云!C12)-LENB(苍云!C12))</f>
        <v>5</v>
      </c>
    </row>
    <row r="31" spans="1:17">
      <c r="A31" s="11" t="str">
        <f>属性!D11</f>
        <v>第十一重</v>
      </c>
      <c r="B31" s="11" t="str">
        <f>属性!E11</f>
        <v>蔑视</v>
      </c>
      <c r="C31" s="11" t="s">
        <v>107</v>
      </c>
      <c r="D31" s="11" t="b">
        <f t="shared" si="8"/>
        <v>1</v>
      </c>
      <c r="E31" s="11"/>
      <c r="F31" s="11"/>
      <c r="G31" s="11" t="s">
        <v>301</v>
      </c>
      <c r="H31" s="11" t="b">
        <f>属性!B7</f>
        <v>0</v>
      </c>
      <c r="I31" s="17"/>
      <c r="J31" s="17"/>
      <c r="L31" s="7" t="s">
        <v>180</v>
      </c>
      <c r="M31" s="13">
        <f>属性!E34</f>
        <v>0.649996259286498</v>
      </c>
      <c r="N31" s="7">
        <f>属性!F34</f>
        <v>0.796663594575287</v>
      </c>
      <c r="O31" s="7">
        <f>属性!G34</f>
        <v>0.886825554856985</v>
      </c>
      <c r="P31" s="11" t="str">
        <f>属性!F5</f>
        <v>战斗时间</v>
      </c>
      <c r="Q31" s="11">
        <f>属性!G5</f>
        <v>300</v>
      </c>
    </row>
    <row r="32" spans="1:24">
      <c r="A32" s="11" t="str">
        <f>属性!D12</f>
        <v>第十二重</v>
      </c>
      <c r="B32" s="11" t="str">
        <f>属性!E12</f>
        <v>骇日</v>
      </c>
      <c r="C32" s="11" t="s">
        <v>116</v>
      </c>
      <c r="D32" s="11" t="b">
        <f t="shared" si="8"/>
        <v>1</v>
      </c>
      <c r="E32" s="11"/>
      <c r="F32" s="11"/>
      <c r="H32" s="20"/>
      <c r="I32" s="17"/>
      <c r="J32" s="17"/>
      <c r="K32" s="17"/>
      <c r="L32" s="16"/>
      <c r="M32" s="10"/>
      <c r="N32" s="13"/>
      <c r="O32" s="15"/>
      <c r="P32" s="17" t="s">
        <v>302</v>
      </c>
      <c r="Q32" s="11">
        <f ca="1">$I$14/$T$14</f>
        <v>11893.4009403521</v>
      </c>
      <c r="X32" s="10"/>
    </row>
    <row r="33" spans="8:17">
      <c r="H33" s="17"/>
      <c r="I33" s="17"/>
      <c r="J33" s="17"/>
      <c r="K33" s="17"/>
      <c r="L33" s="17"/>
      <c r="N33" s="17"/>
      <c r="O33" s="17"/>
      <c r="P33" s="17" t="s">
        <v>303</v>
      </c>
      <c r="Q33" s="7">
        <f ca="1">(I13-I10)*5/60*H30</f>
        <v>837.367883427543</v>
      </c>
    </row>
    <row r="34" spans="1:20">
      <c r="A34" s="11" t="s">
        <v>271</v>
      </c>
      <c r="B34" s="20" t="s">
        <v>272</v>
      </c>
      <c r="C34" s="20" t="s">
        <v>304</v>
      </c>
      <c r="D34" s="20" t="s">
        <v>281</v>
      </c>
      <c r="E34" s="20" t="s">
        <v>278</v>
      </c>
      <c r="F34" s="11"/>
      <c r="G34" s="20"/>
      <c r="H34" s="20"/>
      <c r="L34" s="20">
        <f ca="1">300/(C49/16+D49)</f>
        <v>18.3066361556064</v>
      </c>
      <c r="M34" s="20"/>
      <c r="N34" s="20"/>
      <c r="O34" s="20"/>
      <c r="P34" s="11" t="s">
        <v>305</v>
      </c>
      <c r="Q34" s="20">
        <f ca="1">$I$2/$T$2</f>
        <v>576.616171428479</v>
      </c>
      <c r="R34" s="20"/>
      <c r="S34" s="20"/>
      <c r="T34" s="20"/>
    </row>
    <row r="35" spans="1:21">
      <c r="A35" s="11" t="s">
        <v>55</v>
      </c>
      <c r="B35" s="20">
        <f ca="1" t="shared" ref="B35" si="9">IFERROR(VLOOKUP(A35,实战技能表,MATCH("怒气",$A$1:$T$1,0),0),0)</f>
        <v>15</v>
      </c>
      <c r="C35" s="20">
        <v>1</v>
      </c>
      <c r="D35" s="20">
        <f ca="1" t="shared" ref="D35" si="10">IFERROR(VLOOKUP(A35,实战技能表,MATCH("时间",$A$1:$T$1,0),0),0)</f>
        <v>1.375</v>
      </c>
      <c r="E35" s="20">
        <f ca="1" t="shared" ref="E35" si="11">IFERROR(VLOOKUP(A35,实战技能表,MATCH("dmg",$A$1:$T$1,0),0),0)</f>
        <v>83370.8828702301</v>
      </c>
      <c r="F35" s="11"/>
      <c r="G35" s="20"/>
      <c r="H35" s="20"/>
      <c r="I35" s="20" t="s">
        <v>14</v>
      </c>
      <c r="J35" s="20">
        <f ca="1">E42*8.5</f>
        <v>443694.97159421</v>
      </c>
      <c r="K35" s="15">
        <f ca="1">J35/J$43*100%</f>
        <v>0.446520677327401</v>
      </c>
      <c r="L35" s="20">
        <f ca="1">ROUND(8.5*L34,0)</f>
        <v>156</v>
      </c>
      <c r="M35" s="20"/>
      <c r="N35" s="20"/>
      <c r="O35" s="20"/>
      <c r="P35" s="17" t="s">
        <v>306</v>
      </c>
      <c r="Q35" s="20">
        <f ca="1">$I$3/$T$3</f>
        <v>513.485478186603</v>
      </c>
      <c r="R35" s="20"/>
      <c r="S35" s="20"/>
      <c r="T35" s="20"/>
      <c r="U35" s="51"/>
    </row>
    <row r="36" spans="1:20">
      <c r="A36" s="11" t="s">
        <v>82</v>
      </c>
      <c r="B36" s="20">
        <f ca="1">IFERROR(VLOOKUP(A36,实战技能表,MATCH("怒气",$A$1:$T$1,0),0),0)*C36</f>
        <v>6</v>
      </c>
      <c r="C36" s="20">
        <v>0.4</v>
      </c>
      <c r="D36" s="20">
        <f ca="1">IFERROR(VLOOKUP(A36,实战技能表,MATCH("时间",$A$1:$T$1,0),0),0)*C36</f>
        <v>0.55</v>
      </c>
      <c r="E36" s="20">
        <f ca="1">IFERROR(VLOOKUP(A36,实战技能表,MATCH("dmg",$A$1:$T$1,0),0),0)*C36</f>
        <v>19556.7572692458</v>
      </c>
      <c r="F36" s="11"/>
      <c r="G36" s="20"/>
      <c r="H36" s="20"/>
      <c r="I36" s="20" t="s">
        <v>25</v>
      </c>
      <c r="J36" s="20">
        <f ca="1">Q32*D51</f>
        <v>203377.156080021</v>
      </c>
      <c r="K36" s="15">
        <f ca="1" t="shared" ref="K35:K42" si="12">J36/J$43*100%</f>
        <v>0.204672379223683</v>
      </c>
      <c r="L36" s="20">
        <f>ROUND(300/T14,0)</f>
        <v>320</v>
      </c>
      <c r="M36" s="20"/>
      <c r="N36" s="20"/>
      <c r="O36" s="20"/>
      <c r="P36" s="11"/>
      <c r="Q36" s="20"/>
      <c r="R36" s="20"/>
      <c r="S36" s="20"/>
      <c r="T36" s="20"/>
    </row>
    <row r="37" spans="1:22">
      <c r="A37" s="11" t="s">
        <v>65</v>
      </c>
      <c r="B37" s="20">
        <f ca="1">IFERROR(VLOOKUP(A37,实战技能表,MATCH("怒气",$A$1:$T$1,0),0),0)*C37</f>
        <v>-11.25</v>
      </c>
      <c r="C37" s="20">
        <v>0.75</v>
      </c>
      <c r="D37" s="20">
        <f ca="1">IFERROR(VLOOKUP(A37,实战技能表,MATCH("时间",$A$1:$T$1,0),0),0)*C37</f>
        <v>1.03125</v>
      </c>
      <c r="E37" s="20">
        <f ca="1">IFERROR(VLOOKUP(A37,实战技能表,MATCH("dmg",$A$1:$T$1,0),0),0)*C37</f>
        <v>36215.1107922605</v>
      </c>
      <c r="F37" s="11"/>
      <c r="G37" s="20"/>
      <c r="H37" s="20"/>
      <c r="I37" s="20" t="s">
        <v>35</v>
      </c>
      <c r="J37" s="20">
        <f ca="1">E48</f>
        <v>118558.278544005</v>
      </c>
      <c r="K37" s="15">
        <f ca="1" t="shared" si="12"/>
        <v>0.119313326107865</v>
      </c>
      <c r="L37" s="20">
        <f ca="1">ROUND(INT(D48+1)*L34,0)</f>
        <v>275</v>
      </c>
      <c r="M37" s="20"/>
      <c r="N37" s="20"/>
      <c r="O37" s="20"/>
      <c r="P37" s="11" t="s">
        <v>307</v>
      </c>
      <c r="Q37" s="20">
        <f ca="1">属性!V61</f>
        <v>0.0101333333333333</v>
      </c>
      <c r="R37" s="20"/>
      <c r="S37" s="20"/>
      <c r="T37" s="20"/>
      <c r="V37" s="7"/>
    </row>
    <row r="38" spans="1:23">
      <c r="A38" s="20" t="s">
        <v>73</v>
      </c>
      <c r="B38" s="20">
        <f ca="1">IFERROR(VLOOKUP(A38,实战技能表,MATCH("怒气",$A$1:$T$1,0),0),0)*C38</f>
        <v>-11.25</v>
      </c>
      <c r="C38" s="20">
        <v>0.75</v>
      </c>
      <c r="D38" s="20">
        <f ca="1">IFERROR(VLOOKUP(A38,实战技能表,MATCH("时间",$A$1:$T$1,0),0),0)*C38</f>
        <v>1.03125</v>
      </c>
      <c r="E38" s="20">
        <f ca="1">IFERROR(VLOOKUP(A38,实战技能表,MATCH("dmg",$A$1:$T$1,0),0),0)*C38</f>
        <v>22974.7795458929</v>
      </c>
      <c r="F38" s="11"/>
      <c r="G38" s="20"/>
      <c r="H38" s="20"/>
      <c r="I38" s="20" t="s">
        <v>45</v>
      </c>
      <c r="J38" s="20">
        <f ca="1">F48</f>
        <v>65923.7880938942</v>
      </c>
      <c r="K38" s="15">
        <f ca="1" t="shared" si="12"/>
        <v>0.066343628835612</v>
      </c>
      <c r="L38" s="20">
        <f>ROUND(300/1.5,0)</f>
        <v>200</v>
      </c>
      <c r="M38" s="20"/>
      <c r="N38" s="20"/>
      <c r="O38" s="20"/>
      <c r="P38" s="11"/>
      <c r="Q38" s="20"/>
      <c r="R38" s="20"/>
      <c r="S38" s="20"/>
      <c r="T38" s="20"/>
      <c r="V38" s="7"/>
      <c r="W38" s="7"/>
    </row>
    <row r="39" spans="1:23">
      <c r="A39" s="11" t="s">
        <v>14</v>
      </c>
      <c r="B39" s="20">
        <f ca="1">IFERROR(VLOOKUP(A39,实战技能表,MATCH("怒气",$A$1:$T$1,0),0),0)*C39</f>
        <v>-2.5</v>
      </c>
      <c r="C39" s="20">
        <v>0.5</v>
      </c>
      <c r="D39" s="20">
        <f ca="1">IFERROR(VLOOKUP(A39,实战技能表,MATCH("时间",$A$1:$T$1,0),0),0)*C39</f>
        <v>0.6875</v>
      </c>
      <c r="E39" s="20">
        <f ca="1">IFERROR(VLOOKUP(A39,实战技能表,MATCH("dmg",$A$1:$T$1,0),0),0)*C39</f>
        <v>26099.7042114241</v>
      </c>
      <c r="F39" s="11"/>
      <c r="G39" s="20"/>
      <c r="H39" s="20"/>
      <c r="I39" s="20" t="s">
        <v>55</v>
      </c>
      <c r="J39" s="20">
        <f ca="1">E35</f>
        <v>83370.8828702301</v>
      </c>
      <c r="K39" s="15">
        <f ca="1" t="shared" si="12"/>
        <v>0.0839018367840442</v>
      </c>
      <c r="L39" s="20">
        <f ca="1">ROUND(L34,0)</f>
        <v>18</v>
      </c>
      <c r="M39" s="20"/>
      <c r="N39" s="20"/>
      <c r="O39" s="20"/>
      <c r="P39" s="11"/>
      <c r="Q39" s="20"/>
      <c r="R39" s="20"/>
      <c r="S39" s="20"/>
      <c r="T39" s="20"/>
      <c r="V39" s="7"/>
      <c r="W39" s="7"/>
    </row>
    <row r="40" spans="1:20">
      <c r="A40" s="11" t="s">
        <v>14</v>
      </c>
      <c r="B40" s="20">
        <f ca="1" t="shared" ref="B40:B47" si="13">IFERROR(VLOOKUP(A40,实战技能表,MATCH("怒气",$A$1:$T$1,0),0),0)</f>
        <v>-5</v>
      </c>
      <c r="C40" s="20">
        <v>1</v>
      </c>
      <c r="D40" s="20">
        <f ca="1" t="shared" ref="D40:D47" si="14">IFERROR(VLOOKUP(A40,实战技能表,MATCH("时间",$A$1:$T$1,0),0),0)</f>
        <v>1.375</v>
      </c>
      <c r="E40" s="20">
        <f ca="1" t="shared" ref="E40:E47" si="15">IFERROR(VLOOKUP(A40,实战技能表,MATCH("dmg",$A$1:$T$1,0),0),0)</f>
        <v>52199.4084228482</v>
      </c>
      <c r="F40" s="20"/>
      <c r="G40" s="20"/>
      <c r="H40" s="20"/>
      <c r="I40" s="20" t="s">
        <v>65</v>
      </c>
      <c r="J40" s="20">
        <f ca="1">E37</f>
        <v>36215.1107922605</v>
      </c>
      <c r="K40" s="15">
        <f ca="1" t="shared" si="12"/>
        <v>0.0364457495255014</v>
      </c>
      <c r="L40" s="20">
        <f ca="1">ROUND(L34*0.75,0)</f>
        <v>14</v>
      </c>
      <c r="M40" s="20"/>
      <c r="N40" s="20"/>
      <c r="O40" s="20"/>
      <c r="P40" s="20"/>
      <c r="Q40" s="20"/>
      <c r="R40" s="20"/>
      <c r="S40" s="20"/>
      <c r="T40" s="20"/>
    </row>
    <row r="41" spans="1:20">
      <c r="A41" s="11" t="s">
        <v>14</v>
      </c>
      <c r="B41" s="20">
        <f ca="1" t="shared" si="13"/>
        <v>-5</v>
      </c>
      <c r="C41" s="20">
        <v>1</v>
      </c>
      <c r="D41" s="20">
        <f ca="1" t="shared" si="14"/>
        <v>1.375</v>
      </c>
      <c r="E41" s="20">
        <f ca="1" t="shared" si="15"/>
        <v>52199.4084228482</v>
      </c>
      <c r="F41" s="11"/>
      <c r="G41" s="20"/>
      <c r="H41" s="20"/>
      <c r="I41" s="20" t="s">
        <v>73</v>
      </c>
      <c r="J41" s="20">
        <f ca="1">E38</f>
        <v>22974.7795458929</v>
      </c>
      <c r="K41" s="15">
        <f ca="1" t="shared" si="12"/>
        <v>0.023121096205846</v>
      </c>
      <c r="L41" s="20">
        <f ca="1">ROUND(L34*0.75,0)</f>
        <v>14</v>
      </c>
      <c r="M41" s="20"/>
      <c r="N41" s="20"/>
      <c r="O41" s="20"/>
      <c r="P41" s="11"/>
      <c r="Q41" s="20"/>
      <c r="R41" s="20"/>
      <c r="S41" s="20"/>
      <c r="T41" s="20"/>
    </row>
    <row r="42" spans="1:20">
      <c r="A42" s="11" t="s">
        <v>14</v>
      </c>
      <c r="B42" s="20">
        <f ca="1" t="shared" si="13"/>
        <v>-5</v>
      </c>
      <c r="C42" s="20">
        <v>1</v>
      </c>
      <c r="D42" s="20">
        <f ca="1" t="shared" si="14"/>
        <v>1.375</v>
      </c>
      <c r="E42" s="20">
        <f ca="1" t="shared" si="15"/>
        <v>52199.4084228482</v>
      </c>
      <c r="F42" s="11"/>
      <c r="G42" s="20"/>
      <c r="H42" s="20"/>
      <c r="I42" s="7" t="s">
        <v>82</v>
      </c>
      <c r="J42" s="10">
        <f ca="1">E36</f>
        <v>19556.7572692458</v>
      </c>
      <c r="K42" s="15">
        <f ca="1" t="shared" si="12"/>
        <v>0.0196813059900478</v>
      </c>
      <c r="L42" s="20">
        <f ca="1">ROUND(L34*0.4,0)</f>
        <v>7</v>
      </c>
      <c r="M42" s="20"/>
      <c r="N42" s="20"/>
      <c r="O42" s="20"/>
      <c r="P42" s="11"/>
      <c r="Q42" s="20"/>
      <c r="R42" s="20"/>
      <c r="S42" s="20"/>
      <c r="T42" s="20"/>
    </row>
    <row r="43" spans="1:20">
      <c r="A43" s="11" t="s">
        <v>14</v>
      </c>
      <c r="B43" s="20">
        <f ca="1" t="shared" si="13"/>
        <v>-5</v>
      </c>
      <c r="C43" s="20">
        <v>1</v>
      </c>
      <c r="D43" s="20">
        <f ca="1" t="shared" si="14"/>
        <v>1.375</v>
      </c>
      <c r="E43" s="20">
        <f ca="1" t="shared" si="15"/>
        <v>52199.4084228482</v>
      </c>
      <c r="F43" s="11"/>
      <c r="G43" s="20"/>
      <c r="H43" s="20"/>
      <c r="I43" s="10"/>
      <c r="J43" s="20">
        <f ca="1">SUM(J35:J42)</f>
        <v>993671.724789759</v>
      </c>
      <c r="K43" s="10"/>
      <c r="L43" s="20"/>
      <c r="M43" s="20"/>
      <c r="N43" s="20"/>
      <c r="O43" s="20"/>
      <c r="P43" s="11"/>
      <c r="Q43" s="20"/>
      <c r="R43" s="20"/>
      <c r="S43" s="20"/>
      <c r="T43" s="20"/>
    </row>
    <row r="44" spans="1:20">
      <c r="A44" s="11" t="s">
        <v>14</v>
      </c>
      <c r="B44" s="20">
        <f ca="1" t="shared" si="13"/>
        <v>-5</v>
      </c>
      <c r="C44" s="20">
        <v>1</v>
      </c>
      <c r="D44" s="20">
        <f ca="1" t="shared" si="14"/>
        <v>1.375</v>
      </c>
      <c r="E44" s="20">
        <f ca="1" t="shared" si="15"/>
        <v>52199.4084228482</v>
      </c>
      <c r="F44" s="11"/>
      <c r="G44" s="20"/>
      <c r="H44" s="20"/>
      <c r="I44" s="10"/>
      <c r="J44" s="10"/>
      <c r="K44" s="10"/>
      <c r="L44" s="20"/>
      <c r="M44" s="20"/>
      <c r="N44" s="20"/>
      <c r="O44" s="20"/>
      <c r="P44" s="11"/>
      <c r="Q44" s="20"/>
      <c r="R44" s="20"/>
      <c r="S44" s="20"/>
      <c r="T44" s="20"/>
    </row>
    <row r="45" spans="1:20">
      <c r="A45" s="11" t="s">
        <v>14</v>
      </c>
      <c r="B45" s="20">
        <f ca="1" t="shared" si="13"/>
        <v>-5</v>
      </c>
      <c r="C45" s="20">
        <v>1</v>
      </c>
      <c r="D45" s="20">
        <f ca="1" t="shared" si="14"/>
        <v>1.375</v>
      </c>
      <c r="E45" s="20">
        <f ca="1" t="shared" si="15"/>
        <v>52199.4084228482</v>
      </c>
      <c r="F45" s="11"/>
      <c r="G45" s="20"/>
      <c r="H45" s="20"/>
      <c r="I45" s="20"/>
      <c r="J45" s="20"/>
      <c r="K45" s="11"/>
      <c r="L45" s="20"/>
      <c r="M45" s="20"/>
      <c r="N45" s="20"/>
      <c r="O45" s="20"/>
      <c r="P45" s="11"/>
      <c r="Q45" s="20"/>
      <c r="R45" s="20"/>
      <c r="S45" s="20"/>
      <c r="T45" s="20"/>
    </row>
    <row r="46" spans="1:20">
      <c r="A46" s="11" t="s">
        <v>14</v>
      </c>
      <c r="B46" s="20">
        <f ca="1" t="shared" si="13"/>
        <v>-5</v>
      </c>
      <c r="C46" s="20">
        <v>1</v>
      </c>
      <c r="D46" s="20">
        <f ca="1" t="shared" si="14"/>
        <v>1.375</v>
      </c>
      <c r="E46" s="20">
        <f ca="1" t="shared" si="15"/>
        <v>52199.4084228482</v>
      </c>
      <c r="F46" s="11"/>
      <c r="G46" s="20"/>
      <c r="H46" s="20"/>
      <c r="I46" s="20"/>
      <c r="J46" s="20"/>
      <c r="K46" s="11"/>
      <c r="L46" s="20"/>
      <c r="M46" s="20"/>
      <c r="N46" s="20"/>
      <c r="O46" s="20"/>
      <c r="P46" s="11"/>
      <c r="Q46" s="20"/>
      <c r="R46" s="20"/>
      <c r="S46" s="20"/>
      <c r="T46" s="20"/>
    </row>
    <row r="47" spans="1:20">
      <c r="A47" s="11" t="s">
        <v>14</v>
      </c>
      <c r="B47" s="20">
        <f ca="1" t="shared" si="13"/>
        <v>-5</v>
      </c>
      <c r="C47" s="20">
        <v>1</v>
      </c>
      <c r="D47" s="20">
        <f ca="1" t="shared" si="14"/>
        <v>1.375</v>
      </c>
      <c r="E47" s="20">
        <f ca="1" t="shared" si="15"/>
        <v>52199.4084228482</v>
      </c>
      <c r="F47" s="11"/>
      <c r="G47" s="20"/>
      <c r="H47" s="20"/>
      <c r="I47" s="20"/>
      <c r="J47" s="20"/>
      <c r="K47" s="11"/>
      <c r="L47" s="20"/>
      <c r="M47" s="20"/>
      <c r="N47" s="20"/>
      <c r="O47" s="20"/>
      <c r="P47" s="11"/>
      <c r="Q47" s="20"/>
      <c r="R47" s="20"/>
      <c r="S47" s="20"/>
      <c r="T47" s="20"/>
    </row>
    <row r="48" spans="1:20">
      <c r="A48" s="11"/>
      <c r="C48" s="11">
        <f>SUM(C37:C47)</f>
        <v>10</v>
      </c>
      <c r="D48" s="11">
        <f ca="1">SUM(D37:D47)+C48/16</f>
        <v>14.375</v>
      </c>
      <c r="E48" s="7">
        <f ca="1">INT(D48+1)*$I$9</f>
        <v>118558.278544005</v>
      </c>
      <c r="F48" s="11">
        <f ca="1">D48*$I$16/$T$15+(D49-D48)*$I$15/$T$15</f>
        <v>65923.7880938942</v>
      </c>
      <c r="G48" s="17"/>
      <c r="H48" s="20"/>
      <c r="I48" s="20"/>
      <c r="J48" s="20"/>
      <c r="K48" s="20"/>
      <c r="L48" s="20"/>
      <c r="M48" s="20"/>
      <c r="N48" s="20"/>
      <c r="O48" s="11"/>
      <c r="P48" s="11"/>
      <c r="Q48" s="11"/>
      <c r="R48" s="11"/>
      <c r="S48" s="11"/>
      <c r="T48" s="11"/>
    </row>
    <row r="49" spans="1:20">
      <c r="A49" s="11"/>
      <c r="B49" s="11">
        <f ca="1">SUM(B35:B47)</f>
        <v>-44</v>
      </c>
      <c r="C49" s="11">
        <f>SUM(C35:C47)</f>
        <v>11.4</v>
      </c>
      <c r="D49" s="11">
        <f ca="1">SUM(D35:D47)</f>
        <v>15.675</v>
      </c>
      <c r="E49" s="11">
        <f ca="1">SUM(E35:E48)</f>
        <v>724370.780615844</v>
      </c>
      <c r="F49" s="17"/>
      <c r="G49" s="17"/>
      <c r="H49" s="20"/>
      <c r="I49" s="20"/>
      <c r="J49" s="20"/>
      <c r="K49" s="20"/>
      <c r="L49" s="20"/>
      <c r="M49" s="20"/>
      <c r="N49" s="20"/>
      <c r="O49" s="11"/>
      <c r="P49" s="11"/>
      <c r="Q49" s="11"/>
      <c r="R49" s="11"/>
      <c r="S49" s="11"/>
      <c r="T49" s="11"/>
    </row>
    <row r="50" spans="1:20">
      <c r="A50" s="11"/>
      <c r="B50" s="11">
        <v>0</v>
      </c>
      <c r="C50" s="11">
        <f>C49*B50</f>
        <v>0</v>
      </c>
      <c r="D50" s="11">
        <f ca="1">D49+C50/16</f>
        <v>15.675</v>
      </c>
      <c r="E50" s="11">
        <f ca="1">E49/D50</f>
        <v>46211.8520329087</v>
      </c>
      <c r="F50" s="11">
        <f ca="1">F48/D50</f>
        <v>4205.66431221015</v>
      </c>
      <c r="G50" s="11">
        <f ca="1">(E50+F50+$Q$32+$Q$33+$Q$34+$Q$35)*(1+$Q$37)</f>
        <v>64889.3358049412</v>
      </c>
      <c r="H50" s="20"/>
      <c r="I50" s="20"/>
      <c r="J50" s="20"/>
      <c r="K50" s="20"/>
      <c r="L50" s="20"/>
      <c r="M50" s="20"/>
      <c r="N50" s="20"/>
      <c r="O50" s="11"/>
      <c r="P50" s="11"/>
      <c r="Q50" s="11"/>
      <c r="R50" s="11"/>
      <c r="S50" s="11"/>
      <c r="T50" s="11"/>
    </row>
    <row r="51" spans="1:26">
      <c r="A51" s="11"/>
      <c r="B51" s="11">
        <v>2</v>
      </c>
      <c r="C51" s="11">
        <f>C49*B51</f>
        <v>22.8</v>
      </c>
      <c r="D51" s="11">
        <f ca="1">D49+C51/16</f>
        <v>17.1</v>
      </c>
      <c r="E51" s="11">
        <f ca="1">E49/D51</f>
        <v>42360.8643634996</v>
      </c>
      <c r="F51" s="11">
        <f ca="1">F48/D51</f>
        <v>3855.19228619264</v>
      </c>
      <c r="G51" s="11">
        <f ca="1">(E51+F51+$Q$32+$Q$33+$Q$34+$Q$35)*(1+$Q$37)</f>
        <v>60645.3013179343</v>
      </c>
      <c r="H51" s="20"/>
      <c r="I51" s="20"/>
      <c r="J51" s="20"/>
      <c r="K51" s="20"/>
      <c r="L51" s="20"/>
      <c r="M51" s="20"/>
      <c r="N51" s="20"/>
      <c r="O51" s="11"/>
      <c r="P51" s="11"/>
      <c r="Q51" s="11"/>
      <c r="R51" s="11"/>
      <c r="S51" s="11"/>
      <c r="T51" s="11"/>
      <c r="V51" s="32"/>
      <c r="W51" s="34"/>
      <c r="X51" s="17"/>
      <c r="Y51" s="17"/>
      <c r="Z51" s="17"/>
    </row>
    <row r="52" spans="1:26">
      <c r="A52" s="11"/>
      <c r="B52" s="11">
        <v>4</v>
      </c>
      <c r="C52" s="11">
        <f>C49*B52</f>
        <v>45.6</v>
      </c>
      <c r="D52" s="11">
        <f ca="1">D49+C52/16</f>
        <v>18.525</v>
      </c>
      <c r="E52" s="11">
        <f ca="1">E49/D52</f>
        <v>39102.3363355381</v>
      </c>
      <c r="F52" s="20">
        <f ca="1">F48/D52</f>
        <v>3558.63903340859</v>
      </c>
      <c r="G52" s="11">
        <f ca="1">(E52+F52+$Q$32+$Q$33+$Q$34+$Q$35)*(1+$Q$37)</f>
        <v>57054.1952135438</v>
      </c>
      <c r="H52" s="20"/>
      <c r="I52" s="20"/>
      <c r="J52" s="20"/>
      <c r="K52" s="20"/>
      <c r="L52" s="20"/>
      <c r="M52" s="20"/>
      <c r="N52" s="20"/>
      <c r="O52" s="11"/>
      <c r="P52" s="11"/>
      <c r="Q52" s="11"/>
      <c r="R52" s="11"/>
      <c r="S52" s="11"/>
      <c r="T52" s="11"/>
      <c r="U52" s="20"/>
      <c r="V52" s="32"/>
      <c r="W52" s="32"/>
      <c r="X52" s="17"/>
      <c r="Y52" s="17"/>
      <c r="Z52" s="17"/>
    </row>
    <row r="53" spans="1:26">
      <c r="A53" s="11"/>
      <c r="B53" s="11">
        <v>6</v>
      </c>
      <c r="C53" s="11">
        <f>C49*B53</f>
        <v>68.4</v>
      </c>
      <c r="D53" s="11">
        <f ca="1">D49+C53/16</f>
        <v>19.95</v>
      </c>
      <c r="E53" s="11">
        <f ca="1">E49/D53</f>
        <v>36309.3123115711</v>
      </c>
      <c r="F53" s="20">
        <f ca="1">F48/D53</f>
        <v>3304.45053102226</v>
      </c>
      <c r="G53" s="11">
        <f ca="1">(E53+F53+$Q$32+$Q$33+$Q$34+$Q$35)*(1+$Q$37)</f>
        <v>53976.1042669235</v>
      </c>
      <c r="H53" s="20"/>
      <c r="I53" s="20"/>
      <c r="J53" s="20"/>
      <c r="K53" s="20"/>
      <c r="L53" s="20"/>
      <c r="O53" s="11"/>
      <c r="P53" s="11"/>
      <c r="Q53" s="11"/>
      <c r="R53" s="11"/>
      <c r="S53" s="11"/>
      <c r="T53" s="11"/>
      <c r="U53" s="20"/>
      <c r="V53" s="32"/>
      <c r="W53" s="32"/>
      <c r="X53" s="17"/>
      <c r="Y53" s="17"/>
      <c r="Z53" s="17"/>
    </row>
    <row r="54" spans="1:26">
      <c r="A54" s="11"/>
      <c r="B54" s="11">
        <v>8</v>
      </c>
      <c r="C54" s="11">
        <f>C49*B54</f>
        <v>91.2</v>
      </c>
      <c r="D54" s="11">
        <f ca="1">D49+C54/16</f>
        <v>21.375</v>
      </c>
      <c r="E54" s="11">
        <f ca="1">E49/D54</f>
        <v>33888.6914907997</v>
      </c>
      <c r="F54" s="20">
        <f ca="1">F48/D54</f>
        <v>3084.15382895411</v>
      </c>
      <c r="G54" s="11">
        <f ca="1">(E54+F54+$Q$32+$Q$33+$Q$34+$Q$35)*(1+$Q$37)</f>
        <v>51308.4254465191</v>
      </c>
      <c r="H54" s="20"/>
      <c r="I54" s="20"/>
      <c r="J54" s="20"/>
      <c r="K54" s="20"/>
      <c r="L54" s="20"/>
      <c r="O54" s="11"/>
      <c r="P54" s="11"/>
      <c r="Q54" s="11"/>
      <c r="R54" s="11"/>
      <c r="S54" s="11"/>
      <c r="T54" s="11"/>
      <c r="U54" s="20"/>
      <c r="V54" s="32"/>
      <c r="W54" s="32"/>
      <c r="X54" s="17"/>
      <c r="Y54" s="17"/>
      <c r="Z54" s="17"/>
    </row>
    <row r="55" spans="1:26">
      <c r="A55" s="11"/>
      <c r="C55" s="11"/>
      <c r="D55" s="11"/>
      <c r="F55" s="11"/>
      <c r="G55" s="17"/>
      <c r="H55" s="20"/>
      <c r="I55" s="20"/>
      <c r="J55" s="20"/>
      <c r="K55" s="20"/>
      <c r="L55" s="20"/>
      <c r="M55" s="17"/>
      <c r="N55" s="17"/>
      <c r="O55" s="11"/>
      <c r="P55" s="11"/>
      <c r="Q55" s="11"/>
      <c r="R55" s="11"/>
      <c r="S55" s="11"/>
      <c r="T55" s="11"/>
      <c r="U55" s="20"/>
      <c r="V55" s="32"/>
      <c r="W55" s="32"/>
      <c r="X55" s="17"/>
      <c r="Y55" s="17"/>
      <c r="Z55" s="17"/>
    </row>
    <row r="56" spans="1:26">
      <c r="A56" s="11"/>
      <c r="B56" s="11"/>
      <c r="C56" s="11"/>
      <c r="D56" s="11"/>
      <c r="E56" s="11"/>
      <c r="F56" s="17"/>
      <c r="G56" s="17"/>
      <c r="H56" s="20"/>
      <c r="I56" s="20"/>
      <c r="J56" s="20"/>
      <c r="K56" s="20"/>
      <c r="L56" s="20"/>
      <c r="M56" s="17"/>
      <c r="N56" s="17"/>
      <c r="O56" s="11"/>
      <c r="P56" s="11"/>
      <c r="Q56" s="11"/>
      <c r="R56" s="11"/>
      <c r="S56" s="11"/>
      <c r="U56" s="20"/>
      <c r="V56" s="32"/>
      <c r="W56" s="32"/>
      <c r="X56" s="17"/>
      <c r="Y56" s="17"/>
      <c r="Z56" s="17"/>
    </row>
    <row r="57" spans="1:26">
      <c r="A57" s="11"/>
      <c r="B57" s="20"/>
      <c r="C57" s="20"/>
      <c r="D57" s="20"/>
      <c r="E57" s="20"/>
      <c r="F57" s="11"/>
      <c r="G57" s="11"/>
      <c r="H57" s="20"/>
      <c r="I57" s="20"/>
      <c r="J57" s="20"/>
      <c r="K57" s="20"/>
      <c r="L57" s="20"/>
      <c r="M57" s="17"/>
      <c r="N57" s="17"/>
      <c r="O57" s="11"/>
      <c r="P57" s="11"/>
      <c r="Q57" s="11"/>
      <c r="R57" s="11"/>
      <c r="S57" s="11"/>
      <c r="T57" s="11"/>
      <c r="U57" s="20"/>
      <c r="V57" s="32"/>
      <c r="W57" s="32"/>
      <c r="X57" s="17"/>
      <c r="Y57" s="17"/>
      <c r="Z57" s="17"/>
    </row>
    <row r="58" spans="1:26">
      <c r="A58" s="11"/>
      <c r="B58" s="20"/>
      <c r="C58" s="20"/>
      <c r="D58" s="20"/>
      <c r="E58" s="20"/>
      <c r="F58" s="11"/>
      <c r="G58" s="11"/>
      <c r="H58" s="20"/>
      <c r="I58" s="20"/>
      <c r="J58" s="20"/>
      <c r="K58" s="20"/>
      <c r="L58" s="20"/>
      <c r="M58" s="17"/>
      <c r="N58" s="17"/>
      <c r="O58" s="11"/>
      <c r="P58" s="11"/>
      <c r="R58" s="11"/>
      <c r="S58" s="11"/>
      <c r="T58" s="11"/>
      <c r="U58" s="20"/>
      <c r="V58" s="32"/>
      <c r="W58" s="32"/>
      <c r="X58" s="17"/>
      <c r="Y58" s="17"/>
      <c r="Z58" s="17"/>
    </row>
    <row r="59" spans="1:26">
      <c r="A59" s="11"/>
      <c r="B59" s="20"/>
      <c r="C59" s="20"/>
      <c r="D59" s="20"/>
      <c r="E59" s="20"/>
      <c r="F59" s="20"/>
      <c r="G59" s="11"/>
      <c r="H59" s="20"/>
      <c r="I59" s="20"/>
      <c r="J59" s="20"/>
      <c r="K59" s="20"/>
      <c r="L59" s="20"/>
      <c r="M59" s="17"/>
      <c r="N59" s="17"/>
      <c r="P59" s="11"/>
      <c r="R59" s="11"/>
      <c r="S59" s="11"/>
      <c r="T59" s="11"/>
      <c r="U59" s="20"/>
      <c r="V59" s="32"/>
      <c r="W59" s="32"/>
      <c r="X59" s="17"/>
      <c r="Y59" s="17"/>
      <c r="Z59" s="17"/>
    </row>
    <row r="60" spans="1:26">
      <c r="A60" s="20"/>
      <c r="B60" s="20"/>
      <c r="C60" s="20"/>
      <c r="D60" s="20"/>
      <c r="E60" s="20"/>
      <c r="F60" s="20"/>
      <c r="G60" s="11"/>
      <c r="H60" s="11"/>
      <c r="I60" s="20"/>
      <c r="J60" s="20"/>
      <c r="K60" s="20"/>
      <c r="L60" s="20"/>
      <c r="M60" s="17"/>
      <c r="N60" s="17"/>
      <c r="O60" s="11"/>
      <c r="P60" s="11"/>
      <c r="R60" s="11"/>
      <c r="S60" s="11"/>
      <c r="T60" s="11"/>
      <c r="U60" s="20"/>
      <c r="V60" s="32"/>
      <c r="W60" s="32"/>
      <c r="X60" s="17"/>
      <c r="Y60" s="17"/>
      <c r="Z60" s="17"/>
    </row>
    <row r="61" spans="1:26">
      <c r="A61" s="11"/>
      <c r="B61" s="20"/>
      <c r="C61" s="20"/>
      <c r="D61" s="20"/>
      <c r="E61" s="20"/>
      <c r="F61" s="17"/>
      <c r="G61" s="17"/>
      <c r="H61" s="20"/>
      <c r="I61" s="20"/>
      <c r="J61" s="20"/>
      <c r="K61" s="20"/>
      <c r="L61" s="20"/>
      <c r="M61" s="20"/>
      <c r="N61" s="20"/>
      <c r="O61" s="11"/>
      <c r="P61" s="11"/>
      <c r="R61" s="11"/>
      <c r="S61" s="11"/>
      <c r="T61" s="11"/>
      <c r="U61" s="20"/>
      <c r="V61" s="32"/>
      <c r="W61" s="32"/>
      <c r="X61" s="17"/>
      <c r="Y61" s="17"/>
      <c r="Z61" s="17"/>
    </row>
    <row r="62" spans="1:26">
      <c r="A62" s="11"/>
      <c r="B62" s="20"/>
      <c r="C62" s="20"/>
      <c r="D62" s="20"/>
      <c r="E62" s="20"/>
      <c r="F62" s="17"/>
      <c r="G62" s="17"/>
      <c r="H62" s="20"/>
      <c r="I62" s="20"/>
      <c r="J62" s="20"/>
      <c r="K62" s="20"/>
      <c r="L62" s="20"/>
      <c r="M62" s="20"/>
      <c r="N62" s="20"/>
      <c r="O62" s="11"/>
      <c r="P62" s="11"/>
      <c r="R62" s="11"/>
      <c r="S62" s="11"/>
      <c r="T62" s="11"/>
      <c r="U62" s="20"/>
      <c r="V62" s="32"/>
      <c r="W62" s="32"/>
      <c r="X62" s="17"/>
      <c r="Y62" s="17"/>
      <c r="Z62" s="17"/>
    </row>
    <row r="63" spans="1:26">
      <c r="A63" s="11"/>
      <c r="B63" s="20"/>
      <c r="C63" s="20"/>
      <c r="D63" s="20"/>
      <c r="E63" s="20"/>
      <c r="F63" s="17"/>
      <c r="G63" s="17"/>
      <c r="H63" s="20"/>
      <c r="I63" s="20"/>
      <c r="J63" s="20"/>
      <c r="K63" s="20"/>
      <c r="L63" s="20"/>
      <c r="M63" s="20"/>
      <c r="N63" s="20"/>
      <c r="O63" s="11"/>
      <c r="P63" s="11"/>
      <c r="R63" s="11"/>
      <c r="S63" s="11"/>
      <c r="T63" s="11"/>
      <c r="U63" s="20"/>
      <c r="V63" s="32"/>
      <c r="W63" s="32"/>
      <c r="X63" s="17"/>
      <c r="Y63" s="17"/>
      <c r="Z63" s="17"/>
    </row>
    <row r="64" spans="1:26">
      <c r="A64" s="11"/>
      <c r="B64" s="20"/>
      <c r="C64" s="20"/>
      <c r="D64" s="20"/>
      <c r="E64" s="20"/>
      <c r="F64" s="17"/>
      <c r="G64" s="17"/>
      <c r="H64" s="20"/>
      <c r="I64" s="20"/>
      <c r="J64" s="20"/>
      <c r="K64" s="20"/>
      <c r="L64" s="20"/>
      <c r="M64" s="20"/>
      <c r="N64" s="20"/>
      <c r="O64" s="11"/>
      <c r="P64" s="11"/>
      <c r="R64" s="11"/>
      <c r="S64" s="11"/>
      <c r="T64" s="11"/>
      <c r="U64" s="20"/>
      <c r="V64" s="32"/>
      <c r="W64" s="32"/>
      <c r="X64" s="17"/>
      <c r="Y64" s="17"/>
      <c r="Z64" s="17"/>
    </row>
    <row r="65" spans="1:26">
      <c r="A65" s="11"/>
      <c r="B65" s="20"/>
      <c r="C65" s="20"/>
      <c r="D65" s="20"/>
      <c r="E65" s="20"/>
      <c r="F65" s="17"/>
      <c r="G65" s="17"/>
      <c r="H65" s="20"/>
      <c r="I65" s="20"/>
      <c r="J65" s="20"/>
      <c r="K65" s="20"/>
      <c r="L65" s="20"/>
      <c r="M65" s="20"/>
      <c r="N65" s="20"/>
      <c r="O65" s="11"/>
      <c r="P65" s="11"/>
      <c r="R65" s="11"/>
      <c r="S65" s="11"/>
      <c r="T65" s="11"/>
      <c r="U65" s="20"/>
      <c r="V65" s="32"/>
      <c r="W65" s="32"/>
      <c r="X65" s="17"/>
      <c r="Y65" s="17"/>
      <c r="Z65" s="17"/>
    </row>
    <row r="66" spans="1:26">
      <c r="A66" s="11"/>
      <c r="B66" s="20"/>
      <c r="C66" s="20"/>
      <c r="D66" s="20"/>
      <c r="E66" s="20"/>
      <c r="F66" s="17"/>
      <c r="G66" s="17"/>
      <c r="H66" s="20"/>
      <c r="I66" s="20"/>
      <c r="J66" s="20"/>
      <c r="K66" s="20"/>
      <c r="L66" s="20"/>
      <c r="M66" s="20"/>
      <c r="N66" s="20"/>
      <c r="O66" s="11"/>
      <c r="P66" s="11"/>
      <c r="R66" s="11"/>
      <c r="S66" s="11"/>
      <c r="T66" s="11"/>
      <c r="U66" s="20"/>
      <c r="V66" s="32"/>
      <c r="W66" s="32"/>
      <c r="X66" s="17"/>
      <c r="Y66" s="17"/>
      <c r="Z66" s="17"/>
    </row>
    <row r="67" spans="1:26">
      <c r="A67" s="11"/>
      <c r="B67" s="20"/>
      <c r="C67" s="20"/>
      <c r="D67" s="20"/>
      <c r="E67" s="20"/>
      <c r="F67" s="17"/>
      <c r="G67" s="17"/>
      <c r="H67" s="20"/>
      <c r="I67" s="20"/>
      <c r="J67" s="20"/>
      <c r="K67" s="20"/>
      <c r="L67" s="20"/>
      <c r="M67" s="20"/>
      <c r="N67" s="20"/>
      <c r="O67" s="11"/>
      <c r="P67" s="11"/>
      <c r="R67" s="11"/>
      <c r="S67" s="11"/>
      <c r="T67" s="11"/>
      <c r="U67" s="20"/>
      <c r="V67" s="32"/>
      <c r="W67" s="32"/>
      <c r="X67" s="17"/>
      <c r="Y67" s="17"/>
      <c r="Z67" s="17"/>
    </row>
    <row r="68" spans="1:26">
      <c r="A68" s="11"/>
      <c r="B68" s="20"/>
      <c r="C68" s="20"/>
      <c r="D68" s="20"/>
      <c r="E68" s="20"/>
      <c r="F68" s="17"/>
      <c r="G68" s="17"/>
      <c r="H68" s="20"/>
      <c r="I68" s="20"/>
      <c r="J68" s="20"/>
      <c r="K68" s="20"/>
      <c r="L68" s="20"/>
      <c r="M68" s="20"/>
      <c r="N68" s="20"/>
      <c r="O68" s="11"/>
      <c r="P68" s="17"/>
      <c r="Q68" s="17"/>
      <c r="R68" s="17"/>
      <c r="S68" s="17"/>
      <c r="T68" s="17"/>
      <c r="U68" s="20"/>
      <c r="V68" s="32"/>
      <c r="W68" s="32"/>
      <c r="X68" s="17"/>
      <c r="Y68" s="17"/>
      <c r="Z68" s="17"/>
    </row>
    <row r="69" spans="1:26">
      <c r="A69" s="11"/>
      <c r="B69" s="20"/>
      <c r="C69" s="20"/>
      <c r="D69" s="20"/>
      <c r="E69" s="20"/>
      <c r="F69" s="17"/>
      <c r="G69" s="17"/>
      <c r="H69" s="20"/>
      <c r="I69" s="20"/>
      <c r="J69" s="20"/>
      <c r="K69" s="20"/>
      <c r="L69" s="20"/>
      <c r="M69" s="20"/>
      <c r="N69" s="20"/>
      <c r="O69" s="17"/>
      <c r="Q69" s="11"/>
      <c r="R69" s="11"/>
      <c r="T69" s="11"/>
      <c r="U69" s="20"/>
      <c r="V69" s="32"/>
      <c r="W69" s="32"/>
      <c r="X69" s="17"/>
      <c r="Y69" s="17"/>
      <c r="Z69" s="17"/>
    </row>
    <row r="70" spans="1:26">
      <c r="A70" s="11"/>
      <c r="B70" s="20"/>
      <c r="C70" s="20"/>
      <c r="D70" s="20"/>
      <c r="E70" s="20"/>
      <c r="F70" s="17"/>
      <c r="G70" s="17"/>
      <c r="H70" s="20"/>
      <c r="I70" s="20"/>
      <c r="J70" s="20"/>
      <c r="K70" s="20"/>
      <c r="L70" s="20"/>
      <c r="M70" s="20"/>
      <c r="N70" s="20"/>
      <c r="O70" s="11"/>
      <c r="P70" s="11"/>
      <c r="Q70" s="11"/>
      <c r="R70" s="11"/>
      <c r="S70" s="11"/>
      <c r="T70" s="11"/>
      <c r="U70" s="20"/>
      <c r="V70" s="32"/>
      <c r="W70" s="32"/>
      <c r="X70" s="32"/>
      <c r="Y70" s="17"/>
      <c r="Z70" s="17"/>
    </row>
    <row r="71" spans="1:26">
      <c r="A71" s="11"/>
      <c r="B71" s="20"/>
      <c r="C71" s="20"/>
      <c r="D71" s="20"/>
      <c r="E71" s="20"/>
      <c r="F71" s="17"/>
      <c r="G71" s="17"/>
      <c r="H71" s="20"/>
      <c r="I71" s="20"/>
      <c r="J71" s="20"/>
      <c r="K71" s="20"/>
      <c r="L71" s="20"/>
      <c r="M71" s="17"/>
      <c r="N71" s="17"/>
      <c r="O71" s="11"/>
      <c r="P71" s="11"/>
      <c r="Q71" s="11"/>
      <c r="R71" s="11"/>
      <c r="S71" s="11"/>
      <c r="T71" s="11"/>
      <c r="U71" s="20"/>
      <c r="V71" s="32"/>
      <c r="W71" s="34"/>
      <c r="X71" s="17"/>
      <c r="Y71" s="17"/>
      <c r="Z71" s="17"/>
    </row>
    <row r="72" spans="1:26">
      <c r="A72" s="11"/>
      <c r="B72" s="20"/>
      <c r="C72" s="20"/>
      <c r="D72" s="20"/>
      <c r="E72" s="20"/>
      <c r="F72" s="20"/>
      <c r="G72" s="20"/>
      <c r="H72" s="11"/>
      <c r="I72" s="20"/>
      <c r="J72" s="20"/>
      <c r="K72" s="20"/>
      <c r="L72" s="20"/>
      <c r="M72" s="17"/>
      <c r="N72" s="17"/>
      <c r="O72" s="11"/>
      <c r="P72" s="11"/>
      <c r="Q72" s="11"/>
      <c r="R72" s="11"/>
      <c r="S72" s="11"/>
      <c r="T72" s="20"/>
      <c r="U72" s="20"/>
      <c r="V72" s="32"/>
      <c r="W72" s="34"/>
      <c r="X72" s="17"/>
      <c r="Y72" s="17"/>
      <c r="Z72" s="17"/>
    </row>
    <row r="73" spans="1:26">
      <c r="A73" s="11"/>
      <c r="B73" s="20"/>
      <c r="C73" s="20"/>
      <c r="D73" s="20"/>
      <c r="E73" s="20"/>
      <c r="F73" s="20"/>
      <c r="G73" s="20"/>
      <c r="H73" s="11"/>
      <c r="I73" s="20"/>
      <c r="J73" s="20"/>
      <c r="K73" s="20"/>
      <c r="L73" s="20"/>
      <c r="M73" s="17"/>
      <c r="N73" s="17"/>
      <c r="O73" s="11"/>
      <c r="P73" s="11"/>
      <c r="Q73" s="11"/>
      <c r="R73" s="11"/>
      <c r="S73" s="11"/>
      <c r="T73" s="20"/>
      <c r="U73" s="20"/>
      <c r="V73" s="32"/>
      <c r="W73" s="34"/>
      <c r="X73" s="17"/>
      <c r="Y73" s="17"/>
      <c r="Z73" s="17"/>
    </row>
    <row r="74" spans="1:26">
      <c r="A74" s="11"/>
      <c r="B74" s="20"/>
      <c r="C74" s="20"/>
      <c r="D74" s="20"/>
      <c r="E74" s="20"/>
      <c r="F74" s="11"/>
      <c r="G74" s="11"/>
      <c r="H74" s="20"/>
      <c r="J74" s="11"/>
      <c r="K74" s="11"/>
      <c r="M74" s="11"/>
      <c r="N74" s="11"/>
      <c r="O74" s="17"/>
      <c r="P74" s="17"/>
      <c r="Q74" s="17"/>
      <c r="R74" s="17"/>
      <c r="S74" s="17"/>
      <c r="T74" s="17"/>
      <c r="U74" s="20"/>
      <c r="V74" s="32"/>
      <c r="W74" s="34"/>
      <c r="X74" s="17"/>
      <c r="Y74" s="17"/>
      <c r="Z74" s="17"/>
    </row>
    <row r="75" spans="1:26">
      <c r="A75" s="11"/>
      <c r="B75" s="20"/>
      <c r="C75" s="20"/>
      <c r="D75" s="20"/>
      <c r="E75" s="20"/>
      <c r="F75" s="11"/>
      <c r="G75" s="11"/>
      <c r="H75" s="20"/>
      <c r="I75" s="11"/>
      <c r="J75" s="11"/>
      <c r="K75" s="11"/>
      <c r="L75" s="11"/>
      <c r="M75" s="17"/>
      <c r="N75" s="11"/>
      <c r="O75" s="20"/>
      <c r="P75" s="17"/>
      <c r="Q75" s="17"/>
      <c r="R75" s="17"/>
      <c r="S75" s="17"/>
      <c r="T75" s="17"/>
      <c r="U75" s="20"/>
      <c r="V75" s="32"/>
      <c r="W75" s="34"/>
      <c r="X75" s="17"/>
      <c r="Y75" s="17"/>
      <c r="Z75" s="17"/>
    </row>
    <row r="76" spans="1:26">
      <c r="A76" s="20"/>
      <c r="B76" s="20"/>
      <c r="C76" s="20"/>
      <c r="D76" s="20"/>
      <c r="E76" s="20"/>
      <c r="F76" s="11"/>
      <c r="G76" s="11"/>
      <c r="H76" s="20"/>
      <c r="I76" s="11"/>
      <c r="J76" s="11"/>
      <c r="K76" s="11"/>
      <c r="L76" s="11"/>
      <c r="M76" s="11"/>
      <c r="N76" s="11"/>
      <c r="O76" s="20"/>
      <c r="P76" s="17"/>
      <c r="Q76" s="17"/>
      <c r="R76" s="17"/>
      <c r="S76" s="17"/>
      <c r="T76" s="17"/>
      <c r="U76" s="20"/>
      <c r="V76" s="32"/>
      <c r="W76" s="34"/>
      <c r="X76" s="17"/>
      <c r="Y76" s="17"/>
      <c r="Z76" s="17"/>
    </row>
    <row r="77" spans="1:26">
      <c r="A77" s="11"/>
      <c r="B77" s="20"/>
      <c r="C77" s="20"/>
      <c r="D77" s="20"/>
      <c r="E77" s="20"/>
      <c r="F77" s="11"/>
      <c r="G77" s="11"/>
      <c r="H77" s="20"/>
      <c r="I77" s="11"/>
      <c r="J77" s="11"/>
      <c r="K77" s="11"/>
      <c r="L77" s="11"/>
      <c r="M77" s="11"/>
      <c r="N77" s="11"/>
      <c r="O77" s="20"/>
      <c r="P77" s="17"/>
      <c r="Q77" s="17"/>
      <c r="R77" s="17"/>
      <c r="S77" s="17"/>
      <c r="T77" s="17"/>
      <c r="U77" s="20"/>
      <c r="V77" s="32"/>
      <c r="W77" s="34"/>
      <c r="X77" s="17"/>
      <c r="Y77" s="17"/>
      <c r="Z77" s="17"/>
    </row>
    <row r="78" spans="1:26">
      <c r="A78" s="11"/>
      <c r="B78" s="20"/>
      <c r="C78" s="20"/>
      <c r="D78" s="20"/>
      <c r="E78" s="20"/>
      <c r="F78" s="20"/>
      <c r="G78" s="11"/>
      <c r="H78" s="20"/>
      <c r="I78" s="11"/>
      <c r="J78" s="11"/>
      <c r="K78" s="11"/>
      <c r="L78" s="11"/>
      <c r="M78" s="20"/>
      <c r="N78" s="11"/>
      <c r="O78" s="20"/>
      <c r="P78" s="17"/>
      <c r="Q78" s="17"/>
      <c r="R78" s="17"/>
      <c r="S78" s="17"/>
      <c r="T78" s="17"/>
      <c r="U78" s="11"/>
      <c r="V78" s="32"/>
      <c r="W78" s="34"/>
      <c r="X78" s="17"/>
      <c r="Y78" s="17"/>
      <c r="Z78" s="17"/>
    </row>
    <row r="79" spans="1:26">
      <c r="A79" s="11"/>
      <c r="B79" s="20"/>
      <c r="C79" s="20"/>
      <c r="D79" s="20"/>
      <c r="E79" s="20"/>
      <c r="F79" s="20"/>
      <c r="G79" s="11"/>
      <c r="H79" s="20"/>
      <c r="I79" s="11"/>
      <c r="J79" s="11"/>
      <c r="K79" s="11"/>
      <c r="L79" s="11"/>
      <c r="M79" s="20"/>
      <c r="N79" s="11"/>
      <c r="O79" s="20"/>
      <c r="P79" s="17"/>
      <c r="Q79" s="17"/>
      <c r="R79" s="17"/>
      <c r="S79" s="17"/>
      <c r="T79" s="17"/>
      <c r="U79" s="11"/>
      <c r="V79" s="32"/>
      <c r="W79" s="34"/>
      <c r="X79" s="17"/>
      <c r="Y79" s="17"/>
      <c r="Z79" s="17"/>
    </row>
    <row r="80" spans="1:26">
      <c r="A80" s="11"/>
      <c r="B80" s="20"/>
      <c r="C80" s="20"/>
      <c r="D80" s="20"/>
      <c r="E80" s="20"/>
      <c r="F80" s="20"/>
      <c r="G80" s="11"/>
      <c r="H80" s="20"/>
      <c r="I80" s="11"/>
      <c r="J80" s="11"/>
      <c r="K80" s="11"/>
      <c r="L80" s="11"/>
      <c r="M80" s="20"/>
      <c r="N80" s="11"/>
      <c r="O80" s="20"/>
      <c r="P80" s="17"/>
      <c r="Q80" s="17"/>
      <c r="R80" s="17"/>
      <c r="S80" s="17"/>
      <c r="T80" s="17"/>
      <c r="U80" s="11"/>
      <c r="V80" s="32"/>
      <c r="W80" s="34"/>
      <c r="X80" s="17"/>
      <c r="Y80" s="17"/>
      <c r="Z80" s="17"/>
    </row>
    <row r="81" spans="1:26">
      <c r="A81" s="11"/>
      <c r="B81" s="20"/>
      <c r="C81" s="20"/>
      <c r="D81" s="20"/>
      <c r="E81" s="20"/>
      <c r="F81" s="17"/>
      <c r="G81" s="17"/>
      <c r="H81" s="11"/>
      <c r="I81" s="11"/>
      <c r="J81" s="11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11"/>
      <c r="V81" s="32"/>
      <c r="W81" s="34"/>
      <c r="X81" s="17"/>
      <c r="Y81" s="17"/>
      <c r="Z81" s="17"/>
    </row>
    <row r="82" spans="1:26">
      <c r="A82" s="11"/>
      <c r="B82" s="20"/>
      <c r="C82" s="20"/>
      <c r="D82" s="20"/>
      <c r="E82" s="20"/>
      <c r="F82" s="17"/>
      <c r="G82" s="17"/>
      <c r="H82" s="11"/>
      <c r="I82" s="11"/>
      <c r="J82" s="11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11"/>
      <c r="V82" s="32"/>
      <c r="W82" s="34"/>
      <c r="X82" s="17"/>
      <c r="Y82" s="17"/>
      <c r="Z82" s="17"/>
    </row>
    <row r="83" spans="1:26">
      <c r="A83" s="11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32"/>
      <c r="W83" s="34"/>
      <c r="X83" s="17"/>
      <c r="Y83" s="17"/>
      <c r="Z83" s="17"/>
    </row>
    <row r="84" spans="1:26">
      <c r="A84" s="11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32"/>
      <c r="W84" s="34"/>
      <c r="X84" s="17"/>
      <c r="Y84" s="17"/>
      <c r="Z84" s="17"/>
    </row>
    <row r="85" spans="1:26">
      <c r="A85" s="11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32"/>
      <c r="W85" s="34"/>
      <c r="X85" s="17"/>
      <c r="Y85" s="17"/>
      <c r="Z85" s="17"/>
    </row>
    <row r="86" spans="1:26">
      <c r="A86" s="11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32"/>
      <c r="W86" s="34"/>
      <c r="X86" s="17"/>
      <c r="Y86" s="17"/>
      <c r="Z86" s="17"/>
    </row>
    <row r="87" spans="1:26">
      <c r="A87" s="11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32"/>
      <c r="W87" s="34"/>
      <c r="X87" s="17"/>
      <c r="Y87" s="17"/>
      <c r="Z87" s="17"/>
    </row>
    <row r="88" spans="1:26">
      <c r="A88" s="11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32"/>
      <c r="W88" s="34"/>
      <c r="X88" s="17"/>
      <c r="Y88" s="17"/>
      <c r="Z88" s="17"/>
    </row>
    <row r="89" spans="1:26">
      <c r="A89" s="11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32"/>
      <c r="W89" s="34"/>
      <c r="X89" s="17"/>
      <c r="Y89" s="17"/>
      <c r="Z89" s="17"/>
    </row>
    <row r="90" spans="1:26">
      <c r="A90" s="11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32"/>
      <c r="W90" s="34"/>
      <c r="X90" s="17"/>
      <c r="Y90" s="17"/>
      <c r="Z90" s="17"/>
    </row>
    <row r="91" spans="1:26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32"/>
      <c r="W91" s="34"/>
      <c r="X91" s="17"/>
      <c r="Y91" s="17"/>
      <c r="Z91" s="17"/>
    </row>
    <row r="92" spans="1:26">
      <c r="A92" s="11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32"/>
      <c r="W92" s="34"/>
      <c r="X92" s="17"/>
      <c r="Y92" s="17"/>
      <c r="Z92" s="17"/>
    </row>
    <row r="93" spans="1:26">
      <c r="A93" s="11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32"/>
      <c r="W93" s="34"/>
      <c r="X93" s="17"/>
      <c r="Y93" s="17"/>
      <c r="Z93" s="17"/>
    </row>
    <row r="94" spans="1:26">
      <c r="A94" s="11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32"/>
      <c r="W94" s="34"/>
      <c r="X94" s="17"/>
      <c r="Y94" s="17"/>
      <c r="Z94" s="17"/>
    </row>
    <row r="95" spans="1:26">
      <c r="A95" s="11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32"/>
      <c r="W95" s="34"/>
      <c r="X95" s="17"/>
      <c r="Y95" s="17"/>
      <c r="Z95" s="17"/>
    </row>
    <row r="96" spans="1:26">
      <c r="A96" s="11"/>
      <c r="B96" s="20"/>
      <c r="C96" s="20"/>
      <c r="D96" s="20"/>
      <c r="E96" s="20"/>
      <c r="F96" s="20"/>
      <c r="H96" s="20"/>
      <c r="I96" s="20"/>
      <c r="J96" s="20"/>
      <c r="K96" s="20"/>
      <c r="L96" s="20"/>
      <c r="M96" s="11"/>
      <c r="O96" s="20"/>
      <c r="P96" s="20"/>
      <c r="Q96" s="20"/>
      <c r="R96" s="20"/>
      <c r="S96" s="20"/>
      <c r="T96" s="11"/>
      <c r="U96" s="20"/>
      <c r="V96" s="32"/>
      <c r="W96" s="34"/>
      <c r="X96" s="17"/>
      <c r="Y96" s="17"/>
      <c r="Z96" s="17"/>
    </row>
    <row r="97" spans="1:26">
      <c r="A97" s="11"/>
      <c r="B97" s="20"/>
      <c r="C97" s="20"/>
      <c r="D97" s="20"/>
      <c r="E97" s="20"/>
      <c r="F97" s="20"/>
      <c r="G97" s="11"/>
      <c r="H97" s="20"/>
      <c r="I97" s="20"/>
      <c r="J97" s="20"/>
      <c r="K97" s="20"/>
      <c r="L97" s="20"/>
      <c r="N97" s="11"/>
      <c r="O97" s="20"/>
      <c r="P97" s="20"/>
      <c r="Q97" s="20"/>
      <c r="R97" s="20"/>
      <c r="S97" s="20"/>
      <c r="U97" s="20"/>
      <c r="V97" s="32"/>
      <c r="W97" s="34"/>
      <c r="X97" s="17"/>
      <c r="Y97" s="17"/>
      <c r="Z97" s="17"/>
    </row>
    <row r="98" spans="1:26">
      <c r="A98" s="11"/>
      <c r="B98" s="20"/>
      <c r="C98" s="20"/>
      <c r="D98" s="20"/>
      <c r="E98" s="20"/>
      <c r="F98" s="20"/>
      <c r="G98" s="11"/>
      <c r="H98" s="20"/>
      <c r="I98" s="20"/>
      <c r="J98" s="20"/>
      <c r="K98" s="20"/>
      <c r="L98" s="20"/>
      <c r="M98" s="11"/>
      <c r="N98" s="11"/>
      <c r="O98" s="20"/>
      <c r="P98" s="20"/>
      <c r="Q98" s="20"/>
      <c r="R98" s="20"/>
      <c r="S98" s="20"/>
      <c r="T98" s="11"/>
      <c r="U98" s="20"/>
      <c r="V98" s="32"/>
      <c r="W98" s="34"/>
      <c r="X98" s="17"/>
      <c r="Y98" s="17"/>
      <c r="Z98" s="17"/>
    </row>
    <row r="99" spans="1:26">
      <c r="A99" s="11"/>
      <c r="B99" s="20"/>
      <c r="C99" s="20"/>
      <c r="D99" s="20"/>
      <c r="E99" s="20"/>
      <c r="F99" s="20"/>
      <c r="G99" s="11"/>
      <c r="H99" s="20"/>
      <c r="I99" s="20"/>
      <c r="J99" s="20"/>
      <c r="K99" s="20"/>
      <c r="L99" s="20"/>
      <c r="M99" s="17"/>
      <c r="N99" s="17"/>
      <c r="O99" s="20"/>
      <c r="P99" s="20"/>
      <c r="Q99" s="20"/>
      <c r="R99" s="20"/>
      <c r="S99" s="20"/>
      <c r="T99" s="17"/>
      <c r="U99" s="20"/>
      <c r="V99" s="32"/>
      <c r="W99" s="34"/>
      <c r="X99" s="17"/>
      <c r="Y99" s="17"/>
      <c r="Z99" s="17"/>
    </row>
    <row r="100" spans="1:26">
      <c r="A100" s="11"/>
      <c r="B100" s="20"/>
      <c r="C100" s="20"/>
      <c r="D100" s="20"/>
      <c r="E100" s="20"/>
      <c r="F100" s="20"/>
      <c r="G100" s="11"/>
      <c r="H100" s="20"/>
      <c r="J100" s="11"/>
      <c r="K100" s="11"/>
      <c r="M100" s="11"/>
      <c r="N100" s="11"/>
      <c r="O100" s="20"/>
      <c r="P100" s="20"/>
      <c r="Q100" s="20"/>
      <c r="R100" s="20"/>
      <c r="S100" s="20"/>
      <c r="T100" s="17"/>
      <c r="U100" s="20"/>
      <c r="V100" s="32"/>
      <c r="W100" s="34"/>
      <c r="X100" s="17"/>
      <c r="Y100" s="17"/>
      <c r="Z100" s="17"/>
    </row>
    <row r="101" spans="1:26">
      <c r="A101" s="11"/>
      <c r="B101" s="20"/>
      <c r="C101" s="20"/>
      <c r="D101" s="20"/>
      <c r="E101" s="20"/>
      <c r="F101" s="20"/>
      <c r="G101" s="11"/>
      <c r="H101" s="20"/>
      <c r="I101" s="11"/>
      <c r="J101" s="11"/>
      <c r="K101" s="11"/>
      <c r="L101" s="11"/>
      <c r="M101" s="17"/>
      <c r="N101" s="11"/>
      <c r="O101" s="20"/>
      <c r="Q101" s="11"/>
      <c r="R101" s="11"/>
      <c r="T101" s="11"/>
      <c r="U101" s="20"/>
      <c r="V101" s="32"/>
      <c r="W101" s="34"/>
      <c r="X101" s="17"/>
      <c r="Y101" s="17"/>
      <c r="Z101" s="17"/>
    </row>
    <row r="102" spans="1:26">
      <c r="A102" s="11"/>
      <c r="B102" s="20"/>
      <c r="C102" s="20"/>
      <c r="D102" s="20"/>
      <c r="E102" s="20"/>
      <c r="F102" s="20"/>
      <c r="G102" s="11"/>
      <c r="H102" s="20"/>
      <c r="I102" s="11"/>
      <c r="J102" s="11"/>
      <c r="K102" s="11"/>
      <c r="L102" s="11"/>
      <c r="M102" s="11"/>
      <c r="N102" s="11"/>
      <c r="O102" s="20"/>
      <c r="P102" s="11"/>
      <c r="Q102" s="11"/>
      <c r="R102" s="11"/>
      <c r="S102" s="11"/>
      <c r="T102" s="17"/>
      <c r="U102" s="20"/>
      <c r="V102" s="32"/>
      <c r="W102" s="34"/>
      <c r="X102" s="17"/>
      <c r="Y102" s="17"/>
      <c r="Z102" s="17"/>
    </row>
    <row r="103" spans="1:26">
      <c r="A103" s="11"/>
      <c r="B103" s="20"/>
      <c r="C103" s="20"/>
      <c r="D103" s="20"/>
      <c r="E103" s="20"/>
      <c r="F103" s="20"/>
      <c r="G103" s="11"/>
      <c r="H103" s="20"/>
      <c r="I103" s="11"/>
      <c r="J103" s="11"/>
      <c r="K103" s="11"/>
      <c r="L103" s="11"/>
      <c r="M103" s="11"/>
      <c r="N103" s="11"/>
      <c r="O103" s="20"/>
      <c r="P103" s="11"/>
      <c r="Q103" s="11"/>
      <c r="R103" s="11"/>
      <c r="S103" s="11"/>
      <c r="T103" s="11"/>
      <c r="U103" s="20"/>
      <c r="V103" s="32"/>
      <c r="W103" s="34"/>
      <c r="X103" s="17"/>
      <c r="Y103" s="17"/>
      <c r="Z103" s="17"/>
    </row>
    <row r="104" spans="1:26">
      <c r="A104" s="11"/>
      <c r="B104" s="20"/>
      <c r="C104" s="20"/>
      <c r="D104" s="20"/>
      <c r="E104" s="20"/>
      <c r="F104" s="20"/>
      <c r="G104" s="11"/>
      <c r="H104" s="20"/>
      <c r="I104" s="11"/>
      <c r="J104" s="11"/>
      <c r="K104" s="11"/>
      <c r="L104" s="11"/>
      <c r="M104" s="20"/>
      <c r="N104" s="11"/>
      <c r="O104" s="20"/>
      <c r="P104" s="11"/>
      <c r="Q104" s="11"/>
      <c r="R104" s="11"/>
      <c r="S104" s="11"/>
      <c r="T104" s="11"/>
      <c r="U104" s="20"/>
      <c r="V104" s="32"/>
      <c r="W104" s="34"/>
      <c r="X104" s="17"/>
      <c r="Y104" s="17"/>
      <c r="Z104" s="17"/>
    </row>
    <row r="105" spans="1:26">
      <c r="A105" s="20"/>
      <c r="B105" s="11"/>
      <c r="C105" s="11"/>
      <c r="D105" s="11"/>
      <c r="E105" s="11"/>
      <c r="F105" s="20"/>
      <c r="G105" s="11"/>
      <c r="H105" s="20"/>
      <c r="I105" s="11"/>
      <c r="J105" s="11"/>
      <c r="K105" s="11"/>
      <c r="L105" s="11"/>
      <c r="M105" s="20"/>
      <c r="N105" s="11"/>
      <c r="O105" s="20"/>
      <c r="P105" s="11"/>
      <c r="Q105" s="11"/>
      <c r="R105" s="11"/>
      <c r="S105" s="11"/>
      <c r="T105" s="20"/>
      <c r="V105" s="32"/>
      <c r="W105" s="34"/>
      <c r="X105" s="17"/>
      <c r="Y105" s="17"/>
      <c r="Z105" s="17"/>
    </row>
    <row r="106" spans="1:26">
      <c r="A106" s="17"/>
      <c r="B106" s="17"/>
      <c r="C106" s="17"/>
      <c r="D106" s="17"/>
      <c r="E106" s="17"/>
      <c r="F106" s="17"/>
      <c r="G106" s="17"/>
      <c r="H106" s="17"/>
      <c r="I106" s="11"/>
      <c r="J106" s="11"/>
      <c r="K106" s="11"/>
      <c r="L106" s="11"/>
      <c r="M106" s="20"/>
      <c r="N106" s="11"/>
      <c r="O106" s="17"/>
      <c r="P106" s="11"/>
      <c r="Q106" s="11"/>
      <c r="R106" s="11"/>
      <c r="S106" s="11"/>
      <c r="T106" s="20"/>
      <c r="U106" s="11"/>
      <c r="V106" s="32"/>
      <c r="W106" s="34"/>
      <c r="X106" s="17"/>
      <c r="Y106" s="17"/>
      <c r="Z106" s="17"/>
    </row>
    <row r="107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1"/>
      <c r="Q107" s="11"/>
      <c r="R107" s="11"/>
      <c r="S107" s="11"/>
      <c r="T107" s="20"/>
      <c r="U107" s="11"/>
      <c r="V107" s="32"/>
      <c r="W107" s="34"/>
      <c r="X107" s="17"/>
      <c r="Y107" s="17"/>
      <c r="Z107" s="17"/>
    </row>
    <row r="108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20"/>
      <c r="R108" s="20"/>
      <c r="S108" s="20"/>
      <c r="T108" s="20"/>
      <c r="U108" s="17"/>
      <c r="V108" s="32"/>
      <c r="W108" s="34"/>
      <c r="X108" s="17"/>
      <c r="Y108" s="17"/>
      <c r="Z108" s="17"/>
    </row>
    <row r="109" spans="1:26">
      <c r="A109" s="17"/>
      <c r="B109" s="17"/>
      <c r="C109" s="17"/>
      <c r="D109" s="20"/>
      <c r="E109" s="20"/>
      <c r="F109" s="20"/>
      <c r="G109" s="20"/>
      <c r="H109" s="20"/>
      <c r="I109" s="20"/>
      <c r="J109" s="17"/>
      <c r="K109" s="17"/>
      <c r="L109" s="17"/>
      <c r="M109" s="17"/>
      <c r="N109" s="17"/>
      <c r="O109" s="17"/>
      <c r="P109" s="17"/>
      <c r="Q109" s="17"/>
      <c r="R109" s="20"/>
      <c r="S109" s="17"/>
      <c r="T109" s="17"/>
      <c r="U109" s="17"/>
      <c r="V109" s="32"/>
      <c r="W109" s="34"/>
      <c r="X109" s="17"/>
      <c r="Y109" s="17"/>
      <c r="Z109" s="17"/>
    </row>
    <row r="110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20"/>
      <c r="S110" s="17"/>
      <c r="T110" s="17"/>
      <c r="U110" s="11"/>
      <c r="V110" s="32"/>
      <c r="W110" s="34"/>
      <c r="X110" s="17"/>
      <c r="Y110" s="17"/>
      <c r="Z110" s="17"/>
    </row>
    <row r="111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20"/>
      <c r="S111" s="17"/>
      <c r="T111" s="17"/>
      <c r="U111" s="11"/>
      <c r="V111" s="32"/>
      <c r="W111" s="34"/>
      <c r="X111" s="17"/>
      <c r="Y111" s="17"/>
      <c r="Z111" s="17"/>
    </row>
    <row r="112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20"/>
      <c r="S112" s="17"/>
      <c r="T112" s="17"/>
      <c r="U112" s="11"/>
      <c r="V112" s="32"/>
      <c r="W112" s="34"/>
      <c r="X112" s="17"/>
      <c r="Y112" s="17"/>
      <c r="Z112" s="17"/>
    </row>
    <row r="113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20"/>
      <c r="S113" s="17"/>
      <c r="T113" s="17"/>
      <c r="U113" s="11"/>
      <c r="V113" s="32"/>
      <c r="W113" s="34"/>
      <c r="X113" s="17"/>
      <c r="Y113" s="17"/>
      <c r="Z113" s="17"/>
    </row>
    <row r="114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20"/>
      <c r="S114" s="17"/>
      <c r="T114" s="17"/>
      <c r="U114" s="11"/>
      <c r="V114" s="32"/>
      <c r="W114" s="34"/>
      <c r="X114" s="17"/>
      <c r="Y114" s="17"/>
      <c r="Z114" s="17"/>
    </row>
    <row r="11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20"/>
      <c r="K115" s="17"/>
      <c r="L115" s="17"/>
      <c r="M115" s="17"/>
      <c r="N115" s="17"/>
      <c r="O115" s="17"/>
      <c r="P115" s="17"/>
      <c r="Q115" s="17"/>
      <c r="R115" s="20"/>
      <c r="S115" s="20"/>
      <c r="T115" s="20"/>
      <c r="U115" s="11"/>
      <c r="V115" s="32"/>
      <c r="W115" s="34"/>
      <c r="X115" s="17"/>
      <c r="Y115" s="17"/>
      <c r="Z115" s="17"/>
    </row>
    <row r="116" spans="1:26">
      <c r="A116" s="17"/>
      <c r="B116" s="17"/>
      <c r="C116" s="17"/>
      <c r="D116" s="16"/>
      <c r="E116" s="16"/>
      <c r="F116" s="16"/>
      <c r="G116" s="16"/>
      <c r="H116" s="16"/>
      <c r="I116" s="16"/>
      <c r="J116" s="13"/>
      <c r="K116" s="16"/>
      <c r="L116" s="16"/>
      <c r="M116" s="16"/>
      <c r="N116" s="16"/>
      <c r="O116" s="16"/>
      <c r="P116" s="17"/>
      <c r="Q116" s="17"/>
      <c r="R116" s="20"/>
      <c r="S116" s="20"/>
      <c r="T116" s="20"/>
      <c r="U116" s="11"/>
      <c r="V116" s="32"/>
      <c r="W116" s="34"/>
      <c r="X116" s="17"/>
      <c r="Y116" s="17"/>
      <c r="Z116" s="17"/>
    </row>
    <row r="117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20"/>
      <c r="U117" s="20"/>
      <c r="V117" s="32"/>
      <c r="W117" s="34"/>
      <c r="X117" s="17"/>
      <c r="Y117" s="17"/>
      <c r="Z117" s="17"/>
    </row>
    <row r="118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20"/>
      <c r="U118" s="17"/>
      <c r="V118" s="17"/>
      <c r="W118" s="17"/>
      <c r="X118" s="17"/>
      <c r="Y118" s="17"/>
      <c r="Z118" s="17"/>
    </row>
    <row r="119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20"/>
      <c r="U119" s="17"/>
      <c r="V119" s="17"/>
      <c r="W119" s="17"/>
      <c r="X119" s="17"/>
      <c r="Y119" s="17"/>
      <c r="Z119" s="17"/>
    </row>
    <row r="120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20"/>
      <c r="U120" s="17"/>
      <c r="V120" s="17"/>
      <c r="W120" s="17"/>
      <c r="X120" s="17"/>
      <c r="Y120" s="17"/>
      <c r="Z120" s="17"/>
    </row>
    <row r="121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20"/>
      <c r="U121" s="17"/>
      <c r="V121" s="17"/>
      <c r="W121" s="17"/>
      <c r="X121" s="17"/>
      <c r="Y121" s="17"/>
      <c r="Z121" s="17"/>
    </row>
    <row r="122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20"/>
      <c r="S122" s="17"/>
      <c r="T122" s="20"/>
      <c r="U122" s="17"/>
      <c r="V122" s="17"/>
      <c r="W122" s="17"/>
      <c r="X122" s="17"/>
      <c r="Y122" s="17"/>
      <c r="Z122" s="17"/>
    </row>
    <row r="123" spans="1:26">
      <c r="A123" s="17"/>
      <c r="B123" s="17"/>
      <c r="C123" s="17"/>
      <c r="D123" s="16"/>
      <c r="E123" s="16"/>
      <c r="F123" s="16"/>
      <c r="G123" s="16"/>
      <c r="H123" s="16"/>
      <c r="I123" s="16"/>
      <c r="J123" s="13"/>
      <c r="K123" s="16"/>
      <c r="L123" s="16"/>
      <c r="M123" s="16"/>
      <c r="N123" s="16"/>
      <c r="O123" s="16"/>
      <c r="P123" s="17"/>
      <c r="Q123" s="17"/>
      <c r="R123" s="20"/>
      <c r="S123" s="17"/>
      <c r="T123" s="20"/>
      <c r="U123" s="17"/>
      <c r="V123" s="17"/>
      <c r="W123" s="17"/>
      <c r="X123" s="17"/>
      <c r="Y123" s="17"/>
      <c r="Z123" s="17"/>
    </row>
    <row r="124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20"/>
      <c r="S124" s="17"/>
      <c r="T124" s="20"/>
      <c r="U124" s="17"/>
      <c r="V124" s="17"/>
      <c r="W124" s="17"/>
      <c r="X124" s="17"/>
      <c r="Y124" s="17"/>
      <c r="Z124" s="17"/>
    </row>
    <row r="12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20"/>
      <c r="S125" s="17"/>
      <c r="T125" s="20"/>
      <c r="U125" s="16"/>
      <c r="V125" s="17"/>
      <c r="W125" s="17"/>
      <c r="X125" s="17"/>
      <c r="Y125" s="17"/>
      <c r="Z125" s="17"/>
    </row>
    <row r="126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20"/>
      <c r="S126" s="17"/>
      <c r="T126" s="20"/>
      <c r="U126" s="17"/>
      <c r="V126" s="20"/>
      <c r="W126" s="17"/>
      <c r="X126" s="17"/>
      <c r="Y126" s="17"/>
      <c r="Z126" s="17"/>
    </row>
    <row r="127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20"/>
      <c r="S127" s="17"/>
      <c r="T127" s="20"/>
      <c r="U127" s="17"/>
      <c r="V127" s="20"/>
      <c r="W127" s="17"/>
      <c r="X127" s="17"/>
      <c r="Y127" s="17"/>
      <c r="Z127" s="17"/>
    </row>
    <row r="128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20"/>
      <c r="S128" s="17"/>
      <c r="T128" s="20"/>
      <c r="U128" s="17"/>
      <c r="V128" s="20"/>
      <c r="W128" s="17"/>
      <c r="X128" s="17"/>
      <c r="Y128" s="17"/>
      <c r="Z128" s="17"/>
    </row>
    <row r="129" spans="1:26">
      <c r="A129" s="17"/>
      <c r="B129" s="17"/>
      <c r="C129" s="17"/>
      <c r="D129" s="17"/>
      <c r="E129" s="17"/>
      <c r="F129" s="17"/>
      <c r="G129" s="17"/>
      <c r="H129" s="11"/>
      <c r="I129" s="17"/>
      <c r="J129" s="17"/>
      <c r="K129" s="17"/>
      <c r="L129" s="17"/>
      <c r="M129" s="17"/>
      <c r="N129" s="17"/>
      <c r="O129" s="17"/>
      <c r="P129" s="17"/>
      <c r="Q129" s="17"/>
      <c r="R129" s="20"/>
      <c r="S129" s="17"/>
      <c r="T129" s="20"/>
      <c r="U129" s="17"/>
      <c r="V129" s="20"/>
      <c r="W129" s="17"/>
      <c r="X129" s="17"/>
      <c r="Y129" s="17"/>
      <c r="Z129" s="17"/>
    </row>
    <row r="130" spans="1:26">
      <c r="A130" s="17"/>
      <c r="B130" s="17"/>
      <c r="C130" s="17"/>
      <c r="D130" s="16"/>
      <c r="E130" s="16"/>
      <c r="F130" s="16"/>
      <c r="G130" s="16"/>
      <c r="H130" s="16"/>
      <c r="I130" s="16"/>
      <c r="J130" s="13"/>
      <c r="K130" s="16"/>
      <c r="L130" s="16"/>
      <c r="M130" s="16"/>
      <c r="N130" s="16"/>
      <c r="O130" s="16"/>
      <c r="P130" s="17"/>
      <c r="Q130" s="17"/>
      <c r="R130" s="20"/>
      <c r="S130" s="17"/>
      <c r="T130" s="20"/>
      <c r="U130" s="17"/>
      <c r="V130" s="20"/>
      <c r="W130" s="17"/>
      <c r="X130" s="17"/>
      <c r="Y130" s="17"/>
      <c r="Z130" s="17"/>
    </row>
    <row r="131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20"/>
      <c r="S131" s="17"/>
      <c r="T131" s="20"/>
      <c r="U131" s="17"/>
      <c r="V131" s="17"/>
      <c r="W131" s="17"/>
      <c r="X131" s="17"/>
      <c r="Y131" s="17"/>
      <c r="Z131" s="17"/>
    </row>
    <row r="132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20"/>
      <c r="S132" s="17"/>
      <c r="T132" s="20"/>
      <c r="U132" s="16"/>
      <c r="V132" s="17"/>
      <c r="W132" s="17"/>
      <c r="X132" s="17"/>
      <c r="Y132" s="17"/>
      <c r="Z132" s="17"/>
    </row>
    <row r="133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20"/>
      <c r="S133" s="17"/>
      <c r="T133" s="20"/>
      <c r="U133" s="17"/>
      <c r="V133" s="20"/>
      <c r="W133" s="17"/>
      <c r="X133" s="17"/>
      <c r="Y133" s="17"/>
      <c r="Z133" s="17"/>
    </row>
    <row r="134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20"/>
      <c r="S134" s="17"/>
      <c r="T134" s="20"/>
      <c r="U134" s="17"/>
      <c r="V134" s="20"/>
      <c r="W134" s="17"/>
      <c r="X134" s="17"/>
      <c r="Y134" s="17"/>
      <c r="Z134" s="17"/>
    </row>
    <row r="13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20"/>
      <c r="S135" s="17"/>
      <c r="T135" s="20"/>
      <c r="U135" s="17"/>
      <c r="V135" s="20"/>
      <c r="W135" s="17"/>
      <c r="X135" s="17"/>
      <c r="Y135" s="17"/>
      <c r="Z135" s="17"/>
    </row>
    <row r="136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20"/>
      <c r="S136" s="17"/>
      <c r="T136" s="20"/>
      <c r="U136" s="17"/>
      <c r="V136" s="20"/>
      <c r="W136" s="17"/>
      <c r="X136" s="17"/>
      <c r="Y136" s="17"/>
      <c r="Z136" s="17"/>
    </row>
    <row r="137" spans="1:26">
      <c r="A137" s="17"/>
      <c r="B137" s="17"/>
      <c r="C137" s="17"/>
      <c r="D137" s="16"/>
      <c r="E137" s="16"/>
      <c r="F137" s="16"/>
      <c r="G137" s="16"/>
      <c r="H137" s="16"/>
      <c r="I137" s="16"/>
      <c r="J137" s="13"/>
      <c r="K137" s="16"/>
      <c r="L137" s="16"/>
      <c r="M137" s="16"/>
      <c r="N137" s="16"/>
      <c r="O137" s="16"/>
      <c r="P137" s="17"/>
      <c r="Q137" s="17"/>
      <c r="R137" s="20"/>
      <c r="S137" s="17"/>
      <c r="T137" s="20"/>
      <c r="U137" s="17"/>
      <c r="V137" s="20"/>
      <c r="W137" s="17"/>
      <c r="X137" s="17"/>
      <c r="Y137" s="17"/>
      <c r="Z137" s="17"/>
    </row>
    <row r="138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20"/>
      <c r="S138" s="17"/>
      <c r="T138" s="20"/>
      <c r="U138" s="17"/>
      <c r="V138" s="17"/>
      <c r="W138" s="17"/>
      <c r="X138" s="17"/>
      <c r="Y138" s="17"/>
      <c r="Z138" s="17"/>
    </row>
    <row r="139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20"/>
      <c r="S139" s="17"/>
      <c r="T139" s="20"/>
      <c r="U139" s="16"/>
      <c r="V139" s="17"/>
      <c r="W139" s="17"/>
      <c r="X139" s="17"/>
      <c r="Y139" s="17"/>
      <c r="Z139" s="17"/>
    </row>
    <row r="140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20"/>
      <c r="S140" s="17"/>
      <c r="T140" s="20"/>
      <c r="U140" s="17"/>
      <c r="V140" s="20"/>
      <c r="W140" s="17"/>
      <c r="X140" s="17"/>
      <c r="Y140" s="17"/>
      <c r="Z140" s="17"/>
    </row>
    <row r="141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20"/>
      <c r="W141" s="17"/>
      <c r="X141" s="17"/>
      <c r="Y141" s="17"/>
      <c r="Z141" s="17"/>
    </row>
    <row r="142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20"/>
      <c r="W142" s="17"/>
      <c r="X142" s="17"/>
      <c r="Y142" s="17"/>
      <c r="Z142" s="17"/>
    </row>
    <row r="143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20"/>
      <c r="W143" s="17"/>
      <c r="X143" s="17"/>
      <c r="Y143" s="17"/>
      <c r="Z143" s="17"/>
    </row>
    <row r="144" spans="1:26">
      <c r="A144" s="17"/>
      <c r="B144" s="17"/>
      <c r="C144" s="17"/>
      <c r="D144" s="16"/>
      <c r="E144" s="16"/>
      <c r="F144" s="16"/>
      <c r="G144" s="16"/>
      <c r="H144" s="16"/>
      <c r="I144" s="16"/>
      <c r="J144" s="13"/>
      <c r="K144" s="16"/>
      <c r="L144" s="16"/>
      <c r="M144" s="16"/>
      <c r="N144" s="16"/>
      <c r="O144" s="16"/>
      <c r="P144" s="17"/>
      <c r="Q144" s="17"/>
      <c r="R144" s="17"/>
      <c r="S144" s="17"/>
      <c r="T144" s="17"/>
      <c r="U144" s="17"/>
      <c r="V144" s="20"/>
      <c r="W144" s="17"/>
      <c r="X144" s="17"/>
      <c r="Y144" s="17"/>
      <c r="Z144" s="17"/>
    </row>
    <row r="14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6"/>
      <c r="V146" s="17"/>
      <c r="W146" s="17"/>
      <c r="X146" s="17"/>
      <c r="Y146" s="17"/>
      <c r="Z146" s="17"/>
    </row>
    <row r="147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20"/>
      <c r="W147" s="17"/>
      <c r="X147" s="17"/>
      <c r="Y147" s="17"/>
      <c r="Z147" s="17"/>
    </row>
    <row r="148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20"/>
      <c r="W148" s="17"/>
      <c r="X148" s="17"/>
      <c r="Y148" s="17"/>
      <c r="Z148" s="17"/>
    </row>
    <row r="149" spans="1:26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17"/>
      <c r="V149" s="20"/>
      <c r="W149" s="17"/>
      <c r="X149" s="17"/>
      <c r="Y149" s="17"/>
      <c r="Z149" s="17"/>
    </row>
    <row r="150" spans="1:26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17"/>
      <c r="V150" s="20"/>
      <c r="W150" s="17"/>
      <c r="X150" s="17"/>
      <c r="Y150" s="17"/>
      <c r="Z150" s="17"/>
    </row>
    <row r="151" spans="1:26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17"/>
      <c r="V151" s="20"/>
      <c r="W151" s="17"/>
      <c r="X151" s="17"/>
      <c r="Y151" s="17"/>
      <c r="Z151" s="17"/>
    </row>
    <row r="152" spans="1:26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17"/>
      <c r="V152" s="17"/>
      <c r="W152" s="20"/>
      <c r="X152" s="17"/>
      <c r="Y152" s="17"/>
      <c r="Z152" s="17"/>
    </row>
    <row r="153" spans="1:26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17"/>
      <c r="V153" s="17"/>
      <c r="W153" s="17"/>
      <c r="X153" s="17"/>
      <c r="Y153" s="17"/>
      <c r="Z153" s="17"/>
    </row>
    <row r="154" spans="1:26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17"/>
      <c r="V154" s="20"/>
      <c r="W154" s="17"/>
      <c r="X154" s="17"/>
      <c r="Y154" s="17"/>
      <c r="Z154" s="17"/>
    </row>
    <row r="155" spans="1:26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17"/>
      <c r="V155" s="20"/>
      <c r="W155" s="17"/>
      <c r="X155" s="17"/>
      <c r="Y155" s="17"/>
      <c r="Z155" s="17"/>
    </row>
    <row r="156" spans="1:2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17"/>
      <c r="V156" s="20"/>
      <c r="W156" s="17"/>
      <c r="X156" s="17"/>
      <c r="Y156" s="17"/>
      <c r="Z156" s="17"/>
    </row>
    <row r="157" spans="1:26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17"/>
      <c r="V157" s="20"/>
      <c r="W157" s="17"/>
      <c r="X157" s="17"/>
      <c r="Y157" s="17"/>
      <c r="Z157" s="17"/>
    </row>
    <row r="158" spans="1:26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17"/>
      <c r="X158" s="17"/>
      <c r="Y158" s="17"/>
      <c r="Z158" s="17"/>
    </row>
    <row r="159" spans="1:26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30"/>
      <c r="W159" s="36"/>
      <c r="X159" s="17"/>
      <c r="Y159" s="17"/>
      <c r="Z159" s="17"/>
    </row>
    <row r="160" spans="1:26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30"/>
      <c r="W160" s="36"/>
      <c r="X160" s="17"/>
      <c r="Y160" s="17"/>
      <c r="Z160" s="17"/>
    </row>
    <row r="161" spans="1:26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30"/>
      <c r="W161" s="36"/>
      <c r="X161" s="17"/>
      <c r="Y161" s="17"/>
      <c r="Z161" s="17"/>
    </row>
    <row r="162" spans="1:26">
      <c r="A162" s="20"/>
      <c r="B162" s="20"/>
      <c r="C162" s="20"/>
      <c r="D162" s="20"/>
      <c r="E162" s="20"/>
      <c r="F162" s="17"/>
      <c r="G162" s="17"/>
      <c r="H162" s="20"/>
      <c r="I162" s="20"/>
      <c r="J162" s="20"/>
      <c r="K162" s="20"/>
      <c r="L162" s="20"/>
      <c r="M162" s="17"/>
      <c r="N162" s="17"/>
      <c r="O162" s="20"/>
      <c r="P162" s="20"/>
      <c r="Q162" s="20"/>
      <c r="R162" s="20"/>
      <c r="S162" s="20"/>
      <c r="T162" s="17"/>
      <c r="U162" s="20"/>
      <c r="V162" s="30"/>
      <c r="W162" s="36"/>
      <c r="X162" s="17"/>
      <c r="Y162" s="17"/>
      <c r="Z162" s="17"/>
    </row>
    <row r="163" spans="1:26">
      <c r="A163" s="20"/>
      <c r="B163" s="20"/>
      <c r="C163" s="20"/>
      <c r="D163" s="20"/>
      <c r="E163" s="20"/>
      <c r="F163" s="17"/>
      <c r="G163" s="17"/>
      <c r="H163" s="20"/>
      <c r="I163" s="20"/>
      <c r="J163" s="20"/>
      <c r="K163" s="20"/>
      <c r="L163" s="20"/>
      <c r="M163" s="17"/>
      <c r="N163" s="17"/>
      <c r="O163" s="20"/>
      <c r="P163" s="20"/>
      <c r="Q163" s="20"/>
      <c r="R163" s="20"/>
      <c r="S163" s="20"/>
      <c r="T163" s="17"/>
      <c r="U163" s="20"/>
      <c r="V163" s="30"/>
      <c r="W163" s="36"/>
      <c r="X163" s="17"/>
      <c r="Y163" s="17"/>
      <c r="Z163" s="17"/>
    </row>
    <row r="164" spans="1:26">
      <c r="A164" s="20"/>
      <c r="C164" s="11"/>
      <c r="D164" s="11"/>
      <c r="F164" s="11"/>
      <c r="G164" s="11"/>
      <c r="H164" s="20"/>
      <c r="J164" s="11"/>
      <c r="K164" s="11"/>
      <c r="M164" s="11"/>
      <c r="N164" s="11"/>
      <c r="O164" s="20"/>
      <c r="Q164" s="11"/>
      <c r="R164" s="11"/>
      <c r="T164" s="11"/>
      <c r="U164" s="20"/>
      <c r="V164" s="30"/>
      <c r="W164" s="36"/>
      <c r="X164" s="17"/>
      <c r="Y164" s="17"/>
      <c r="Z164" s="17"/>
    </row>
    <row r="165" spans="1:26">
      <c r="A165" s="20"/>
      <c r="B165" s="11"/>
      <c r="C165" s="11"/>
      <c r="D165" s="11"/>
      <c r="E165" s="11"/>
      <c r="F165" s="11"/>
      <c r="G165" s="11"/>
      <c r="H165" s="20"/>
      <c r="I165" s="11"/>
      <c r="J165" s="11"/>
      <c r="K165" s="11"/>
      <c r="L165" s="11"/>
      <c r="M165" s="11"/>
      <c r="N165" s="11"/>
      <c r="O165" s="20"/>
      <c r="P165" s="11"/>
      <c r="Q165" s="11"/>
      <c r="R165" s="11"/>
      <c r="S165" s="11"/>
      <c r="T165" s="11"/>
      <c r="U165" s="20"/>
      <c r="V165" s="30"/>
      <c r="W165" s="36"/>
      <c r="X165" s="17"/>
      <c r="Y165" s="17"/>
      <c r="Z165" s="17"/>
    </row>
    <row r="166" spans="1:26">
      <c r="A166" s="20"/>
      <c r="B166" s="11"/>
      <c r="C166" s="11"/>
      <c r="D166" s="11"/>
      <c r="E166" s="11"/>
      <c r="F166" s="11"/>
      <c r="G166" s="11"/>
      <c r="H166" s="20"/>
      <c r="I166" s="11"/>
      <c r="J166" s="11"/>
      <c r="K166" s="11"/>
      <c r="L166" s="11"/>
      <c r="M166" s="11"/>
      <c r="N166" s="11"/>
      <c r="O166" s="20"/>
      <c r="P166" s="11"/>
      <c r="Q166" s="11"/>
      <c r="R166" s="11"/>
      <c r="S166" s="11"/>
      <c r="T166" s="11"/>
      <c r="U166" s="20"/>
      <c r="V166" s="30"/>
      <c r="W166" s="36"/>
      <c r="X166" s="17"/>
      <c r="Y166" s="17"/>
      <c r="Z166" s="17"/>
    </row>
    <row r="167" spans="1:26">
      <c r="A167" s="20"/>
      <c r="B167" s="11"/>
      <c r="C167" s="11"/>
      <c r="D167" s="11"/>
      <c r="E167" s="11"/>
      <c r="F167" s="11"/>
      <c r="G167" s="11"/>
      <c r="H167" s="20"/>
      <c r="I167" s="11"/>
      <c r="J167" s="11"/>
      <c r="K167" s="11"/>
      <c r="L167" s="11"/>
      <c r="M167" s="11"/>
      <c r="N167" s="11"/>
      <c r="O167" s="20"/>
      <c r="P167" s="11"/>
      <c r="Q167" s="11"/>
      <c r="R167" s="11"/>
      <c r="S167" s="11"/>
      <c r="T167" s="11"/>
      <c r="U167" s="20"/>
      <c r="V167" s="30"/>
      <c r="W167" s="36"/>
      <c r="X167" s="17"/>
      <c r="Y167" s="17"/>
      <c r="Z167" s="17"/>
    </row>
    <row r="168" spans="1:26">
      <c r="A168" s="20"/>
      <c r="B168" s="11"/>
      <c r="C168" s="11"/>
      <c r="D168" s="11"/>
      <c r="E168" s="11"/>
      <c r="F168" s="20"/>
      <c r="G168" s="11"/>
      <c r="H168" s="20"/>
      <c r="I168" s="11"/>
      <c r="J168" s="11"/>
      <c r="K168" s="11"/>
      <c r="L168" s="11"/>
      <c r="M168" s="20"/>
      <c r="N168" s="11"/>
      <c r="O168" s="20"/>
      <c r="P168" s="11"/>
      <c r="Q168" s="11"/>
      <c r="R168" s="11"/>
      <c r="S168" s="11"/>
      <c r="T168" s="20"/>
      <c r="U168" s="20"/>
      <c r="V168" s="30"/>
      <c r="W168" s="36"/>
      <c r="X168" s="17"/>
      <c r="Y168" s="17"/>
      <c r="Z168" s="17"/>
    </row>
    <row r="169" spans="1:26">
      <c r="A169" s="20"/>
      <c r="B169" s="11"/>
      <c r="C169" s="11"/>
      <c r="D169" s="11"/>
      <c r="E169" s="11"/>
      <c r="F169" s="20"/>
      <c r="G169" s="11"/>
      <c r="H169" s="20"/>
      <c r="I169" s="11"/>
      <c r="J169" s="11"/>
      <c r="K169" s="11"/>
      <c r="L169" s="11"/>
      <c r="M169" s="20"/>
      <c r="N169" s="11"/>
      <c r="O169" s="20"/>
      <c r="P169" s="11"/>
      <c r="Q169" s="11"/>
      <c r="R169" s="11"/>
      <c r="S169" s="11"/>
      <c r="T169" s="20"/>
      <c r="U169" s="20"/>
      <c r="V169" s="30"/>
      <c r="W169" s="36"/>
      <c r="X169" s="17"/>
      <c r="Y169" s="17"/>
      <c r="Z169" s="17"/>
    </row>
    <row r="170" spans="1:26">
      <c r="A170" s="20"/>
      <c r="B170" s="11"/>
      <c r="C170" s="11"/>
      <c r="D170" s="11"/>
      <c r="E170" s="11"/>
      <c r="F170" s="20"/>
      <c r="G170" s="11"/>
      <c r="H170" s="20"/>
      <c r="I170" s="11"/>
      <c r="J170" s="11"/>
      <c r="K170" s="11"/>
      <c r="L170" s="11"/>
      <c r="M170" s="20"/>
      <c r="N170" s="11"/>
      <c r="O170" s="20"/>
      <c r="P170" s="11"/>
      <c r="Q170" s="11"/>
      <c r="R170" s="11"/>
      <c r="S170" s="11"/>
      <c r="T170" s="20"/>
      <c r="U170" s="20"/>
      <c r="V170" s="30"/>
      <c r="W170" s="36"/>
      <c r="X170" s="17"/>
      <c r="Y170" s="17"/>
      <c r="Z170" s="17"/>
    </row>
    <row r="171" spans="1:26">
      <c r="A171" s="17"/>
      <c r="B171" s="17"/>
      <c r="C171" s="17"/>
      <c r="D171" s="17"/>
      <c r="E171" s="17"/>
      <c r="F171" s="17"/>
      <c r="G171" s="17"/>
      <c r="H171" s="11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30"/>
      <c r="W171" s="36"/>
      <c r="X171" s="17"/>
      <c r="Y171" s="17"/>
      <c r="Z171" s="17"/>
    </row>
    <row r="172" spans="1:26">
      <c r="A172" s="17"/>
      <c r="B172" s="17"/>
      <c r="C172" s="17"/>
      <c r="D172" s="17"/>
      <c r="E172" s="17"/>
      <c r="F172" s="17"/>
      <c r="G172" s="17"/>
      <c r="H172" s="11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30"/>
      <c r="W172" s="36"/>
      <c r="X172" s="17"/>
      <c r="Y172" s="17"/>
      <c r="Z172" s="17"/>
    </row>
    <row r="173" spans="1:26">
      <c r="A173" s="17"/>
      <c r="B173" s="17"/>
      <c r="C173" s="17"/>
      <c r="D173" s="17"/>
      <c r="E173" s="17"/>
      <c r="F173" s="17"/>
      <c r="G173" s="17"/>
      <c r="H173" s="11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1"/>
      <c r="V173" s="30"/>
      <c r="W173" s="36"/>
      <c r="X173" s="17"/>
      <c r="Y173" s="17"/>
      <c r="Z173" s="17"/>
    </row>
    <row r="174" spans="1:26">
      <c r="A174" s="20"/>
      <c r="B174" s="20"/>
      <c r="C174" s="20"/>
      <c r="D174" s="20"/>
      <c r="E174" s="20"/>
      <c r="F174" s="20"/>
      <c r="G174" s="20"/>
      <c r="H174" s="17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11"/>
      <c r="V174" s="30"/>
      <c r="W174" s="36"/>
      <c r="X174" s="17"/>
      <c r="Y174" s="17"/>
      <c r="Z174" s="17"/>
    </row>
    <row r="175" spans="1:26">
      <c r="A175" s="20"/>
      <c r="B175" s="20"/>
      <c r="C175" s="20"/>
      <c r="D175" s="20"/>
      <c r="E175" s="20"/>
      <c r="F175" s="20"/>
      <c r="G175" s="20"/>
      <c r="H175" s="17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11"/>
      <c r="V175" s="30"/>
      <c r="W175" s="36"/>
      <c r="X175" s="17"/>
      <c r="Y175" s="17"/>
      <c r="Z175" s="17"/>
    </row>
    <row r="176" spans="1:26">
      <c r="A176" s="20"/>
      <c r="B176" s="20"/>
      <c r="C176" s="20"/>
      <c r="D176" s="20"/>
      <c r="E176" s="20"/>
      <c r="F176" s="20"/>
      <c r="G176" s="20"/>
      <c r="H176" s="17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11"/>
      <c r="V176" s="30"/>
      <c r="W176" s="36"/>
      <c r="X176" s="17"/>
      <c r="Y176" s="17"/>
      <c r="Z176" s="17"/>
    </row>
    <row r="177" spans="1:26">
      <c r="A177" s="20"/>
      <c r="B177" s="20"/>
      <c r="C177" s="20"/>
      <c r="D177" s="20"/>
      <c r="E177" s="20"/>
      <c r="F177" s="20"/>
      <c r="G177" s="20"/>
      <c r="H177" s="17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11"/>
      <c r="V177" s="30"/>
      <c r="W177" s="36"/>
      <c r="X177" s="17"/>
      <c r="Y177" s="17"/>
      <c r="Z177" s="17"/>
    </row>
    <row r="178" spans="1:26">
      <c r="A178" s="20"/>
      <c r="B178" s="20"/>
      <c r="C178" s="20"/>
      <c r="D178" s="20"/>
      <c r="E178" s="20"/>
      <c r="F178" s="20"/>
      <c r="G178" s="20"/>
      <c r="H178" s="17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11"/>
      <c r="V178" s="30"/>
      <c r="W178" s="36"/>
      <c r="X178" s="17"/>
      <c r="Y178" s="17"/>
      <c r="Z178" s="17"/>
    </row>
    <row r="179" spans="1:26">
      <c r="A179" s="20"/>
      <c r="B179" s="20"/>
      <c r="C179" s="20"/>
      <c r="D179" s="20"/>
      <c r="E179" s="20"/>
      <c r="F179" s="20"/>
      <c r="G179" s="20"/>
      <c r="H179" s="17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11"/>
      <c r="V179" s="30"/>
      <c r="W179" s="36"/>
      <c r="X179" s="17"/>
      <c r="Y179" s="17"/>
      <c r="Z179" s="17"/>
    </row>
    <row r="180" spans="1:26">
      <c r="A180" s="20"/>
      <c r="B180" s="20"/>
      <c r="C180" s="20"/>
      <c r="D180" s="20"/>
      <c r="E180" s="20"/>
      <c r="F180" s="20"/>
      <c r="G180" s="20"/>
      <c r="H180" s="17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17"/>
      <c r="V180" s="30"/>
      <c r="W180" s="36"/>
      <c r="X180" s="17"/>
      <c r="Y180" s="17"/>
      <c r="Z180" s="17"/>
    </row>
    <row r="181" spans="1:26">
      <c r="A181" s="20"/>
      <c r="B181" s="20"/>
      <c r="C181" s="20"/>
      <c r="D181" s="20"/>
      <c r="E181" s="20"/>
      <c r="F181" s="20"/>
      <c r="G181" s="20"/>
      <c r="H181" s="17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17"/>
      <c r="V181" s="30"/>
      <c r="W181" s="36"/>
      <c r="X181" s="17"/>
      <c r="Y181" s="17"/>
      <c r="Z181" s="17"/>
    </row>
    <row r="182" spans="1:26">
      <c r="A182" s="20"/>
      <c r="B182" s="20"/>
      <c r="C182" s="20"/>
      <c r="D182" s="20"/>
      <c r="E182" s="20"/>
      <c r="F182" s="20"/>
      <c r="G182" s="20"/>
      <c r="H182" s="17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17"/>
      <c r="V182" s="30"/>
      <c r="W182" s="36"/>
      <c r="X182" s="17"/>
      <c r="Y182" s="17"/>
      <c r="Z182" s="17"/>
    </row>
    <row r="183" spans="1:26">
      <c r="A183" s="20"/>
      <c r="B183" s="20"/>
      <c r="C183" s="20"/>
      <c r="D183" s="20"/>
      <c r="E183" s="20"/>
      <c r="F183" s="20"/>
      <c r="G183" s="20"/>
      <c r="H183" s="17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36"/>
      <c r="X183" s="17"/>
      <c r="Y183" s="17"/>
      <c r="Z183" s="17"/>
    </row>
    <row r="184" spans="1:26">
      <c r="A184" s="20"/>
      <c r="B184" s="20"/>
      <c r="C184" s="20"/>
      <c r="D184" s="20"/>
      <c r="E184" s="20"/>
      <c r="G184" s="11"/>
      <c r="H184" s="17"/>
      <c r="I184" s="20"/>
      <c r="J184" s="20"/>
      <c r="K184" s="20"/>
      <c r="L184" s="20"/>
      <c r="M184" s="20"/>
      <c r="O184" s="11"/>
      <c r="P184" s="20"/>
      <c r="Q184" s="20"/>
      <c r="R184" s="20"/>
      <c r="S184" s="20"/>
      <c r="T184" s="20"/>
      <c r="U184" s="20"/>
      <c r="V184" s="20"/>
      <c r="W184" s="36"/>
      <c r="X184" s="17"/>
      <c r="Y184" s="17"/>
      <c r="Z184" s="17"/>
    </row>
    <row r="185" spans="1:26">
      <c r="A185" s="20"/>
      <c r="B185" s="20"/>
      <c r="C185" s="20"/>
      <c r="D185" s="20"/>
      <c r="E185" s="20"/>
      <c r="F185" s="17"/>
      <c r="G185" s="17"/>
      <c r="H185" s="17"/>
      <c r="I185" s="20"/>
      <c r="J185" s="20"/>
      <c r="K185" s="20"/>
      <c r="L185" s="20"/>
      <c r="M185" s="20"/>
      <c r="N185" s="17"/>
      <c r="O185" s="17"/>
      <c r="P185" s="20"/>
      <c r="Q185" s="20"/>
      <c r="R185" s="20"/>
      <c r="S185" s="20"/>
      <c r="T185" s="20"/>
      <c r="U185" s="20"/>
      <c r="V185" s="20"/>
      <c r="W185" s="36"/>
      <c r="X185" s="17"/>
      <c r="Y185" s="17"/>
      <c r="Z185" s="17"/>
    </row>
    <row r="186" spans="1:26">
      <c r="A186" s="20"/>
      <c r="B186" s="20"/>
      <c r="C186" s="20"/>
      <c r="D186" s="20"/>
      <c r="E186" s="20"/>
      <c r="F186" s="17"/>
      <c r="G186" s="17"/>
      <c r="H186" s="17"/>
      <c r="I186" s="20"/>
      <c r="J186" s="20"/>
      <c r="K186" s="20"/>
      <c r="L186" s="20"/>
      <c r="M186" s="20"/>
      <c r="N186" s="17"/>
      <c r="O186" s="17"/>
      <c r="P186" s="20"/>
      <c r="Q186" s="20"/>
      <c r="R186" s="20"/>
      <c r="S186" s="20"/>
      <c r="T186" s="20"/>
      <c r="U186" s="20"/>
      <c r="V186" s="20"/>
      <c r="W186" s="36"/>
      <c r="X186" s="17"/>
      <c r="Y186" s="17"/>
      <c r="Z186" s="17"/>
    </row>
    <row r="187" spans="1:26">
      <c r="A187" s="20"/>
      <c r="B187" s="20"/>
      <c r="C187" s="20"/>
      <c r="D187" s="20"/>
      <c r="E187" s="20"/>
      <c r="F187" s="17"/>
      <c r="G187" s="17"/>
      <c r="H187" s="17"/>
      <c r="I187" s="20"/>
      <c r="J187" s="20"/>
      <c r="K187" s="20"/>
      <c r="L187" s="20"/>
      <c r="M187" s="20"/>
      <c r="N187" s="17"/>
      <c r="O187" s="17"/>
      <c r="P187" s="20"/>
      <c r="Q187" s="20"/>
      <c r="R187" s="20"/>
      <c r="S187" s="20"/>
      <c r="T187" s="20"/>
      <c r="U187" s="20"/>
      <c r="V187" s="20"/>
      <c r="W187" s="36"/>
      <c r="X187" s="17"/>
      <c r="Y187" s="17"/>
      <c r="Z187" s="17"/>
    </row>
    <row r="188" spans="1:26">
      <c r="A188" s="20"/>
      <c r="B188" s="20"/>
      <c r="C188" s="11"/>
      <c r="D188" s="11"/>
      <c r="F188" s="11"/>
      <c r="G188" s="11"/>
      <c r="H188" s="17"/>
      <c r="I188" s="20"/>
      <c r="J188" s="20"/>
      <c r="K188" s="20"/>
      <c r="L188" s="20"/>
      <c r="M188" s="20"/>
      <c r="N188" s="17"/>
      <c r="O188" s="17"/>
      <c r="P188" s="20"/>
      <c r="Q188" s="20"/>
      <c r="R188" s="11"/>
      <c r="S188" s="11"/>
      <c r="U188" s="20"/>
      <c r="V188" s="20"/>
      <c r="W188" s="36"/>
      <c r="X188" s="17"/>
      <c r="Y188" s="17"/>
      <c r="Z188" s="17"/>
    </row>
    <row r="189" spans="1:26">
      <c r="A189" s="20"/>
      <c r="B189" s="11"/>
      <c r="C189" s="11"/>
      <c r="D189" s="11"/>
      <c r="E189" s="11"/>
      <c r="F189" s="11"/>
      <c r="G189" s="11"/>
      <c r="H189" s="17"/>
      <c r="I189" s="20"/>
      <c r="J189" s="20"/>
      <c r="K189" s="20"/>
      <c r="L189" s="20"/>
      <c r="M189" s="20"/>
      <c r="N189" s="17"/>
      <c r="O189" s="17"/>
      <c r="P189" s="20"/>
      <c r="Q189" s="11"/>
      <c r="R189" s="11"/>
      <c r="S189" s="11"/>
      <c r="T189" s="11"/>
      <c r="U189" s="20"/>
      <c r="V189" s="20"/>
      <c r="W189" s="36"/>
      <c r="X189" s="17"/>
      <c r="Y189" s="17"/>
      <c r="Z189" s="17"/>
    </row>
    <row r="190" spans="1:26">
      <c r="A190" s="20"/>
      <c r="B190" s="11"/>
      <c r="C190" s="11"/>
      <c r="D190" s="11"/>
      <c r="E190" s="11"/>
      <c r="F190" s="11"/>
      <c r="G190" s="11"/>
      <c r="H190" s="17"/>
      <c r="I190" s="20"/>
      <c r="J190" s="20"/>
      <c r="K190" s="20"/>
      <c r="L190" s="20"/>
      <c r="M190" s="20"/>
      <c r="N190" s="17"/>
      <c r="O190" s="17"/>
      <c r="P190" s="20"/>
      <c r="Q190" s="11"/>
      <c r="R190" s="11"/>
      <c r="S190" s="11"/>
      <c r="T190" s="11"/>
      <c r="U190" s="20"/>
      <c r="V190" s="20"/>
      <c r="W190" s="36"/>
      <c r="X190" s="17"/>
      <c r="Y190" s="17"/>
      <c r="Z190" s="17"/>
    </row>
    <row r="191" spans="1:26">
      <c r="A191" s="20"/>
      <c r="B191" s="11"/>
      <c r="C191" s="11"/>
      <c r="D191" s="11"/>
      <c r="E191" s="11"/>
      <c r="F191" s="11"/>
      <c r="G191" s="11"/>
      <c r="H191" s="17"/>
      <c r="I191" s="20"/>
      <c r="J191" s="20"/>
      <c r="K191" s="11"/>
      <c r="L191" s="11"/>
      <c r="N191" s="11"/>
      <c r="O191" s="11"/>
      <c r="P191" s="20"/>
      <c r="Q191" s="11"/>
      <c r="R191" s="11"/>
      <c r="S191" s="11"/>
      <c r="T191" s="11"/>
      <c r="U191" s="20"/>
      <c r="V191" s="20"/>
      <c r="W191" s="36"/>
      <c r="X191" s="17"/>
      <c r="Y191" s="17"/>
      <c r="Z191" s="17"/>
    </row>
    <row r="192" spans="1:26">
      <c r="A192" s="20"/>
      <c r="B192" s="11"/>
      <c r="C192" s="11"/>
      <c r="D192" s="11"/>
      <c r="E192" s="11"/>
      <c r="F192" s="20"/>
      <c r="G192" s="11"/>
      <c r="H192" s="17"/>
      <c r="I192" s="17"/>
      <c r="J192" s="11"/>
      <c r="K192" s="11"/>
      <c r="L192" s="11"/>
      <c r="M192" s="11"/>
      <c r="N192" s="11"/>
      <c r="O192" s="11"/>
      <c r="P192" s="20"/>
      <c r="Q192" s="11"/>
      <c r="R192" s="11"/>
      <c r="S192" s="11"/>
      <c r="T192" s="11"/>
      <c r="U192" s="20"/>
      <c r="V192" s="20"/>
      <c r="W192" s="36"/>
      <c r="X192" s="17"/>
      <c r="Y192" s="17"/>
      <c r="Z192" s="17"/>
    </row>
    <row r="193" spans="1:26">
      <c r="A193" s="20"/>
      <c r="B193" s="11"/>
      <c r="C193" s="11"/>
      <c r="D193" s="11"/>
      <c r="E193" s="11"/>
      <c r="F193" s="20"/>
      <c r="G193" s="11"/>
      <c r="H193" s="17"/>
      <c r="I193" s="17"/>
      <c r="J193" s="11"/>
      <c r="K193" s="11"/>
      <c r="L193" s="11"/>
      <c r="M193" s="11"/>
      <c r="N193" s="11"/>
      <c r="O193" s="11"/>
      <c r="P193" s="20"/>
      <c r="Q193" s="11"/>
      <c r="R193" s="11"/>
      <c r="S193" s="11"/>
      <c r="T193" s="11"/>
      <c r="V193" s="11"/>
      <c r="W193" s="36"/>
      <c r="X193" s="17"/>
      <c r="Y193" s="17"/>
      <c r="Z193" s="17"/>
    </row>
    <row r="194" spans="1:26">
      <c r="A194" s="20"/>
      <c r="B194" s="11"/>
      <c r="C194" s="11"/>
      <c r="D194" s="11"/>
      <c r="E194" s="11"/>
      <c r="F194" s="20"/>
      <c r="G194" s="11"/>
      <c r="H194" s="17"/>
      <c r="I194" s="17"/>
      <c r="J194" s="11"/>
      <c r="K194" s="11"/>
      <c r="L194" s="11"/>
      <c r="M194" s="11"/>
      <c r="N194" s="11"/>
      <c r="O194" s="11"/>
      <c r="P194" s="20"/>
      <c r="Q194" s="11"/>
      <c r="R194" s="11"/>
      <c r="S194" s="11"/>
      <c r="T194" s="11"/>
      <c r="U194" s="17"/>
      <c r="V194" s="17"/>
      <c r="W194" s="36"/>
      <c r="X194" s="17"/>
      <c r="Y194" s="17"/>
      <c r="Z194" s="17"/>
    </row>
    <row r="19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1"/>
      <c r="K195" s="11"/>
      <c r="L195" s="11"/>
      <c r="M195" s="11"/>
      <c r="N195" s="20"/>
      <c r="O195" s="11"/>
      <c r="P195" s="17"/>
      <c r="Q195" s="17"/>
      <c r="R195" s="17"/>
      <c r="S195" s="17"/>
      <c r="T195" s="17"/>
      <c r="U195" s="17"/>
      <c r="V195" s="17"/>
      <c r="W195" s="36"/>
      <c r="X195" s="17"/>
      <c r="Y195" s="17"/>
      <c r="Z195" s="17"/>
    </row>
    <row r="196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1"/>
      <c r="K196" s="11"/>
      <c r="L196" s="11"/>
      <c r="M196" s="11"/>
      <c r="N196" s="20"/>
      <c r="O196" s="11"/>
      <c r="P196" s="17"/>
      <c r="Q196" s="17"/>
      <c r="R196" s="17"/>
      <c r="S196" s="17"/>
      <c r="T196" s="17"/>
      <c r="U196" s="17"/>
      <c r="V196" s="17"/>
      <c r="W196" s="36"/>
      <c r="X196" s="17"/>
      <c r="Y196" s="17"/>
      <c r="Z196" s="17"/>
    </row>
    <row r="197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1"/>
      <c r="K197" s="11"/>
      <c r="L197" s="11"/>
      <c r="M197" s="11"/>
      <c r="N197" s="20"/>
      <c r="O197" s="11"/>
      <c r="P197" s="17"/>
      <c r="Q197" s="17"/>
      <c r="R197" s="17"/>
      <c r="S197" s="17"/>
      <c r="T197" s="17"/>
      <c r="U197" s="11"/>
      <c r="V197" s="11"/>
      <c r="W197" s="36"/>
      <c r="X197" s="17"/>
      <c r="Y197" s="17"/>
      <c r="Z197" s="17"/>
    </row>
    <row r="198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1"/>
      <c r="V198" s="11"/>
      <c r="W198" s="36"/>
      <c r="X198" s="17"/>
      <c r="Y198" s="17"/>
      <c r="Z198" s="17"/>
    </row>
    <row r="199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1"/>
      <c r="V199" s="11"/>
      <c r="W199" s="36"/>
      <c r="X199" s="17"/>
      <c r="Y199" s="17"/>
      <c r="Z199" s="17"/>
    </row>
    <row r="200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1"/>
      <c r="V200" s="11"/>
      <c r="W200" s="36"/>
      <c r="X200" s="17"/>
      <c r="Y200" s="17"/>
      <c r="Z200" s="17"/>
    </row>
    <row r="201" spans="1:2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20"/>
      <c r="V201" s="11"/>
      <c r="W201" s="36"/>
      <c r="X201" s="17"/>
      <c r="Y201" s="17"/>
      <c r="Z201" s="17"/>
    </row>
    <row r="202" spans="1:2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20"/>
      <c r="V202" s="11"/>
      <c r="W202" s="36"/>
      <c r="X202" s="17"/>
      <c r="Y202" s="17"/>
      <c r="Z202" s="17"/>
    </row>
    <row r="203" spans="1:2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20"/>
      <c r="V203" s="11"/>
      <c r="W203" s="36"/>
      <c r="X203" s="17"/>
      <c r="Y203" s="17"/>
      <c r="Z203" s="17"/>
    </row>
    <row r="204" spans="1:2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30"/>
      <c r="W204" s="36"/>
      <c r="X204" s="17"/>
      <c r="Y204" s="17"/>
      <c r="Z204" s="17"/>
    </row>
    <row r="205" spans="1:2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30"/>
      <c r="W205" s="36"/>
      <c r="X205" s="17"/>
      <c r="Y205" s="17"/>
      <c r="Z205" s="17"/>
    </row>
    <row r="206" spans="1:2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30"/>
      <c r="W206" s="36"/>
      <c r="X206" s="17"/>
      <c r="Y206" s="17"/>
      <c r="Z206" s="17"/>
    </row>
    <row r="207" spans="1:2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30"/>
      <c r="W207" s="36"/>
      <c r="X207" s="17"/>
      <c r="Y207" s="17"/>
      <c r="Z207" s="17"/>
    </row>
    <row r="208" spans="1:2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30"/>
      <c r="W208" s="36"/>
      <c r="X208" s="17"/>
      <c r="Y208" s="17"/>
      <c r="Z208" s="17"/>
    </row>
    <row r="209" spans="1:26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17"/>
      <c r="V209" s="30"/>
      <c r="W209" s="36"/>
      <c r="X209" s="17"/>
      <c r="Y209" s="17"/>
      <c r="Z209" s="17"/>
    </row>
    <row r="210" spans="1:26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17"/>
      <c r="V210" s="30"/>
      <c r="W210" s="36"/>
      <c r="X210" s="17"/>
      <c r="Y210" s="17"/>
      <c r="Z210" s="17"/>
    </row>
    <row r="211" spans="1:26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17"/>
      <c r="V211" s="30"/>
      <c r="W211" s="36"/>
      <c r="X211" s="17"/>
      <c r="Y211" s="17"/>
      <c r="Z211" s="17"/>
    </row>
    <row r="212" spans="1:26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17"/>
      <c r="V212" s="30"/>
      <c r="W212" s="36"/>
      <c r="X212" s="17"/>
      <c r="Y212" s="17"/>
      <c r="Z212" s="17"/>
    </row>
    <row r="213" spans="1:26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17"/>
      <c r="V213" s="30"/>
      <c r="W213" s="36"/>
      <c r="X213" s="17"/>
      <c r="Y213" s="17"/>
      <c r="Z213" s="17"/>
    </row>
    <row r="214" spans="1:26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17"/>
      <c r="V214" s="30"/>
      <c r="W214" s="36"/>
      <c r="X214" s="17"/>
      <c r="Y214" s="17"/>
      <c r="Z214" s="17"/>
    </row>
    <row r="215" spans="1:26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17"/>
      <c r="V215" s="30"/>
      <c r="W215" s="36"/>
      <c r="X215" s="17"/>
      <c r="Y215" s="17"/>
      <c r="Z215" s="17"/>
    </row>
    <row r="216" spans="1:2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17"/>
      <c r="V216" s="30"/>
      <c r="W216" s="36"/>
      <c r="X216" s="17"/>
      <c r="Y216" s="17"/>
      <c r="Z216" s="17"/>
    </row>
    <row r="217" spans="1:26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17"/>
      <c r="V217" s="30"/>
      <c r="W217" s="36"/>
      <c r="X217" s="17"/>
      <c r="Y217" s="17"/>
      <c r="Z217" s="17"/>
    </row>
    <row r="218" spans="1:26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30"/>
      <c r="W218" s="36"/>
      <c r="X218" s="17"/>
      <c r="Y218" s="17"/>
      <c r="Z218" s="17"/>
    </row>
    <row r="219" spans="1:26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30"/>
      <c r="W219" s="36"/>
      <c r="X219" s="17"/>
      <c r="Y219" s="17"/>
      <c r="Z219" s="17"/>
    </row>
    <row r="220" spans="1:26">
      <c r="A220" s="20"/>
      <c r="B220" s="20"/>
      <c r="C220" s="20"/>
      <c r="D220" s="20"/>
      <c r="E220" s="20"/>
      <c r="H220" s="20"/>
      <c r="I220" s="20"/>
      <c r="J220" s="20"/>
      <c r="K220" s="20"/>
      <c r="L220" s="20"/>
      <c r="O220" s="20"/>
      <c r="P220" s="20"/>
      <c r="Q220" s="20"/>
      <c r="R220" s="20"/>
      <c r="S220" s="20"/>
      <c r="U220" s="20"/>
      <c r="V220" s="30"/>
      <c r="W220" s="36"/>
      <c r="X220" s="17"/>
      <c r="Y220" s="17"/>
      <c r="Z220" s="17"/>
    </row>
    <row r="221" spans="1:26">
      <c r="A221" s="20"/>
      <c r="B221" s="20"/>
      <c r="C221" s="20"/>
      <c r="D221" s="20"/>
      <c r="E221" s="20"/>
      <c r="H221" s="20"/>
      <c r="I221" s="20"/>
      <c r="J221" s="20"/>
      <c r="K221" s="20"/>
      <c r="L221" s="20"/>
      <c r="O221" s="20"/>
      <c r="P221" s="20"/>
      <c r="Q221" s="20"/>
      <c r="R221" s="20"/>
      <c r="S221" s="20"/>
      <c r="U221" s="20"/>
      <c r="V221" s="30"/>
      <c r="W221" s="36"/>
      <c r="X221" s="17"/>
      <c r="Y221" s="17"/>
      <c r="Z221" s="17"/>
    </row>
    <row r="222" spans="1:26">
      <c r="A222" s="20"/>
      <c r="C222" s="11"/>
      <c r="D222" s="11"/>
      <c r="F222" s="11"/>
      <c r="G222" s="20"/>
      <c r="H222" s="20"/>
      <c r="J222" s="11"/>
      <c r="K222" s="11"/>
      <c r="M222" s="11"/>
      <c r="N222" s="20"/>
      <c r="O222" s="20"/>
      <c r="Q222" s="11"/>
      <c r="R222" s="11"/>
      <c r="T222" s="11"/>
      <c r="U222" s="20"/>
      <c r="V222" s="30"/>
      <c r="W222" s="36"/>
      <c r="X222" s="17"/>
      <c r="Y222" s="17"/>
      <c r="Z222" s="17"/>
    </row>
    <row r="223" spans="1:26">
      <c r="A223" s="20"/>
      <c r="B223" s="11"/>
      <c r="C223" s="11"/>
      <c r="D223" s="11"/>
      <c r="E223" s="11"/>
      <c r="F223" s="20"/>
      <c r="G223" s="20"/>
      <c r="H223" s="20"/>
      <c r="I223" s="11"/>
      <c r="J223" s="11"/>
      <c r="K223" s="11"/>
      <c r="L223" s="11"/>
      <c r="M223" s="20"/>
      <c r="N223" s="20"/>
      <c r="O223" s="20"/>
      <c r="P223" s="11"/>
      <c r="Q223" s="11"/>
      <c r="R223" s="11"/>
      <c r="S223" s="11"/>
      <c r="T223" s="20"/>
      <c r="U223" s="20"/>
      <c r="V223" s="30"/>
      <c r="W223" s="36"/>
      <c r="X223" s="17"/>
      <c r="Y223" s="17"/>
      <c r="Z223" s="17"/>
    </row>
    <row r="224" spans="1:26">
      <c r="A224" s="20"/>
      <c r="B224" s="11"/>
      <c r="C224" s="11"/>
      <c r="D224" s="11"/>
      <c r="E224" s="11"/>
      <c r="F224" s="11"/>
      <c r="G224" s="11"/>
      <c r="H224" s="20"/>
      <c r="I224" s="11"/>
      <c r="J224" s="11"/>
      <c r="K224" s="11"/>
      <c r="L224" s="11"/>
      <c r="M224" s="11"/>
      <c r="N224" s="11"/>
      <c r="O224" s="20"/>
      <c r="P224" s="11"/>
      <c r="Q224" s="11"/>
      <c r="R224" s="11"/>
      <c r="S224" s="11"/>
      <c r="T224" s="11"/>
      <c r="U224" s="20"/>
      <c r="V224" s="30"/>
      <c r="W224" s="36"/>
      <c r="X224" s="17"/>
      <c r="Y224" s="17"/>
      <c r="Z224" s="17"/>
    </row>
    <row r="225" spans="1:26">
      <c r="A225" s="20"/>
      <c r="B225" s="11"/>
      <c r="C225" s="11"/>
      <c r="D225" s="11"/>
      <c r="E225" s="11"/>
      <c r="F225" s="11"/>
      <c r="G225" s="11"/>
      <c r="H225" s="20"/>
      <c r="I225" s="11"/>
      <c r="J225" s="11"/>
      <c r="K225" s="11"/>
      <c r="L225" s="11"/>
      <c r="M225" s="11"/>
      <c r="N225" s="11"/>
      <c r="O225" s="20"/>
      <c r="P225" s="11"/>
      <c r="Q225" s="11"/>
      <c r="R225" s="11"/>
      <c r="S225" s="11"/>
      <c r="T225" s="11"/>
      <c r="U225" s="20"/>
      <c r="V225" s="30"/>
      <c r="W225" s="36"/>
      <c r="X225" s="17"/>
      <c r="Y225" s="17"/>
      <c r="Z225" s="17"/>
    </row>
    <row r="226" spans="1:26">
      <c r="A226" s="20"/>
      <c r="B226" s="11"/>
      <c r="C226" s="11"/>
      <c r="D226" s="11"/>
      <c r="E226" s="11"/>
      <c r="F226" s="20"/>
      <c r="G226" s="11"/>
      <c r="H226" s="20"/>
      <c r="I226" s="11"/>
      <c r="J226" s="11"/>
      <c r="K226" s="11"/>
      <c r="L226" s="11"/>
      <c r="M226" s="20"/>
      <c r="N226" s="11"/>
      <c r="O226" s="20"/>
      <c r="P226" s="11"/>
      <c r="Q226" s="11"/>
      <c r="R226" s="11"/>
      <c r="S226" s="11"/>
      <c r="T226" s="20"/>
      <c r="U226" s="20"/>
      <c r="V226" s="30"/>
      <c r="W226" s="36"/>
      <c r="X226" s="17"/>
      <c r="Y226" s="17"/>
      <c r="Z226" s="17"/>
    </row>
    <row r="227" spans="1:26">
      <c r="A227" s="11"/>
      <c r="B227" s="11"/>
      <c r="C227" s="11"/>
      <c r="D227" s="11"/>
      <c r="E227" s="11"/>
      <c r="F227" s="20"/>
      <c r="G227" s="11"/>
      <c r="H227" s="11"/>
      <c r="I227" s="11"/>
      <c r="J227" s="11"/>
      <c r="K227" s="11"/>
      <c r="L227" s="11"/>
      <c r="M227" s="20"/>
      <c r="N227" s="11"/>
      <c r="O227" s="11"/>
      <c r="P227" s="11"/>
      <c r="Q227" s="11"/>
      <c r="R227" s="11"/>
      <c r="S227" s="11"/>
      <c r="T227" s="20"/>
      <c r="U227" s="20"/>
      <c r="V227" s="30"/>
      <c r="W227" s="36"/>
      <c r="X227" s="17"/>
      <c r="Y227" s="17"/>
      <c r="Z227" s="17"/>
    </row>
    <row r="228" spans="1:26">
      <c r="A228" s="11"/>
      <c r="B228" s="11"/>
      <c r="C228" s="11"/>
      <c r="D228" s="11"/>
      <c r="E228" s="11"/>
      <c r="F228" s="20"/>
      <c r="G228" s="11"/>
      <c r="H228" s="11"/>
      <c r="I228" s="11"/>
      <c r="J228" s="11"/>
      <c r="K228" s="11"/>
      <c r="L228" s="11"/>
      <c r="M228" s="20"/>
      <c r="N228" s="11"/>
      <c r="O228" s="11"/>
      <c r="P228" s="11"/>
      <c r="Q228" s="11"/>
      <c r="R228" s="11"/>
      <c r="S228" s="11"/>
      <c r="T228" s="20"/>
      <c r="U228" s="20"/>
      <c r="V228" s="30"/>
      <c r="W228" s="36"/>
      <c r="X228" s="17"/>
      <c r="Y228" s="17"/>
      <c r="Z228" s="17"/>
    </row>
    <row r="229" spans="1:26">
      <c r="A229" s="17"/>
      <c r="B229" s="17"/>
      <c r="C229" s="17"/>
      <c r="D229" s="17"/>
      <c r="E229" s="17"/>
      <c r="F229" s="17"/>
      <c r="G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V229" s="30"/>
      <c r="W229" s="36"/>
      <c r="X229" s="17"/>
      <c r="Y229" s="17"/>
      <c r="Z229" s="17"/>
    </row>
    <row r="230" spans="1:26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V230" s="30"/>
      <c r="W230" s="36"/>
      <c r="X230" s="17"/>
      <c r="Y230" s="17"/>
      <c r="Z230" s="17"/>
    </row>
    <row r="231" spans="1:26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30"/>
      <c r="W231" s="36"/>
      <c r="X231" s="17"/>
      <c r="Y231" s="17"/>
      <c r="Z231" s="17"/>
    </row>
    <row r="232" spans="1:26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30"/>
      <c r="W232" s="36"/>
      <c r="X232" s="17"/>
      <c r="Y232" s="17"/>
      <c r="Z232" s="17"/>
    </row>
    <row r="233" spans="1:26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11"/>
      <c r="V233" s="30"/>
      <c r="W233" s="36"/>
      <c r="X233" s="17"/>
      <c r="Y233" s="17"/>
      <c r="Z233" s="17"/>
    </row>
    <row r="234" spans="1:26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11"/>
      <c r="V234" s="30"/>
      <c r="W234" s="36"/>
      <c r="X234" s="17"/>
      <c r="Y234" s="17"/>
      <c r="Z234" s="17"/>
    </row>
    <row r="235" spans="1:26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11"/>
      <c r="V235" s="30"/>
      <c r="W235" s="36"/>
      <c r="X235" s="17"/>
      <c r="Y235" s="17"/>
      <c r="Z235" s="17"/>
    </row>
    <row r="236" spans="1:2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11"/>
      <c r="V236" s="30"/>
      <c r="W236" s="36"/>
      <c r="X236" s="17"/>
      <c r="Y236" s="17"/>
      <c r="Z236" s="17"/>
    </row>
    <row r="237" spans="1:26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11"/>
      <c r="V237" s="30"/>
      <c r="W237" s="36"/>
      <c r="X237" s="17"/>
      <c r="Y237" s="17"/>
      <c r="Z237" s="17"/>
    </row>
    <row r="238" spans="1:26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17"/>
      <c r="V238" s="30"/>
      <c r="W238" s="36"/>
      <c r="X238" s="17"/>
      <c r="Y238" s="17"/>
      <c r="Z238" s="17"/>
    </row>
    <row r="239" spans="1:26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30"/>
      <c r="W239" s="36"/>
      <c r="X239" s="17"/>
      <c r="Y239" s="17"/>
      <c r="Z239" s="17"/>
    </row>
    <row r="240" spans="1:26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30"/>
      <c r="W240" s="36"/>
      <c r="X240" s="17"/>
      <c r="Y240" s="17"/>
      <c r="Z240" s="17"/>
    </row>
    <row r="241" spans="1:26">
      <c r="A241" s="20"/>
      <c r="B241" s="20"/>
      <c r="C241" s="20"/>
      <c r="D241" s="20"/>
      <c r="E241" s="20"/>
      <c r="H241" s="20"/>
      <c r="I241" s="20"/>
      <c r="J241" s="20"/>
      <c r="K241" s="20"/>
      <c r="L241" s="20"/>
      <c r="O241" s="20"/>
      <c r="P241" s="20"/>
      <c r="Q241" s="20"/>
      <c r="R241" s="20"/>
      <c r="S241" s="20"/>
      <c r="U241" s="20"/>
      <c r="V241" s="30"/>
      <c r="W241" s="36"/>
      <c r="X241" s="17"/>
      <c r="Y241" s="17"/>
      <c r="Z241" s="17"/>
    </row>
    <row r="242" spans="1:26">
      <c r="A242" s="20"/>
      <c r="B242" s="20"/>
      <c r="C242" s="20"/>
      <c r="D242" s="20"/>
      <c r="E242" s="20"/>
      <c r="H242" s="20"/>
      <c r="I242" s="20"/>
      <c r="J242" s="20"/>
      <c r="K242" s="20"/>
      <c r="L242" s="20"/>
      <c r="O242" s="20"/>
      <c r="P242" s="20"/>
      <c r="Q242" s="20"/>
      <c r="R242" s="20"/>
      <c r="S242" s="20"/>
      <c r="U242" s="20"/>
      <c r="V242" s="30"/>
      <c r="W242" s="36"/>
      <c r="X242" s="17"/>
      <c r="Y242" s="17"/>
      <c r="Z242" s="17"/>
    </row>
    <row r="243" spans="1:26">
      <c r="A243" s="20"/>
      <c r="C243" s="11"/>
      <c r="D243" s="11"/>
      <c r="F243" s="11"/>
      <c r="G243" s="20"/>
      <c r="H243" s="20"/>
      <c r="J243" s="11"/>
      <c r="K243" s="11"/>
      <c r="M243" s="11"/>
      <c r="N243" s="20"/>
      <c r="O243" s="20"/>
      <c r="Q243" s="11"/>
      <c r="R243" s="11"/>
      <c r="T243" s="11"/>
      <c r="U243" s="20"/>
      <c r="V243" s="30"/>
      <c r="W243" s="36"/>
      <c r="X243" s="17"/>
      <c r="Y243" s="17"/>
      <c r="Z243" s="17"/>
    </row>
    <row r="244" spans="1:26">
      <c r="A244" s="20"/>
      <c r="B244" s="11"/>
      <c r="C244" s="11"/>
      <c r="D244" s="11"/>
      <c r="E244" s="11"/>
      <c r="F244" s="20"/>
      <c r="G244" s="20"/>
      <c r="H244" s="20"/>
      <c r="I244" s="11"/>
      <c r="J244" s="11"/>
      <c r="K244" s="11"/>
      <c r="L244" s="11"/>
      <c r="M244" s="20"/>
      <c r="N244" s="20"/>
      <c r="O244" s="20"/>
      <c r="P244" s="11"/>
      <c r="Q244" s="11"/>
      <c r="R244" s="11"/>
      <c r="S244" s="11"/>
      <c r="T244" s="20"/>
      <c r="U244" s="20"/>
      <c r="V244" s="30"/>
      <c r="W244" s="36"/>
      <c r="X244" s="17"/>
      <c r="Y244" s="17"/>
      <c r="Z244" s="17"/>
    </row>
    <row r="245" spans="1:26">
      <c r="A245" s="20"/>
      <c r="B245" s="11"/>
      <c r="C245" s="11"/>
      <c r="D245" s="11"/>
      <c r="E245" s="11"/>
      <c r="F245" s="11"/>
      <c r="G245" s="11"/>
      <c r="H245" s="20"/>
      <c r="I245" s="11"/>
      <c r="J245" s="11"/>
      <c r="K245" s="11"/>
      <c r="L245" s="11"/>
      <c r="M245" s="11"/>
      <c r="N245" s="11"/>
      <c r="O245" s="20"/>
      <c r="P245" s="11"/>
      <c r="Q245" s="11"/>
      <c r="R245" s="11"/>
      <c r="S245" s="11"/>
      <c r="T245" s="11"/>
      <c r="U245" s="20"/>
      <c r="V245" s="30"/>
      <c r="W245" s="36"/>
      <c r="X245" s="17"/>
      <c r="Y245" s="17"/>
      <c r="Z245" s="17"/>
    </row>
    <row r="246" spans="1:26">
      <c r="A246" s="20"/>
      <c r="B246" s="11"/>
      <c r="C246" s="11"/>
      <c r="D246" s="11"/>
      <c r="E246" s="11"/>
      <c r="F246" s="11"/>
      <c r="G246" s="11"/>
      <c r="H246" s="20"/>
      <c r="I246" s="11"/>
      <c r="J246" s="11"/>
      <c r="K246" s="11"/>
      <c r="L246" s="11"/>
      <c r="M246" s="11"/>
      <c r="N246" s="11"/>
      <c r="O246" s="20"/>
      <c r="P246" s="11"/>
      <c r="Q246" s="11"/>
      <c r="R246" s="11"/>
      <c r="S246" s="11"/>
      <c r="T246" s="11"/>
      <c r="U246" s="20"/>
      <c r="V246" s="30"/>
      <c r="W246" s="36"/>
      <c r="X246" s="17"/>
      <c r="Y246" s="17"/>
      <c r="Z246" s="17"/>
    </row>
    <row r="247" spans="1:26">
      <c r="A247" s="20"/>
      <c r="B247" s="11"/>
      <c r="C247" s="11"/>
      <c r="D247" s="11"/>
      <c r="E247" s="11"/>
      <c r="F247" s="20"/>
      <c r="G247" s="11"/>
      <c r="H247" s="20"/>
      <c r="I247" s="11"/>
      <c r="J247" s="11"/>
      <c r="K247" s="11"/>
      <c r="L247" s="11"/>
      <c r="M247" s="20"/>
      <c r="N247" s="11"/>
      <c r="O247" s="20"/>
      <c r="P247" s="11"/>
      <c r="Q247" s="11"/>
      <c r="R247" s="11"/>
      <c r="S247" s="11"/>
      <c r="T247" s="20"/>
      <c r="U247" s="20"/>
      <c r="V247" s="30"/>
      <c r="W247" s="36"/>
      <c r="X247" s="17"/>
      <c r="Y247" s="17"/>
      <c r="Z247" s="17"/>
    </row>
    <row r="248" spans="1:26">
      <c r="A248" s="11"/>
      <c r="B248" s="11"/>
      <c r="C248" s="11"/>
      <c r="D248" s="11"/>
      <c r="E248" s="11"/>
      <c r="F248" s="20"/>
      <c r="G248" s="11"/>
      <c r="H248" s="11"/>
      <c r="I248" s="11"/>
      <c r="J248" s="11"/>
      <c r="K248" s="11"/>
      <c r="L248" s="11"/>
      <c r="M248" s="20"/>
      <c r="N248" s="11"/>
      <c r="O248" s="11"/>
      <c r="P248" s="11"/>
      <c r="Q248" s="11"/>
      <c r="R248" s="11"/>
      <c r="S248" s="11"/>
      <c r="T248" s="20"/>
      <c r="U248" s="20"/>
      <c r="V248" s="30"/>
      <c r="W248" s="36"/>
      <c r="X248" s="17"/>
      <c r="Y248" s="17"/>
      <c r="Z248" s="17"/>
    </row>
    <row r="249" spans="1:26">
      <c r="A249" s="11"/>
      <c r="B249" s="11"/>
      <c r="C249" s="11"/>
      <c r="D249" s="11"/>
      <c r="E249" s="11"/>
      <c r="F249" s="20"/>
      <c r="G249" s="11"/>
      <c r="H249" s="11"/>
      <c r="I249" s="11"/>
      <c r="J249" s="11"/>
      <c r="K249" s="11"/>
      <c r="L249" s="11"/>
      <c r="M249" s="20"/>
      <c r="N249" s="11"/>
      <c r="O249" s="11"/>
      <c r="P249" s="11"/>
      <c r="Q249" s="11"/>
      <c r="R249" s="11"/>
      <c r="S249" s="11"/>
      <c r="T249" s="20"/>
      <c r="U249" s="20"/>
      <c r="V249" s="30"/>
      <c r="W249" s="36"/>
      <c r="X249" s="17"/>
      <c r="Y249" s="17"/>
      <c r="Z249" s="17"/>
    </row>
    <row r="250" spans="1:2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V250" s="30"/>
      <c r="W250" s="36"/>
      <c r="X250" s="17"/>
      <c r="Y250" s="17"/>
      <c r="Z250" s="17"/>
    </row>
    <row r="251" spans="1:2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17"/>
      <c r="P251" s="36"/>
      <c r="Q251" s="17"/>
      <c r="R251" s="17"/>
      <c r="S251" s="17"/>
      <c r="T251" s="17"/>
      <c r="V251" s="30"/>
      <c r="W251" s="36"/>
      <c r="X251" s="17"/>
      <c r="Y251" s="17"/>
      <c r="Z251" s="17"/>
    </row>
    <row r="252" spans="1:2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17"/>
      <c r="P252" s="36"/>
      <c r="Q252" s="17"/>
      <c r="R252" s="17"/>
      <c r="S252" s="17"/>
      <c r="T252" s="17"/>
      <c r="U252" s="20"/>
      <c r="V252" s="30"/>
      <c r="W252" s="36"/>
      <c r="X252" s="17"/>
      <c r="Y252" s="17"/>
      <c r="Z252" s="17"/>
    </row>
    <row r="253" spans="1:2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17"/>
      <c r="P253" s="36"/>
      <c r="Q253" s="17"/>
      <c r="R253" s="17"/>
      <c r="S253" s="17"/>
      <c r="T253" s="17"/>
      <c r="U253" s="20"/>
      <c r="V253" s="30"/>
      <c r="W253" s="36"/>
      <c r="X253" s="17"/>
      <c r="Y253" s="17"/>
      <c r="Z253" s="17"/>
    </row>
    <row r="254" spans="1:26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17"/>
      <c r="P254" s="36"/>
      <c r="Q254" s="17"/>
      <c r="R254" s="17"/>
      <c r="S254" s="17"/>
      <c r="T254" s="17"/>
      <c r="U254" s="11"/>
      <c r="V254" s="30"/>
      <c r="W254" s="36"/>
      <c r="X254" s="17"/>
      <c r="Y254" s="17"/>
      <c r="Z254" s="17"/>
    </row>
    <row r="255" spans="1:26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17"/>
      <c r="P255" s="36"/>
      <c r="Q255" s="17"/>
      <c r="R255" s="17"/>
      <c r="S255" s="17"/>
      <c r="T255" s="17"/>
      <c r="U255" s="11"/>
      <c r="V255" s="30"/>
      <c r="W255" s="36"/>
      <c r="X255" s="17"/>
      <c r="Y255" s="17"/>
      <c r="Z255" s="17"/>
    </row>
    <row r="256" spans="1:2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17"/>
      <c r="P256" s="36"/>
      <c r="Q256" s="17"/>
      <c r="R256" s="17"/>
      <c r="S256" s="17"/>
      <c r="T256" s="17"/>
      <c r="U256" s="11"/>
      <c r="V256" s="30"/>
      <c r="W256" s="36"/>
      <c r="X256" s="17"/>
      <c r="Y256" s="17"/>
      <c r="Z256" s="17"/>
    </row>
    <row r="257" spans="1:26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17"/>
      <c r="P257" s="17"/>
      <c r="Q257" s="17"/>
      <c r="R257" s="17"/>
      <c r="S257" s="17"/>
      <c r="T257" s="17"/>
      <c r="U257" s="11"/>
      <c r="V257" s="30"/>
      <c r="W257" s="36"/>
      <c r="X257" s="17"/>
      <c r="Y257" s="17"/>
      <c r="Z257" s="17"/>
    </row>
    <row r="258" spans="1:26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17"/>
      <c r="P258" s="17"/>
      <c r="Q258" s="17"/>
      <c r="R258" s="17"/>
      <c r="S258" s="17"/>
      <c r="T258" s="17"/>
      <c r="U258" s="11"/>
      <c r="V258" s="30"/>
      <c r="W258" s="36"/>
      <c r="X258" s="17"/>
      <c r="Y258" s="17"/>
      <c r="Z258" s="17"/>
    </row>
    <row r="259" spans="1:26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17"/>
      <c r="P259" s="17"/>
      <c r="Q259" s="17"/>
      <c r="R259" s="17"/>
      <c r="S259" s="17"/>
      <c r="T259" s="17"/>
      <c r="U259" s="17"/>
      <c r="V259" s="30"/>
      <c r="W259" s="36"/>
      <c r="X259" s="17"/>
      <c r="Y259" s="17"/>
      <c r="Z259" s="17"/>
    </row>
    <row r="260" spans="1:26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17"/>
      <c r="P260" s="17"/>
      <c r="Q260" s="17"/>
      <c r="R260" s="17"/>
      <c r="S260" s="17"/>
      <c r="T260" s="17"/>
      <c r="U260" s="17"/>
      <c r="V260" s="30"/>
      <c r="W260" s="36"/>
      <c r="X260" s="17"/>
      <c r="Y260" s="17"/>
      <c r="Z260" s="17"/>
    </row>
    <row r="261" spans="1:26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17"/>
      <c r="P261" s="17"/>
      <c r="Q261" s="17"/>
      <c r="R261" s="17"/>
      <c r="S261" s="17"/>
      <c r="T261" s="17"/>
      <c r="U261" s="17"/>
      <c r="V261" s="30"/>
      <c r="W261" s="36"/>
      <c r="X261" s="17"/>
      <c r="Y261" s="17"/>
      <c r="Z261" s="17"/>
    </row>
    <row r="262" spans="1:26">
      <c r="A262" s="20"/>
      <c r="B262" s="20"/>
      <c r="C262" s="20"/>
      <c r="D262" s="20"/>
      <c r="E262" s="20"/>
      <c r="H262" s="20"/>
      <c r="I262" s="20"/>
      <c r="J262" s="20"/>
      <c r="K262" s="20"/>
      <c r="L262" s="20"/>
      <c r="O262" s="17"/>
      <c r="P262" s="17"/>
      <c r="Q262" s="17"/>
      <c r="R262" s="17"/>
      <c r="S262" s="17"/>
      <c r="T262" s="17"/>
      <c r="U262" s="17"/>
      <c r="V262" s="30"/>
      <c r="W262" s="36"/>
      <c r="X262" s="17"/>
      <c r="Y262" s="17"/>
      <c r="Z262" s="17"/>
    </row>
    <row r="263" spans="1:26">
      <c r="A263" s="17"/>
      <c r="B263" s="20"/>
      <c r="C263" s="20"/>
      <c r="D263" s="20"/>
      <c r="E263" s="20"/>
      <c r="H263" s="17"/>
      <c r="I263" s="20"/>
      <c r="J263" s="20"/>
      <c r="K263" s="20"/>
      <c r="L263" s="20"/>
      <c r="O263" s="17"/>
      <c r="P263" s="17"/>
      <c r="Q263" s="17"/>
      <c r="R263" s="17"/>
      <c r="S263" s="17"/>
      <c r="T263" s="17"/>
      <c r="U263" s="17"/>
      <c r="V263" s="30"/>
      <c r="W263" s="36"/>
      <c r="X263" s="17"/>
      <c r="Y263" s="17"/>
      <c r="Z263" s="17"/>
    </row>
    <row r="264" spans="1:26">
      <c r="A264" s="20"/>
      <c r="B264" s="20"/>
      <c r="C264" s="20"/>
      <c r="D264" s="20"/>
      <c r="E264" s="20"/>
      <c r="F264" s="17"/>
      <c r="G264" s="17"/>
      <c r="H264" s="20"/>
      <c r="I264" s="20"/>
      <c r="J264" s="20"/>
      <c r="K264" s="20"/>
      <c r="L264" s="20"/>
      <c r="M264" s="17"/>
      <c r="N264" s="17"/>
      <c r="O264" s="17"/>
      <c r="P264" s="17"/>
      <c r="Q264" s="17"/>
      <c r="R264" s="17"/>
      <c r="S264" s="17"/>
      <c r="T264" s="17"/>
      <c r="U264" s="17"/>
      <c r="V264" s="30"/>
      <c r="W264" s="36"/>
      <c r="X264" s="17"/>
      <c r="Y264" s="17"/>
      <c r="Z264" s="17"/>
    </row>
    <row r="265" spans="1:26">
      <c r="A265" s="20"/>
      <c r="B265" s="17"/>
      <c r="C265" s="17"/>
      <c r="D265" s="17"/>
      <c r="E265" s="17"/>
      <c r="F265" s="17"/>
      <c r="G265" s="17"/>
      <c r="H265" s="20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30"/>
      <c r="W265" s="36"/>
      <c r="X265" s="17"/>
      <c r="Y265" s="17"/>
      <c r="Z265" s="17"/>
    </row>
    <row r="266" spans="1:26">
      <c r="A266" s="20"/>
      <c r="C266" s="11"/>
      <c r="D266" s="11"/>
      <c r="F266" s="11"/>
      <c r="G266" s="20"/>
      <c r="H266" s="20"/>
      <c r="J266" s="11"/>
      <c r="K266" s="11"/>
      <c r="M266" s="11"/>
      <c r="N266" s="20"/>
      <c r="O266" s="17"/>
      <c r="P266" s="17"/>
      <c r="Q266" s="17"/>
      <c r="R266" s="17"/>
      <c r="S266" s="17"/>
      <c r="T266" s="17"/>
      <c r="U266" s="17"/>
      <c r="V266" s="30"/>
      <c r="W266" s="36"/>
      <c r="X266" s="17"/>
      <c r="Y266" s="17"/>
      <c r="Z266" s="17"/>
    </row>
    <row r="267" spans="1:26">
      <c r="A267" s="20"/>
      <c r="B267" s="11"/>
      <c r="C267" s="11"/>
      <c r="D267" s="11"/>
      <c r="E267" s="11"/>
      <c r="F267" s="20"/>
      <c r="G267" s="20"/>
      <c r="H267" s="20"/>
      <c r="I267" s="11"/>
      <c r="J267" s="11"/>
      <c r="K267" s="11"/>
      <c r="L267" s="11"/>
      <c r="M267" s="20"/>
      <c r="N267" s="20"/>
      <c r="O267" s="17"/>
      <c r="P267" s="17"/>
      <c r="Q267" s="17"/>
      <c r="R267" s="17"/>
      <c r="S267" s="17"/>
      <c r="T267" s="17"/>
      <c r="U267" s="17"/>
      <c r="V267" s="30"/>
      <c r="W267" s="36"/>
      <c r="X267" s="17"/>
      <c r="Y267" s="17"/>
      <c r="Z267" s="17"/>
    </row>
    <row r="268" spans="1:26">
      <c r="A268" s="20"/>
      <c r="B268" s="11"/>
      <c r="C268" s="11"/>
      <c r="D268" s="11"/>
      <c r="E268" s="11"/>
      <c r="F268" s="11"/>
      <c r="G268" s="11"/>
      <c r="H268" s="20"/>
      <c r="I268" s="11"/>
      <c r="J268" s="11"/>
      <c r="K268" s="11"/>
      <c r="L268" s="11"/>
      <c r="M268" s="11"/>
      <c r="N268" s="11"/>
      <c r="O268" s="17"/>
      <c r="P268" s="17"/>
      <c r="Q268" s="17"/>
      <c r="R268" s="17"/>
      <c r="S268" s="17"/>
      <c r="T268" s="17"/>
      <c r="U268" s="17"/>
      <c r="V268" s="30"/>
      <c r="W268" s="36"/>
      <c r="X268" s="17"/>
      <c r="Y268" s="17"/>
      <c r="Z268" s="17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7"/>
      <c r="P269" s="17"/>
      <c r="Q269" s="17"/>
      <c r="R269" s="17"/>
      <c r="S269" s="17"/>
      <c r="T269" s="17"/>
      <c r="U269" s="17"/>
      <c r="V269" s="30"/>
      <c r="W269" s="36"/>
      <c r="X269" s="17"/>
      <c r="Y269" s="17"/>
      <c r="Z269" s="17"/>
    </row>
    <row r="270" spans="1:26">
      <c r="A270" s="11"/>
      <c r="B270" s="11"/>
      <c r="C270" s="11"/>
      <c r="D270" s="11"/>
      <c r="E270" s="11"/>
      <c r="F270" s="20"/>
      <c r="G270" s="11"/>
      <c r="H270" s="11"/>
      <c r="I270" s="11"/>
      <c r="J270" s="11"/>
      <c r="K270" s="11"/>
      <c r="L270" s="11"/>
      <c r="M270" s="20"/>
      <c r="N270" s="11"/>
      <c r="O270" s="17"/>
      <c r="P270" s="17"/>
      <c r="Q270" s="17"/>
      <c r="R270" s="17"/>
      <c r="S270" s="17"/>
      <c r="T270" s="17"/>
      <c r="U270" s="17"/>
      <c r="V270" s="30"/>
      <c r="W270" s="36"/>
      <c r="X270" s="17"/>
      <c r="Y270" s="17"/>
      <c r="Z270" s="17"/>
    </row>
    <row r="271" spans="1:26">
      <c r="A271" s="17"/>
      <c r="B271" s="11"/>
      <c r="C271" s="11"/>
      <c r="D271" s="11"/>
      <c r="E271" s="11"/>
      <c r="F271" s="20"/>
      <c r="G271" s="11"/>
      <c r="H271" s="17"/>
      <c r="I271" s="11"/>
      <c r="J271" s="11"/>
      <c r="K271" s="11"/>
      <c r="L271" s="11"/>
      <c r="M271" s="20"/>
      <c r="N271" s="11"/>
      <c r="O271" s="17"/>
      <c r="P271" s="17"/>
      <c r="Q271" s="17"/>
      <c r="R271" s="17"/>
      <c r="S271" s="17"/>
      <c r="T271" s="17"/>
      <c r="U271" s="17"/>
      <c r="V271" s="30"/>
      <c r="W271" s="36"/>
      <c r="X271" s="17"/>
      <c r="Y271" s="17"/>
      <c r="Z271" s="17"/>
    </row>
    <row r="272" spans="1:26">
      <c r="A272" s="17"/>
      <c r="B272" s="11"/>
      <c r="C272" s="11"/>
      <c r="D272" s="11"/>
      <c r="E272" s="11"/>
      <c r="F272" s="20"/>
      <c r="G272" s="11"/>
      <c r="H272" s="17"/>
      <c r="I272" s="11"/>
      <c r="J272" s="11"/>
      <c r="K272" s="11"/>
      <c r="L272" s="11"/>
      <c r="M272" s="20"/>
      <c r="N272" s="11"/>
      <c r="O272" s="17"/>
      <c r="P272" s="17"/>
      <c r="Q272" s="17"/>
      <c r="R272" s="17"/>
      <c r="S272" s="17"/>
      <c r="T272" s="17"/>
      <c r="U272" s="17"/>
      <c r="V272" s="30"/>
      <c r="W272" s="36"/>
      <c r="X272" s="17"/>
      <c r="Y272" s="17"/>
      <c r="Z272" s="17"/>
    </row>
    <row r="273" spans="1:2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30"/>
      <c r="W273" s="36"/>
      <c r="X273" s="17"/>
      <c r="Y273" s="17"/>
      <c r="Z273" s="17"/>
    </row>
    <row r="274" spans="1:26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17"/>
      <c r="P274" s="17"/>
      <c r="Q274" s="17"/>
      <c r="R274" s="17"/>
      <c r="S274" s="17"/>
      <c r="T274" s="17"/>
      <c r="U274" s="17"/>
      <c r="V274" s="30"/>
      <c r="W274" s="36"/>
      <c r="X274" s="17"/>
      <c r="Y274" s="17"/>
      <c r="Z274" s="17"/>
    </row>
    <row r="275" spans="1:26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17"/>
      <c r="P275" s="17"/>
      <c r="Q275" s="17"/>
      <c r="R275" s="17"/>
      <c r="S275" s="17"/>
      <c r="T275" s="17"/>
      <c r="U275" s="17"/>
      <c r="V275" s="30"/>
      <c r="W275" s="36"/>
      <c r="X275" s="17"/>
      <c r="Y275" s="17"/>
      <c r="Z275" s="17"/>
    </row>
    <row r="276" spans="1:2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17"/>
      <c r="P276" s="17"/>
      <c r="Q276" s="17"/>
      <c r="R276" s="17"/>
      <c r="S276" s="17"/>
      <c r="T276" s="17"/>
      <c r="U276" s="17"/>
      <c r="V276" s="30"/>
      <c r="W276" s="36"/>
      <c r="X276" s="17"/>
      <c r="Y276" s="17"/>
      <c r="Z276" s="17"/>
    </row>
    <row r="277" spans="1:26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17"/>
      <c r="P277" s="17"/>
      <c r="Q277" s="17"/>
      <c r="R277" s="17"/>
      <c r="S277" s="17"/>
      <c r="T277" s="17"/>
      <c r="U277" s="17"/>
      <c r="V277" s="30"/>
      <c r="W277" s="36"/>
      <c r="X277" s="17"/>
      <c r="Y277" s="17"/>
      <c r="Z277" s="17"/>
    </row>
    <row r="278" spans="1:26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17"/>
      <c r="P278" s="17"/>
      <c r="Q278" s="17"/>
      <c r="R278" s="17"/>
      <c r="S278" s="17"/>
      <c r="T278" s="17"/>
      <c r="U278" s="17"/>
      <c r="V278" s="30"/>
      <c r="W278" s="36"/>
      <c r="X278" s="17"/>
      <c r="Y278" s="17"/>
      <c r="Z278" s="17"/>
    </row>
    <row r="279" spans="1:26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17"/>
      <c r="P279" s="17"/>
      <c r="Q279" s="17"/>
      <c r="R279" s="17"/>
      <c r="S279" s="17"/>
      <c r="T279" s="17"/>
      <c r="U279" s="17"/>
      <c r="V279" s="30"/>
      <c r="W279" s="36"/>
      <c r="X279" s="17"/>
      <c r="Y279" s="17"/>
      <c r="Z279" s="17"/>
    </row>
    <row r="280" spans="1:26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17"/>
      <c r="P280" s="17"/>
      <c r="Q280" s="17"/>
      <c r="R280" s="17"/>
      <c r="S280" s="17"/>
      <c r="T280" s="17"/>
      <c r="U280" s="17"/>
      <c r="V280" s="30"/>
      <c r="W280" s="36"/>
      <c r="X280" s="17"/>
      <c r="Y280" s="17"/>
      <c r="Z280" s="17"/>
    </row>
    <row r="281" spans="1:26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17"/>
      <c r="P281" s="17"/>
      <c r="Q281" s="17"/>
      <c r="R281" s="17"/>
      <c r="S281" s="17"/>
      <c r="T281" s="17"/>
      <c r="U281" s="17"/>
      <c r="V281" s="30"/>
      <c r="W281" s="36"/>
      <c r="X281" s="17"/>
      <c r="Y281" s="17"/>
      <c r="Z281" s="17"/>
    </row>
    <row r="282" spans="1:26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17"/>
      <c r="P282" s="17"/>
      <c r="Q282" s="17"/>
      <c r="R282" s="17"/>
      <c r="S282" s="17"/>
      <c r="T282" s="17"/>
      <c r="U282" s="17"/>
      <c r="V282" s="30"/>
      <c r="W282" s="36"/>
      <c r="X282" s="17"/>
      <c r="Y282" s="17"/>
      <c r="Z282" s="17"/>
    </row>
    <row r="283" spans="1:26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17"/>
      <c r="P283" s="17"/>
      <c r="Q283" s="17"/>
      <c r="R283" s="17"/>
      <c r="S283" s="17"/>
      <c r="T283" s="17"/>
      <c r="U283" s="17"/>
      <c r="V283" s="30"/>
      <c r="W283" s="36"/>
      <c r="X283" s="17"/>
      <c r="Y283" s="17"/>
      <c r="Z283" s="17"/>
    </row>
    <row r="284" spans="1:26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U284" s="17"/>
      <c r="V284" s="30"/>
      <c r="W284" s="36"/>
      <c r="X284" s="17"/>
      <c r="Y284" s="17"/>
      <c r="Z284" s="17"/>
    </row>
    <row r="285" spans="1:26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U285" s="17"/>
      <c r="V285" s="30"/>
      <c r="W285" s="36"/>
      <c r="X285" s="17"/>
      <c r="Y285" s="17"/>
      <c r="Z285" s="17"/>
    </row>
    <row r="286" spans="1:2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U286" s="17"/>
      <c r="V286" s="30"/>
      <c r="W286" s="36"/>
      <c r="X286" s="17"/>
      <c r="Y286" s="17"/>
      <c r="Z286" s="17"/>
    </row>
    <row r="287" spans="1:26">
      <c r="A287" s="20"/>
      <c r="B287" s="20"/>
      <c r="C287" s="20"/>
      <c r="D287" s="20"/>
      <c r="E287" s="20"/>
      <c r="F287" s="11"/>
      <c r="H287" s="20"/>
      <c r="I287" s="20"/>
      <c r="J287" s="20"/>
      <c r="K287" s="20"/>
      <c r="L287" s="20"/>
      <c r="M287" s="11"/>
      <c r="U287" s="17"/>
      <c r="V287" s="30"/>
      <c r="W287" s="36"/>
      <c r="X287" s="17"/>
      <c r="Y287" s="17"/>
      <c r="Z287" s="17"/>
    </row>
    <row r="288" spans="1:26">
      <c r="A288" s="20"/>
      <c r="B288" s="20"/>
      <c r="C288" s="20"/>
      <c r="D288" s="20"/>
      <c r="E288" s="20"/>
      <c r="G288" s="11"/>
      <c r="H288" s="20"/>
      <c r="I288" s="20"/>
      <c r="J288" s="20"/>
      <c r="K288" s="20"/>
      <c r="L288" s="20"/>
      <c r="N288" s="11"/>
      <c r="U288" s="17"/>
      <c r="V288" s="30"/>
      <c r="W288" s="36"/>
      <c r="X288" s="17"/>
      <c r="Y288" s="17"/>
      <c r="Z288" s="17"/>
    </row>
    <row r="289" spans="1:26">
      <c r="A289" s="20"/>
      <c r="B289" s="20"/>
      <c r="C289" s="20"/>
      <c r="D289" s="20"/>
      <c r="E289" s="20"/>
      <c r="F289" s="11"/>
      <c r="G289" s="11"/>
      <c r="H289" s="20"/>
      <c r="I289" s="20"/>
      <c r="J289" s="20"/>
      <c r="K289" s="20"/>
      <c r="L289" s="20"/>
      <c r="M289" s="11"/>
      <c r="N289" s="11"/>
      <c r="U289" s="17"/>
      <c r="V289" s="30"/>
      <c r="W289" s="36"/>
      <c r="X289" s="17"/>
      <c r="Y289" s="17"/>
      <c r="Z289" s="17"/>
    </row>
    <row r="290" spans="1:26">
      <c r="A290" s="20"/>
      <c r="B290" s="20"/>
      <c r="C290" s="20"/>
      <c r="D290" s="20"/>
      <c r="E290" s="20"/>
      <c r="F290" s="17"/>
      <c r="G290" s="17"/>
      <c r="H290" s="20"/>
      <c r="I290" s="20"/>
      <c r="J290" s="20"/>
      <c r="K290" s="20"/>
      <c r="L290" s="20"/>
      <c r="M290" s="17"/>
      <c r="N290" s="17"/>
      <c r="U290" s="17"/>
      <c r="V290" s="30"/>
      <c r="W290" s="36"/>
      <c r="X290" s="17"/>
      <c r="Y290" s="17"/>
      <c r="Z290" s="17"/>
    </row>
    <row r="291" spans="1:26">
      <c r="A291" s="20"/>
      <c r="C291" s="11"/>
      <c r="D291" s="11"/>
      <c r="F291" s="11"/>
      <c r="G291" s="11"/>
      <c r="H291" s="20"/>
      <c r="J291" s="11"/>
      <c r="K291" s="11"/>
      <c r="M291" s="11"/>
      <c r="N291" s="11"/>
      <c r="U291" s="17"/>
      <c r="V291" s="30"/>
      <c r="W291" s="36"/>
      <c r="X291" s="17"/>
      <c r="Y291" s="17"/>
      <c r="Z291" s="17"/>
    </row>
    <row r="292" spans="1:26">
      <c r="A292" s="20"/>
      <c r="B292" s="11"/>
      <c r="C292" s="11"/>
      <c r="D292" s="11"/>
      <c r="E292" s="11"/>
      <c r="F292" s="17"/>
      <c r="G292" s="11"/>
      <c r="H292" s="20"/>
      <c r="I292" s="11"/>
      <c r="J292" s="11"/>
      <c r="K292" s="11"/>
      <c r="L292" s="11"/>
      <c r="M292" s="17"/>
      <c r="N292" s="11"/>
      <c r="U292" s="17"/>
      <c r="V292" s="30"/>
      <c r="W292" s="36"/>
      <c r="X292" s="17"/>
      <c r="Y292" s="17"/>
      <c r="Z292" s="17"/>
    </row>
    <row r="293" spans="1:14">
      <c r="A293" s="20"/>
      <c r="B293" s="11"/>
      <c r="C293" s="11"/>
      <c r="D293" s="11"/>
      <c r="E293" s="11"/>
      <c r="F293" s="11"/>
      <c r="G293" s="11"/>
      <c r="H293" s="20"/>
      <c r="I293" s="11"/>
      <c r="J293" s="11"/>
      <c r="K293" s="11"/>
      <c r="L293" s="11"/>
      <c r="M293" s="11"/>
      <c r="N293" s="11"/>
    </row>
    <row r="294" spans="1:14">
      <c r="A294" s="20"/>
      <c r="B294" s="11"/>
      <c r="C294" s="11"/>
      <c r="D294" s="11"/>
      <c r="E294" s="11"/>
      <c r="F294" s="11"/>
      <c r="G294" s="11"/>
      <c r="H294" s="20"/>
      <c r="I294" s="11"/>
      <c r="J294" s="11"/>
      <c r="K294" s="11"/>
      <c r="L294" s="11"/>
      <c r="M294" s="11"/>
      <c r="N294" s="11"/>
    </row>
    <row r="295" spans="1:14">
      <c r="A295" s="20"/>
      <c r="B295" s="11"/>
      <c r="C295" s="11"/>
      <c r="D295" s="11"/>
      <c r="E295" s="11"/>
      <c r="F295" s="20"/>
      <c r="G295" s="11"/>
      <c r="H295" s="20"/>
      <c r="I295" s="11"/>
      <c r="J295" s="11"/>
      <c r="K295" s="11"/>
      <c r="L295" s="11"/>
      <c r="M295" s="20"/>
      <c r="N295" s="11"/>
    </row>
    <row r="296" spans="1:14">
      <c r="A296" s="20"/>
      <c r="B296" s="11"/>
      <c r="C296" s="11"/>
      <c r="D296" s="11"/>
      <c r="E296" s="11"/>
      <c r="F296" s="20"/>
      <c r="G296" s="11"/>
      <c r="H296" s="20"/>
      <c r="I296" s="11"/>
      <c r="J296" s="11"/>
      <c r="K296" s="11"/>
      <c r="L296" s="11"/>
      <c r="M296" s="20"/>
      <c r="N296" s="11"/>
    </row>
    <row r="297" spans="1:14">
      <c r="A297" s="20"/>
      <c r="B297" s="11"/>
      <c r="C297" s="11"/>
      <c r="D297" s="11"/>
      <c r="E297" s="11"/>
      <c r="F297" s="20"/>
      <c r="G297" s="11"/>
      <c r="H297" s="20"/>
      <c r="I297" s="11"/>
      <c r="J297" s="11"/>
      <c r="K297" s="11"/>
      <c r="L297" s="11"/>
      <c r="M297" s="20"/>
      <c r="N297" s="1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4"/>
  <sheetViews>
    <sheetView topLeftCell="A34" workbookViewId="0">
      <selection activeCell="V61" sqref="V61"/>
    </sheetView>
  </sheetViews>
  <sheetFormatPr defaultColWidth="7.625" defaultRowHeight="15"/>
  <cols>
    <col min="1" max="21" width="8.625" style="17" customWidth="1"/>
    <col min="22" max="22" width="8.625" style="30" customWidth="1"/>
    <col min="23" max="23" width="8.625" style="36" customWidth="1"/>
    <col min="24" max="28" width="8.625" style="17" customWidth="1"/>
    <col min="29" max="29" width="7.625" style="17"/>
    <col min="30" max="16384" width="7.625" style="14"/>
  </cols>
  <sheetData>
    <row r="1" customHeight="1" spans="1:26">
      <c r="A1" s="11" t="str">
        <f>木桩!A1</f>
        <v>技能</v>
      </c>
      <c r="B1" s="11" t="str">
        <f>木桩!B1</f>
        <v>怒气</v>
      </c>
      <c r="C1" s="11" t="str">
        <f>木桩!C1</f>
        <v>实际系数</v>
      </c>
      <c r="D1" s="11" t="str">
        <f>木桩!D1</f>
        <v>基础伤害</v>
      </c>
      <c r="E1" s="11" t="str">
        <f>木桩!E1</f>
        <v>武伤系数</v>
      </c>
      <c r="F1" s="11" t="str">
        <f>木桩!F1</f>
        <v>伤害加成</v>
      </c>
      <c r="G1" s="11" t="str">
        <f>木桩!G1</f>
        <v>会心加成</v>
      </c>
      <c r="H1" s="11" t="str">
        <f>木桩!H1</f>
        <v>会效加成</v>
      </c>
      <c r="I1" s="11" t="s">
        <v>278</v>
      </c>
      <c r="J1" s="11" t="s">
        <v>26</v>
      </c>
      <c r="K1" s="11" t="s">
        <v>279</v>
      </c>
      <c r="L1" s="11" t="s">
        <v>36</v>
      </c>
      <c r="M1" s="11" t="s">
        <v>205</v>
      </c>
      <c r="N1" s="11" t="s">
        <v>15</v>
      </c>
      <c r="O1" s="11" t="s">
        <v>16</v>
      </c>
      <c r="P1" s="7" t="s">
        <v>280</v>
      </c>
      <c r="Q1" s="11" t="s">
        <v>75</v>
      </c>
      <c r="R1" s="11" t="s">
        <v>212</v>
      </c>
      <c r="S1" s="11" t="s">
        <v>213</v>
      </c>
      <c r="T1" s="20" t="s">
        <v>281</v>
      </c>
      <c r="U1" s="37" t="str">
        <f t="shared" ref="U1:U17" si="0">Y1</f>
        <v>实战属性</v>
      </c>
      <c r="V1" s="20"/>
      <c r="W1" s="41" t="str">
        <f>属性!H5</f>
        <v>裸buff属性</v>
      </c>
      <c r="X1" s="46"/>
      <c r="Y1" s="41" t="s">
        <v>197</v>
      </c>
      <c r="Z1" s="46"/>
    </row>
    <row r="2" customHeight="1" spans="1:27">
      <c r="A2" s="12" t="str">
        <f>木桩!A2</f>
        <v>昆吾·弦刃</v>
      </c>
      <c r="B2" s="11">
        <f>木桩!B2</f>
        <v>0</v>
      </c>
      <c r="C2" s="11">
        <f>木桩!C2</f>
        <v>0.854</v>
      </c>
      <c r="D2" s="11">
        <f>木桩!D2</f>
        <v>0</v>
      </c>
      <c r="E2" s="13">
        <f>木桩!E2</f>
        <v>0</v>
      </c>
      <c r="F2" s="13">
        <f ca="1">木桩!F2+Q$23</f>
        <v>0.0101333333333333</v>
      </c>
      <c r="G2" s="13">
        <f>木桩!G2</f>
        <v>0</v>
      </c>
      <c r="H2" s="13">
        <f>木桩!H2</f>
        <v>0</v>
      </c>
      <c r="I2" s="21">
        <f ca="1">(N:N*C:C+D:D+E:E*Q:Q)*(1+F:F)*(K:K*(L:L+H:H-1)+1-R:R-0.75*S:S)*(1+M:M)*INDEX($O$25:$O$29,MATCH($Q$27,$M$25:$M$29,))</f>
        <v>41934.4893782447</v>
      </c>
      <c r="J2" s="13">
        <f ca="1" t="shared" ref="J2:J18" si="1">INDEX(V:V,MATCH($1:$1,$U:$U,))+$G:$G</f>
        <v>0.433665199880085</v>
      </c>
      <c r="K2" s="15">
        <f ca="1" t="shared" ref="K2:K8" si="2">J:J+(0.211855500496661*J:J^6-0.937563819411654*J:J^5+1.77483619127542*J:J^4-1.89647323402313*J:J^3+1.2737744963305*J:J^2-0.565275505039552*J:J+0.164596522595162)*$D$28</f>
        <v>0.487805126715561</v>
      </c>
      <c r="L2" s="13">
        <f ca="1">INDEX(V2:V17,MATCH(1:1,U2:U17,))</f>
        <v>1.9433</v>
      </c>
      <c r="M2" s="13">
        <f ca="1">INDEX(V2:V17,MATCH(1:1,U2:U17,))</f>
        <v>0.902992590034019</v>
      </c>
      <c r="N2" s="21">
        <f ca="1">INDEX(V2:V17,MATCH(1:1,U2:U17,))+O:O*P:P</f>
        <v>17965.8209384615</v>
      </c>
      <c r="O2" s="21">
        <f ca="1">INDEX(V2:V17,MATCH(1:1,U2:U17,))</f>
        <v>7522.72307692308</v>
      </c>
      <c r="P2" s="40">
        <f t="shared" ref="P2:P8" si="3">60%+D$32*0.2*6/25+60%*(25+6*D$32)*(1+H$28)/H$27</f>
        <v>0.772</v>
      </c>
      <c r="Q2" s="21">
        <f ca="1">INDEX(V2:V17,MATCH(1:1,U2:U17,))</f>
        <v>751</v>
      </c>
      <c r="R2" s="13">
        <f ca="1">INDEX(V2:V17,MATCH(1:1,U2:U17,))</f>
        <v>0</v>
      </c>
      <c r="S2" s="13">
        <f ca="1">INDEX(V2:V17,MATCH(1:1,U2:U17,))</f>
        <v>0</v>
      </c>
      <c r="T2" s="20">
        <f>45</f>
        <v>45</v>
      </c>
      <c r="U2" s="20" t="str">
        <f t="shared" si="0"/>
        <v>身法</v>
      </c>
      <c r="V2" s="20">
        <f ca="1" t="shared" ref="V2:V17" si="4">Z2</f>
        <v>1970.1</v>
      </c>
      <c r="W2" s="17" t="str">
        <f>属性!H6</f>
        <v>身法</v>
      </c>
      <c r="X2" s="17">
        <f>属性!I6</f>
        <v>1749</v>
      </c>
      <c r="Y2" s="17" t="s">
        <v>6</v>
      </c>
      <c r="Z2" s="17">
        <f ca="1">Z3*(1+G23)</f>
        <v>1970.1</v>
      </c>
      <c r="AA2" s="23"/>
    </row>
    <row r="3" customHeight="1" spans="1:27">
      <c r="A3" s="12" t="str">
        <f>木桩!A3</f>
        <v>昆吾·折锋</v>
      </c>
      <c r="B3" s="11">
        <f>木桩!B3</f>
        <v>0</v>
      </c>
      <c r="C3" s="14">
        <f>木桩!C3</f>
        <v>0.338</v>
      </c>
      <c r="D3" s="11">
        <f>木桩!D3</f>
        <v>0</v>
      </c>
      <c r="E3" s="13">
        <f>木桩!E3</f>
        <v>0</v>
      </c>
      <c r="F3" s="13">
        <f ca="1">木桩!F3+Q$23</f>
        <v>0.0101333333333333</v>
      </c>
      <c r="G3" s="13">
        <f>木桩!G3</f>
        <v>0</v>
      </c>
      <c r="H3" s="13">
        <f>木桩!H3</f>
        <v>0</v>
      </c>
      <c r="I3" s="21">
        <f ca="1" t="shared" ref="I3:I18" si="5">(N:N*C:C+D:D+E:E*Q:Q)*(1+F:F)*(K:K*(L:L+H:H-1)+1-R:R-0.75*S:S)*(1+M:M)*INDEX($O$25:$O$29,MATCH($Q$27,$M$25:$M$29,))</f>
        <v>16597.0227281578</v>
      </c>
      <c r="J3" s="13">
        <f ca="1" t="shared" si="1"/>
        <v>0.433665199880085</v>
      </c>
      <c r="K3" s="15">
        <f ca="1" t="shared" si="2"/>
        <v>0.487805126715561</v>
      </c>
      <c r="L3" s="13">
        <f ca="1">INDEX(V2:V17,MATCH(1:1,U2:U17,))</f>
        <v>1.9433</v>
      </c>
      <c r="M3" s="13">
        <f ca="1">INDEX(V2:V17,MATCH(1:1,U2:U17,))</f>
        <v>0.902992590034019</v>
      </c>
      <c r="N3" s="21">
        <f ca="1">INDEX(V2:V17,MATCH(1:1,U2:U17,))+O:O*P:P</f>
        <v>17965.8209384615</v>
      </c>
      <c r="O3" s="21">
        <f ca="1">INDEX(V2:V17,MATCH(1:1,U2:U17,))</f>
        <v>7522.72307692308</v>
      </c>
      <c r="P3" s="40">
        <f t="shared" si="3"/>
        <v>0.772</v>
      </c>
      <c r="Q3" s="21">
        <f ca="1">INDEX(V2:V17,MATCH(1:1,U2:U17,))</f>
        <v>751</v>
      </c>
      <c r="R3" s="13">
        <f ca="1">INDEX(V2:V17,MATCH(1:1,U2:U17,))</f>
        <v>0</v>
      </c>
      <c r="S3" s="13">
        <f ca="1">INDEX(V2:V17,MATCH(1:1,U2:U17,))</f>
        <v>0</v>
      </c>
      <c r="T3" s="20">
        <f>20</f>
        <v>20</v>
      </c>
      <c r="U3" s="20" t="str">
        <f t="shared" si="0"/>
        <v>基础身法</v>
      </c>
      <c r="V3" s="20">
        <f ca="1" t="shared" si="4"/>
        <v>1791</v>
      </c>
      <c r="W3" s="17" t="str">
        <f>属性!H7</f>
        <v>基础身法</v>
      </c>
      <c r="X3" s="17">
        <f>属性!I7</f>
        <v>1590</v>
      </c>
      <c r="Y3" s="17" t="s">
        <v>201</v>
      </c>
      <c r="Z3" s="17">
        <f ca="1">X3+G21</f>
        <v>1791</v>
      </c>
      <c r="AA3" s="23"/>
    </row>
    <row r="4" customHeight="1" spans="1:27">
      <c r="A4" s="12" t="str">
        <f>木桩!A4</f>
        <v>盾刀1</v>
      </c>
      <c r="B4" s="11">
        <f>木桩!B4</f>
        <v>5</v>
      </c>
      <c r="C4" s="11">
        <f>木桩!C4</f>
        <v>0.656</v>
      </c>
      <c r="D4" s="11">
        <f>木桩!D4</f>
        <v>137.5</v>
      </c>
      <c r="E4" s="13">
        <f>木桩!E4</f>
        <v>1</v>
      </c>
      <c r="F4" s="13">
        <f ca="1">木桩!F4+Q$23</f>
        <v>0.130133333333333</v>
      </c>
      <c r="G4" s="13">
        <f>木桩!G4</f>
        <v>0</v>
      </c>
      <c r="H4" s="13">
        <f>木桩!H4</f>
        <v>0</v>
      </c>
      <c r="I4" s="21">
        <f ca="1" t="shared" si="5"/>
        <v>38755.5404518177</v>
      </c>
      <c r="J4" s="13">
        <f ca="1" t="shared" si="1"/>
        <v>0.433665199880085</v>
      </c>
      <c r="K4" s="15">
        <f ca="1" t="shared" si="2"/>
        <v>0.487805126715561</v>
      </c>
      <c r="L4" s="13">
        <f ca="1">INDEX(V2:V17,MATCH(1:1,U2:U17,))</f>
        <v>1.9433</v>
      </c>
      <c r="M4" s="13">
        <f ca="1">INDEX(V2:V17,MATCH(1:1,U2:U17,))</f>
        <v>0.902992590034019</v>
      </c>
      <c r="N4" s="21">
        <f ca="1">INDEX(V2:V17,MATCH(1:1,U2:U17,))+O:O*P:P</f>
        <v>17965.8209384615</v>
      </c>
      <c r="O4" s="21">
        <f ca="1">INDEX(V2:V17,MATCH(1:1,U2:U17,))</f>
        <v>7522.72307692308</v>
      </c>
      <c r="P4" s="40">
        <f t="shared" si="3"/>
        <v>0.772</v>
      </c>
      <c r="Q4" s="21">
        <f ca="1">INDEX(V2:V17,MATCH(1:1,U2:U17,))</f>
        <v>751</v>
      </c>
      <c r="R4" s="13">
        <f ca="1">INDEX(V2:V17,MATCH(1:1,U2:U17,))</f>
        <v>0</v>
      </c>
      <c r="S4" s="13">
        <f ca="1">INDEX(V2:V17,MATCH(1:1,U2:U17,))</f>
        <v>0</v>
      </c>
      <c r="T4" s="20">
        <f ca="1">1-Q25/16</f>
        <v>0.9375</v>
      </c>
      <c r="U4" s="20" t="str">
        <f t="shared" si="0"/>
        <v>力道</v>
      </c>
      <c r="V4" s="20">
        <f ca="1" t="shared" si="4"/>
        <v>84</v>
      </c>
      <c r="W4" s="17" t="str">
        <f>属性!H8</f>
        <v>力道</v>
      </c>
      <c r="X4" s="17">
        <f>属性!I8</f>
        <v>32</v>
      </c>
      <c r="Y4" s="17" t="s">
        <v>191</v>
      </c>
      <c r="Z4" s="17">
        <f ca="1">(X4+H21)*(1+H23)</f>
        <v>84</v>
      </c>
      <c r="AA4" s="23"/>
    </row>
    <row r="5" customHeight="1" spans="1:27">
      <c r="A5" s="12" t="str">
        <f>木桩!A5</f>
        <v>废弃栏</v>
      </c>
      <c r="B5" s="11">
        <f>木桩!B5</f>
        <v>5</v>
      </c>
      <c r="C5" s="11">
        <f>木桩!C5</f>
        <v>0.9375</v>
      </c>
      <c r="D5" s="11">
        <f>木桩!D5</f>
        <v>137.5</v>
      </c>
      <c r="E5" s="13">
        <f>木桩!E5</f>
        <v>1</v>
      </c>
      <c r="F5" s="13">
        <f ca="1">木桩!F5+Q$23</f>
        <v>0.130133333333333</v>
      </c>
      <c r="G5" s="13">
        <f>木桩!G5</f>
        <v>0</v>
      </c>
      <c r="H5" s="13">
        <f>木桩!H5</f>
        <v>0</v>
      </c>
      <c r="I5" s="21">
        <f ca="1" t="shared" si="5"/>
        <v>54220.2892409119</v>
      </c>
      <c r="J5" s="13">
        <f ca="1" t="shared" si="1"/>
        <v>0.433665199880085</v>
      </c>
      <c r="K5" s="15">
        <f ca="1" t="shared" si="2"/>
        <v>0.487805126715561</v>
      </c>
      <c r="L5" s="13">
        <f ca="1">INDEX(V2:V17,MATCH(1:1,U2:U17,))</f>
        <v>1.9433</v>
      </c>
      <c r="M5" s="13">
        <f ca="1">INDEX(V2:V17,MATCH(1:1,U2:U17,))</f>
        <v>0.902992590034019</v>
      </c>
      <c r="N5" s="21">
        <f ca="1">INDEX(V2:V17,MATCH(1:1,U2:U17,))+O:O*P:P</f>
        <v>17965.8209384615</v>
      </c>
      <c r="O5" s="21">
        <f ca="1">INDEX(V2:V17,MATCH(1:1,U2:U17,))</f>
        <v>7522.72307692308</v>
      </c>
      <c r="P5" s="40">
        <f t="shared" si="3"/>
        <v>0.772</v>
      </c>
      <c r="Q5" s="21">
        <f ca="1">INDEX(V2:V17,MATCH(1:1,U2:U17,))</f>
        <v>751</v>
      </c>
      <c r="R5" s="13">
        <f ca="1">INDEX(V2:V17,MATCH(1:1,U2:U17,))</f>
        <v>0</v>
      </c>
      <c r="S5" s="13">
        <f ca="1">INDEX(V2:V17,MATCH(1:1,U2:U17,))</f>
        <v>0</v>
      </c>
      <c r="T5" s="20">
        <f ca="1">1-Q26/16</f>
        <v>0.875</v>
      </c>
      <c r="U5" s="20" t="str">
        <f t="shared" si="0"/>
        <v>面板攻击</v>
      </c>
      <c r="V5" s="20">
        <f ca="1" t="shared" si="4"/>
        <v>12158.2787230769</v>
      </c>
      <c r="W5" s="17" t="str">
        <f>属性!H9</f>
        <v>面板攻击</v>
      </c>
      <c r="X5" s="17">
        <f>属性!I9</f>
        <v>12484</v>
      </c>
      <c r="Y5" s="17" t="s">
        <v>15</v>
      </c>
      <c r="Z5" s="17">
        <f ca="1">Z6*(1+I23)+Z2*L26</f>
        <v>12158.2787230769</v>
      </c>
      <c r="AA5" s="23"/>
    </row>
    <row r="6" customHeight="1" spans="1:27">
      <c r="A6" s="12" t="str">
        <f>木桩!A6</f>
        <v>盾击</v>
      </c>
      <c r="B6" s="11">
        <f>木桩!B6</f>
        <v>5</v>
      </c>
      <c r="C6" s="11">
        <f>木桩!C6</f>
        <v>0.625</v>
      </c>
      <c r="D6" s="11">
        <f>木桩!D6</f>
        <v>109</v>
      </c>
      <c r="E6" s="13">
        <f>木桩!E6</f>
        <v>1</v>
      </c>
      <c r="F6" s="13">
        <f ca="1">木桩!F6+Q$23</f>
        <v>0.0101333333333333</v>
      </c>
      <c r="G6" s="13">
        <f>木桩!G6</f>
        <v>0</v>
      </c>
      <c r="H6" s="13">
        <f>木桩!H6</f>
        <v>0</v>
      </c>
      <c r="I6" s="21">
        <f ca="1" t="shared" si="5"/>
        <v>33040.2859519281</v>
      </c>
      <c r="J6" s="13">
        <f ca="1" t="shared" si="1"/>
        <v>0.433665199880085</v>
      </c>
      <c r="K6" s="15">
        <f ca="1" t="shared" si="2"/>
        <v>0.487805126715561</v>
      </c>
      <c r="L6" s="13">
        <f ca="1">INDEX(V2:V17,MATCH(1:1,U2:U17,))</f>
        <v>1.9433</v>
      </c>
      <c r="M6" s="13">
        <f ca="1">INDEX(V2:V17,MATCH(1:1,U2:U17,))</f>
        <v>0.902992590034019</v>
      </c>
      <c r="N6" s="21">
        <f ca="1">INDEX(V2:V17,MATCH(1:1,U2:U17,))+O:O*P:P</f>
        <v>17965.8209384615</v>
      </c>
      <c r="O6" s="21">
        <f ca="1">INDEX(V2:V17,MATCH(1:1,U2:U17,))</f>
        <v>7522.72307692308</v>
      </c>
      <c r="P6" s="40">
        <f t="shared" si="3"/>
        <v>0.772</v>
      </c>
      <c r="Q6" s="21">
        <f ca="1">INDEX(V2:V17,MATCH(1:1,U2:U17,))</f>
        <v>751</v>
      </c>
      <c r="R6" s="13">
        <f ca="1">INDEX(V2:V17,MATCH(1:1,U2:U17,))</f>
        <v>0</v>
      </c>
      <c r="S6" s="13">
        <f ca="1">INDEX(V2:V17,MATCH(1:1,U2:U17,))</f>
        <v>0</v>
      </c>
      <c r="T6" s="20">
        <f ca="1">1-Q25/16</f>
        <v>0.9375</v>
      </c>
      <c r="U6" s="20" t="str">
        <f t="shared" si="0"/>
        <v>基础攻击</v>
      </c>
      <c r="V6" s="20">
        <f ca="1" t="shared" si="4"/>
        <v>7522.72307692308</v>
      </c>
      <c r="W6" s="17" t="str">
        <f>属性!H10</f>
        <v>基础攻击</v>
      </c>
      <c r="X6" s="17">
        <f>属性!I10</f>
        <v>7315.92307692308</v>
      </c>
      <c r="Y6" s="17" t="s">
        <v>16</v>
      </c>
      <c r="Z6" s="17">
        <f ca="1">X6+I21+L28*(Z4-X4)</f>
        <v>7522.72307692308</v>
      </c>
      <c r="AA6" s="23"/>
    </row>
    <row r="7" customHeight="1" spans="1:27">
      <c r="A7" s="12" t="str">
        <f>木桩!A7</f>
        <v>盾压</v>
      </c>
      <c r="B7" s="11">
        <f>木桩!B7</f>
        <v>15</v>
      </c>
      <c r="C7" s="11">
        <f>木桩!C7</f>
        <v>1.243</v>
      </c>
      <c r="D7" s="11">
        <f>木桩!D7</f>
        <v>211</v>
      </c>
      <c r="E7" s="13">
        <f>木桩!E7</f>
        <v>1</v>
      </c>
      <c r="F7" s="13">
        <f ca="1">木桩!F7+Q$23</f>
        <v>0.200133333333333</v>
      </c>
      <c r="G7" s="13">
        <f>木桩!G7</f>
        <v>0.07</v>
      </c>
      <c r="H7" s="13">
        <f>木桩!H7</f>
        <v>0</v>
      </c>
      <c r="I7" s="21">
        <f ca="1" t="shared" si="5"/>
        <v>78760.2817622488</v>
      </c>
      <c r="J7" s="13">
        <f ca="1" t="shared" si="1"/>
        <v>0.503665199880085</v>
      </c>
      <c r="K7" s="15">
        <f ca="1" t="shared" si="2"/>
        <v>0.551656521857724</v>
      </c>
      <c r="L7" s="13">
        <f ca="1">INDEX(V2:V17,MATCH(1:1,U2:U17,))</f>
        <v>1.9433</v>
      </c>
      <c r="M7" s="13">
        <f ca="1">INDEX(V2:V17,MATCH(1:1,U2:U17,))</f>
        <v>0.902992590034019</v>
      </c>
      <c r="N7" s="21">
        <f ca="1">INDEX(V2:V17,MATCH(1:1,U2:U17,))+O:O*P:P</f>
        <v>17965.8209384615</v>
      </c>
      <c r="O7" s="21">
        <f ca="1">INDEX(V2:V17,MATCH(1:1,U2:U17,))</f>
        <v>7522.72307692308</v>
      </c>
      <c r="P7" s="40">
        <f t="shared" si="3"/>
        <v>0.772</v>
      </c>
      <c r="Q7" s="21">
        <f ca="1">INDEX(V2:V17,MATCH(1:1,U2:U17,))</f>
        <v>751</v>
      </c>
      <c r="R7" s="13">
        <f ca="1">INDEX(V2:V17,MATCH(1:1,U2:U17,))</f>
        <v>0</v>
      </c>
      <c r="S7" s="13">
        <f ca="1">INDEX(V2:V17,MATCH(1:1,U2:U17,))</f>
        <v>0</v>
      </c>
      <c r="T7" s="20">
        <f ca="1">1.5-Q24/16</f>
        <v>1.375</v>
      </c>
      <c r="U7" s="20" t="str">
        <f t="shared" si="0"/>
        <v>会心</v>
      </c>
      <c r="V7" s="20">
        <f ca="1" t="shared" si="4"/>
        <v>0.433665199880085</v>
      </c>
      <c r="W7" s="17" t="str">
        <f>属性!H11</f>
        <v>会心</v>
      </c>
      <c r="X7" s="17">
        <f>属性!I11</f>
        <v>0.2668</v>
      </c>
      <c r="Y7" s="17" t="s">
        <v>26</v>
      </c>
      <c r="Z7" s="17">
        <f ca="1">X7+K21/J25+(Z2-X2)*L29/J25+K23</f>
        <v>0.433665199880085</v>
      </c>
      <c r="AA7" s="23"/>
    </row>
    <row r="8" customHeight="1" spans="1:27">
      <c r="A8" s="12" t="str">
        <f>木桩!A8</f>
        <v>盾猛</v>
      </c>
      <c r="B8" s="11">
        <f>木桩!B8</f>
        <v>15</v>
      </c>
      <c r="C8" s="11">
        <f>木桩!C8</f>
        <v>2.4525</v>
      </c>
      <c r="D8" s="11">
        <f>木桩!D8</f>
        <v>340</v>
      </c>
      <c r="E8" s="13">
        <f>木桩!E8</f>
        <v>1</v>
      </c>
      <c r="F8" s="13">
        <f ca="1">木桩!F8+Q$23</f>
        <v>0.0101333333333333</v>
      </c>
      <c r="G8" s="13">
        <f>木桩!G8</f>
        <v>0.1</v>
      </c>
      <c r="H8" s="13">
        <f>木桩!H8</f>
        <v>0.1</v>
      </c>
      <c r="I8" s="21">
        <f ca="1" t="shared" si="5"/>
        <v>135607.209534485</v>
      </c>
      <c r="J8" s="13">
        <f ca="1" t="shared" si="1"/>
        <v>0.533665199880085</v>
      </c>
      <c r="K8" s="15">
        <f ca="1" t="shared" si="2"/>
        <v>0.579391677895563</v>
      </c>
      <c r="L8" s="13">
        <f ca="1">INDEX(V2:V17,MATCH(1:1,U2:U17,))</f>
        <v>1.9433</v>
      </c>
      <c r="M8" s="13">
        <f ca="1">INDEX(V2:V17,MATCH(1:1,U2:U17,))</f>
        <v>0.902992590034019</v>
      </c>
      <c r="N8" s="21">
        <f ca="1">INDEX(V2:V17,MATCH(1:1,U2:U17,))+O:O*P:P</f>
        <v>17965.8209384615</v>
      </c>
      <c r="O8" s="21">
        <f ca="1">INDEX(V2:V17,MATCH(1:1,U2:U17,))</f>
        <v>7522.72307692308</v>
      </c>
      <c r="P8" s="40">
        <f t="shared" si="3"/>
        <v>0.772</v>
      </c>
      <c r="Q8" s="21">
        <f ca="1">INDEX(V2:V17,MATCH(1:1,U2:U17,))</f>
        <v>751</v>
      </c>
      <c r="R8" s="13">
        <f ca="1">INDEX(V2:V17,MATCH(1:1,U2:U17,))</f>
        <v>0</v>
      </c>
      <c r="S8" s="13">
        <f ca="1">INDEX(V2:V17,MATCH(1:1,U2:U17,))</f>
        <v>0</v>
      </c>
      <c r="T8" s="20">
        <f ca="1">1.5-Q24/16</f>
        <v>1.375</v>
      </c>
      <c r="U8" s="20" t="str">
        <f t="shared" si="0"/>
        <v>会效</v>
      </c>
      <c r="V8" s="20">
        <f ca="1" t="shared" si="4"/>
        <v>1.9433</v>
      </c>
      <c r="W8" s="17" t="str">
        <f>属性!H12</f>
        <v>会效</v>
      </c>
      <c r="X8" s="17">
        <f>属性!I12</f>
        <v>1.8533</v>
      </c>
      <c r="Y8" s="17" t="s">
        <v>36</v>
      </c>
      <c r="Z8" s="17">
        <f ca="1">X8+(L21+(Z2-X2)*L30)/J26+L23</f>
        <v>1.9433</v>
      </c>
      <c r="AA8" s="23"/>
    </row>
    <row r="9" customHeight="1" spans="1:27">
      <c r="A9" s="12" t="str">
        <f>木桩!A9</f>
        <v>盾飞</v>
      </c>
      <c r="B9" s="11">
        <f>木桩!B9</f>
        <v>0</v>
      </c>
      <c r="C9" s="11">
        <f>木桩!C9</f>
        <v>0.168</v>
      </c>
      <c r="D9" s="11">
        <f>木桩!D9</f>
        <v>25</v>
      </c>
      <c r="E9" s="13">
        <f>木桩!E9</f>
        <v>1</v>
      </c>
      <c r="F9" s="13">
        <f ca="1">木桩!F9+Q$23</f>
        <v>0.130133333333333</v>
      </c>
      <c r="G9" s="13">
        <f>木桩!G9</f>
        <v>0.05</v>
      </c>
      <c r="H9" s="13">
        <f>木桩!H9</f>
        <v>0</v>
      </c>
      <c r="I9" s="21">
        <f ca="1" t="shared" si="5"/>
        <v>12530.6398657717</v>
      </c>
      <c r="J9" s="13">
        <f ca="1" t="shared" si="1"/>
        <v>0.483665199880085</v>
      </c>
      <c r="K9" s="15">
        <f ca="1" t="shared" ref="K9:K14" si="6">J:J+K$19</f>
        <v>0.532106492123557</v>
      </c>
      <c r="L9" s="13">
        <f ca="1">INDEX(V2:V17,MATCH(1:1,U2:U17,))</f>
        <v>1.9433</v>
      </c>
      <c r="M9" s="13">
        <f ca="1">INDEX(V2:V17,MATCH(1:1,U2:U17,))</f>
        <v>0.902992590034019</v>
      </c>
      <c r="N9" s="21">
        <f ca="1">INDEX(V2:V17,MATCH(1:1,U2:U17,))+O:O*P:P</f>
        <v>19094.2294</v>
      </c>
      <c r="O9" s="21">
        <f ca="1">INDEX(V2:V17,MATCH(1:1,U2:U17,))</f>
        <v>7522.72307692308</v>
      </c>
      <c r="P9" s="40">
        <f t="shared" ref="P9:P14" si="7">60%+D$32*0.2*6/25+0.15*D$21+60%*(25+6*D$32)*(1+H$28)/H$27</f>
        <v>0.922</v>
      </c>
      <c r="Q9" s="21">
        <f ca="1">INDEX(V2:V17,MATCH(1:1,U2:U17,))</f>
        <v>751</v>
      </c>
      <c r="R9" s="13">
        <f ca="1">INDEX(V2:V17,MATCH(1:1,U2:U17,))</f>
        <v>0</v>
      </c>
      <c r="S9" s="13">
        <f ca="1">INDEX(V2:V17,MATCH(1:1,U2:U17,))</f>
        <v>0</v>
      </c>
      <c r="T9" s="20">
        <f ca="1">1.5-Q24/16</f>
        <v>1.375</v>
      </c>
      <c r="U9" s="20" t="str">
        <f t="shared" si="0"/>
        <v>破防值</v>
      </c>
      <c r="V9" s="20">
        <f ca="1" t="shared" si="4"/>
        <v>13855.6989</v>
      </c>
      <c r="W9" s="17" t="str">
        <f>属性!H13</f>
        <v>破防值</v>
      </c>
      <c r="X9" s="17">
        <f>属性!I13</f>
        <v>7718.1326</v>
      </c>
      <c r="Y9" s="17" t="s">
        <v>206</v>
      </c>
      <c r="Z9" s="17">
        <f ca="1">Z10*(1+O23)</f>
        <v>13855.6989</v>
      </c>
      <c r="AA9" s="23"/>
    </row>
    <row r="10" customHeight="1" spans="1:27">
      <c r="A10" s="12" t="str">
        <f>木桩!A10</f>
        <v>劫刀</v>
      </c>
      <c r="B10" s="11">
        <f>木桩!B10</f>
        <v>-5</v>
      </c>
      <c r="C10" s="11">
        <f>木桩!C10</f>
        <v>1.1</v>
      </c>
      <c r="D10" s="11">
        <f>木桩!D10</f>
        <v>124.5</v>
      </c>
      <c r="E10" s="13">
        <f>木桩!E10</f>
        <v>1</v>
      </c>
      <c r="F10" s="13">
        <f ca="1">木桩!F10+Q$23</f>
        <v>0.230133333333333</v>
      </c>
      <c r="G10" s="13">
        <f>木桩!G10</f>
        <v>0.15</v>
      </c>
      <c r="H10" s="13">
        <f>木桩!H10</f>
        <v>0.15</v>
      </c>
      <c r="I10" s="21">
        <f ca="1" t="shared" si="5"/>
        <v>84340.9750940621</v>
      </c>
      <c r="J10" s="13">
        <f ca="1" t="shared" si="1"/>
        <v>0.583665199880085</v>
      </c>
      <c r="K10" s="15">
        <f ca="1" t="shared" si="6"/>
        <v>0.632106492123557</v>
      </c>
      <c r="L10" s="13">
        <f ca="1">INDEX(V2:V17,MATCH(1:1,U2:U17,))</f>
        <v>1.9433</v>
      </c>
      <c r="M10" s="13">
        <f ca="1">INDEX(V2:V17,MATCH(1:1,U2:U17,))</f>
        <v>0.902992590034019</v>
      </c>
      <c r="N10" s="21">
        <f ca="1">INDEX(V2:V17,MATCH(1:1,U2:U17,))+O:O*P:P</f>
        <v>19094.2294</v>
      </c>
      <c r="O10" s="21">
        <f ca="1">INDEX(V2:V17,MATCH(1:1,U2:U17,))</f>
        <v>7522.72307692308</v>
      </c>
      <c r="P10" s="40">
        <f t="shared" si="7"/>
        <v>0.922</v>
      </c>
      <c r="Q10" s="21">
        <f ca="1">INDEX(V2:V17,MATCH(1:1,U2:U17,))</f>
        <v>751</v>
      </c>
      <c r="R10" s="13">
        <f ca="1">INDEX(V2:V17,MATCH(1:1,U2:U17,))</f>
        <v>0</v>
      </c>
      <c r="S10" s="13">
        <f ca="1">INDEX(V2:V17,MATCH(1:1,U2:U17,))</f>
        <v>0</v>
      </c>
      <c r="T10" s="20">
        <f ca="1">1.5-Q24/16</f>
        <v>1.375</v>
      </c>
      <c r="U10" s="20" t="str">
        <f t="shared" si="0"/>
        <v>基础破防</v>
      </c>
      <c r="V10" s="20">
        <f ca="1" t="shared" si="4"/>
        <v>9237.1326</v>
      </c>
      <c r="W10" s="17" t="str">
        <f>属性!H14</f>
        <v>基础破防</v>
      </c>
      <c r="X10" s="17">
        <f>属性!I14</f>
        <v>7718.1326</v>
      </c>
      <c r="Y10" s="17" t="s">
        <v>47</v>
      </c>
      <c r="Z10" s="17">
        <f ca="1">X10+O21+(Z4-X4)*L27</f>
        <v>9237.1326</v>
      </c>
      <c r="AA10" s="23"/>
    </row>
    <row r="11" customHeight="1" spans="1:27">
      <c r="A11" s="12" t="str">
        <f>木桩!A11</f>
        <v>斩刀</v>
      </c>
      <c r="B11" s="11">
        <f>木桩!B11</f>
        <v>-15</v>
      </c>
      <c r="C11" s="11">
        <f>木桩!C11</f>
        <v>1.193</v>
      </c>
      <c r="D11" s="11">
        <f>木桩!D11</f>
        <v>233</v>
      </c>
      <c r="E11" s="13">
        <f>木桩!E11</f>
        <v>1</v>
      </c>
      <c r="F11" s="13">
        <f ca="1">木桩!F11+Q$23</f>
        <v>0.180133333333333</v>
      </c>
      <c r="G11" s="13">
        <f>木桩!G11</f>
        <v>0.04</v>
      </c>
      <c r="H11" s="13">
        <f>木桩!H11</f>
        <v>0</v>
      </c>
      <c r="I11" s="21">
        <f ca="1" t="shared" si="5"/>
        <v>77561.5421027481</v>
      </c>
      <c r="J11" s="13">
        <f ca="1" t="shared" si="1"/>
        <v>0.473665199880085</v>
      </c>
      <c r="K11" s="15">
        <f ca="1" t="shared" si="6"/>
        <v>0.522106492123557</v>
      </c>
      <c r="L11" s="13">
        <f ca="1">INDEX(V2:V17,MATCH(1:1,U2:U17,))</f>
        <v>1.9433</v>
      </c>
      <c r="M11" s="13">
        <f ca="1">INDEX(V2:V17,MATCH(1:1,U2:U17,))</f>
        <v>0.902992590034019</v>
      </c>
      <c r="N11" s="21">
        <f ca="1">INDEX(V2:V17,MATCH(1:1,U2:U17,))+O:O*P:P</f>
        <v>19094.2294</v>
      </c>
      <c r="O11" s="21">
        <f ca="1">INDEX(V2:V17,MATCH(1:1,U2:U17,))</f>
        <v>7522.72307692308</v>
      </c>
      <c r="P11" s="40">
        <f t="shared" si="7"/>
        <v>0.922</v>
      </c>
      <c r="Q11" s="21">
        <f ca="1">INDEX(V2:V17,MATCH(1:1,U2:U17,))</f>
        <v>751</v>
      </c>
      <c r="R11" s="13">
        <f ca="1">INDEX(V2:V17,MATCH(1:1,U2:U17,))</f>
        <v>0</v>
      </c>
      <c r="S11" s="13">
        <f ca="1">INDEX(V2:V17,MATCH(1:1,U2:U17,))</f>
        <v>0</v>
      </c>
      <c r="T11" s="20">
        <f ca="1">1.5-Q24/16</f>
        <v>1.375</v>
      </c>
      <c r="U11" s="20" t="str">
        <f t="shared" si="0"/>
        <v>破防</v>
      </c>
      <c r="V11" s="20">
        <f ca="1" t="shared" si="4"/>
        <v>0.902992590034019</v>
      </c>
      <c r="W11" s="17" t="str">
        <f>属性!H15</f>
        <v>破防</v>
      </c>
      <c r="X11" s="17">
        <f>属性!I15</f>
        <v>0.503</v>
      </c>
      <c r="Y11" s="17" t="s">
        <v>205</v>
      </c>
      <c r="Z11" s="17">
        <f ca="1">Z9/J30</f>
        <v>0.902992590034019</v>
      </c>
      <c r="AA11" s="23"/>
    </row>
    <row r="12" customHeight="1" spans="1:27">
      <c r="A12" s="12" t="str">
        <f>木桩!A12</f>
        <v>闪刀</v>
      </c>
      <c r="B12" s="11">
        <f>木桩!B12</f>
        <v>-15</v>
      </c>
      <c r="C12" s="11">
        <f>木桩!C12</f>
        <v>0.9</v>
      </c>
      <c r="D12" s="11">
        <f>木桩!D12</f>
        <v>157.5</v>
      </c>
      <c r="E12" s="13">
        <f>木桩!E12</f>
        <v>1</v>
      </c>
      <c r="F12" s="13">
        <f ca="1">木桩!F12+Q$23</f>
        <v>0.0101333333333333</v>
      </c>
      <c r="G12" s="13">
        <f>木桩!G12</f>
        <v>0</v>
      </c>
      <c r="H12" s="13">
        <f>木桩!H12</f>
        <v>0</v>
      </c>
      <c r="I12" s="21">
        <f ca="1" t="shared" si="5"/>
        <v>49269.9994724709</v>
      </c>
      <c r="J12" s="13">
        <f ca="1" t="shared" si="1"/>
        <v>0.433665199880085</v>
      </c>
      <c r="K12" s="15">
        <f ca="1" t="shared" si="6"/>
        <v>0.482106492123557</v>
      </c>
      <c r="L12" s="13">
        <f ca="1">INDEX(V2:V17,MATCH(1:1,U2:U17,))</f>
        <v>1.9433</v>
      </c>
      <c r="M12" s="13">
        <f ca="1">INDEX(V2:V17,MATCH(1:1,U2:U17,))</f>
        <v>0.902992590034019</v>
      </c>
      <c r="N12" s="21">
        <f ca="1">INDEX(V2:V17,MATCH(1:1,U2:U17,))+O:O*P:P</f>
        <v>19094.2294</v>
      </c>
      <c r="O12" s="21">
        <f ca="1">INDEX(V2:V17,MATCH(1:1,U2:U17,))</f>
        <v>7522.72307692308</v>
      </c>
      <c r="P12" s="40">
        <f t="shared" si="7"/>
        <v>0.922</v>
      </c>
      <c r="Q12" s="21">
        <f ca="1">INDEX(V2:V17,MATCH(1:1,U2:U17,))</f>
        <v>751</v>
      </c>
      <c r="R12" s="13">
        <f ca="1">INDEX(V2:V17,MATCH(1:1,U2:U17,))</f>
        <v>0</v>
      </c>
      <c r="S12" s="13">
        <f ca="1">INDEX(V2:V17,MATCH(1:1,U2:U17,))</f>
        <v>0</v>
      </c>
      <c r="T12" s="20">
        <f ca="1">1.5-Q24/16</f>
        <v>1.375</v>
      </c>
      <c r="U12" s="20" t="str">
        <f t="shared" si="0"/>
        <v>加速</v>
      </c>
      <c r="V12" s="20">
        <f ca="1" t="shared" si="4"/>
        <v>828</v>
      </c>
      <c r="W12" s="17" t="str">
        <f>属性!H16</f>
        <v>加速</v>
      </c>
      <c r="X12" s="17">
        <f>属性!I16</f>
        <v>828</v>
      </c>
      <c r="Y12" s="17" t="s">
        <v>83</v>
      </c>
      <c r="Z12" s="17">
        <f>X12</f>
        <v>828</v>
      </c>
      <c r="AA12" s="23"/>
    </row>
    <row r="13" customHeight="1" spans="1:27">
      <c r="A13" s="12" t="str">
        <f>木桩!A13</f>
        <v>绝刀</v>
      </c>
      <c r="B13" s="11">
        <f>木桩!B13</f>
        <v>0</v>
      </c>
      <c r="C13" s="11">
        <f>木桩!C13</f>
        <v>1.211</v>
      </c>
      <c r="D13" s="11">
        <f>木桩!D13</f>
        <v>186</v>
      </c>
      <c r="E13" s="13">
        <f>木桩!E13</f>
        <v>1</v>
      </c>
      <c r="F13" s="13">
        <f ca="1">木桩!F13+Q$23</f>
        <v>0.500133333333333</v>
      </c>
      <c r="G13" s="13">
        <f>木桩!G13</f>
        <v>0.04</v>
      </c>
      <c r="H13" s="13">
        <f>木桩!H13</f>
        <v>0</v>
      </c>
      <c r="I13" s="21">
        <f ca="1" t="shared" si="5"/>
        <v>99823.7763961937</v>
      </c>
      <c r="J13" s="13">
        <f ca="1" t="shared" si="1"/>
        <v>0.473665199880085</v>
      </c>
      <c r="K13" s="15">
        <f ca="1" t="shared" si="6"/>
        <v>0.522106492123557</v>
      </c>
      <c r="L13" s="13">
        <f ca="1">INDEX(V2:V17,MATCH(1:1,U2:U17,))</f>
        <v>1.9433</v>
      </c>
      <c r="M13" s="13">
        <f ca="1">INDEX(V2:V17,MATCH(1:1,U2:U17,))</f>
        <v>0.902992590034019</v>
      </c>
      <c r="N13" s="21">
        <f ca="1">INDEX(V2:V17,MATCH(1:1,U2:U17,))+O:O*P:P</f>
        <v>19094.2294</v>
      </c>
      <c r="O13" s="21">
        <f ca="1">INDEX(V2:V17,MATCH(1:1,U2:U17,))</f>
        <v>7522.72307692308</v>
      </c>
      <c r="P13" s="40">
        <f t="shared" si="7"/>
        <v>0.922</v>
      </c>
      <c r="Q13" s="21">
        <f ca="1">INDEX(V2:V17,MATCH(1:1,U2:U17,))</f>
        <v>751</v>
      </c>
      <c r="R13" s="13">
        <f ca="1">INDEX(V2:V17,MATCH(1:1,U2:U17,))</f>
        <v>0</v>
      </c>
      <c r="S13" s="13">
        <f ca="1">INDEX(V2:V17,MATCH(1:1,U2:U17,))</f>
        <v>0</v>
      </c>
      <c r="T13" s="20">
        <f ca="1">1.5-Q24/16</f>
        <v>1.375</v>
      </c>
      <c r="U13" s="20" t="str">
        <f t="shared" si="0"/>
        <v>命中</v>
      </c>
      <c r="V13" s="20">
        <f ca="1" t="shared" si="4"/>
        <v>1.13257753521884</v>
      </c>
      <c r="W13" s="17" t="str">
        <f>属性!H17</f>
        <v>命中</v>
      </c>
      <c r="X13" s="17">
        <f>属性!I17</f>
        <v>1.0715</v>
      </c>
      <c r="Y13" s="17" t="s">
        <v>56</v>
      </c>
      <c r="Z13" s="17">
        <f ca="1">X13+J23+J21/J27</f>
        <v>1.13257753521884</v>
      </c>
      <c r="AA13" s="23"/>
    </row>
    <row r="14" customHeight="1" spans="1:27">
      <c r="A14" s="11" t="str">
        <f>木桩!A14</f>
        <v>流血</v>
      </c>
      <c r="B14" s="11">
        <f>木桩!B14</f>
        <v>0</v>
      </c>
      <c r="C14" s="14">
        <f>木桩!C14</f>
        <v>0.34375</v>
      </c>
      <c r="D14" s="11">
        <f>木桩!D14</f>
        <v>47</v>
      </c>
      <c r="E14" s="13">
        <f>木桩!E14</f>
        <v>0</v>
      </c>
      <c r="F14" s="13">
        <f ca="1">木桩!F14+Q$23</f>
        <v>0.0101333333333333</v>
      </c>
      <c r="G14" s="13">
        <f>木桩!G14</f>
        <v>0</v>
      </c>
      <c r="H14" s="13">
        <f>木桩!H14</f>
        <v>0</v>
      </c>
      <c r="I14" s="21">
        <f ca="1" t="shared" si="5"/>
        <v>18001.4800973604</v>
      </c>
      <c r="J14" s="13">
        <f ca="1" t="shared" si="1"/>
        <v>0.433665199880085</v>
      </c>
      <c r="K14" s="15">
        <f ca="1" t="shared" si="6"/>
        <v>0.482106492123557</v>
      </c>
      <c r="L14" s="13">
        <f ca="1">INDEX(V2:V17,MATCH(1:1,U2:U17,))</f>
        <v>1.9433</v>
      </c>
      <c r="M14" s="13">
        <f ca="1">INDEX(V2:V17,MATCH(1:1,U2:U17,))</f>
        <v>0.902992590034019</v>
      </c>
      <c r="N14" s="21">
        <f ca="1">INDEX(V2:V17,MATCH(1:1,U2:U17,))+O:O*P:P</f>
        <v>19094.2294</v>
      </c>
      <c r="O14" s="21">
        <f ca="1">INDEX(V2:V17,MATCH(1:1,U2:U17,))</f>
        <v>7522.72307692308</v>
      </c>
      <c r="P14" s="40">
        <f t="shared" si="7"/>
        <v>0.922</v>
      </c>
      <c r="Q14" s="21">
        <f ca="1">INDEX(V2:V17,MATCH(1:1,U2:U17,))</f>
        <v>751</v>
      </c>
      <c r="R14" s="13">
        <f ca="1">INDEX(V2:V17,MATCH(1:1,U2:U17,))</f>
        <v>0</v>
      </c>
      <c r="S14" s="13">
        <f ca="1">INDEX(V2:V17,MATCH(1:1,U2:U17,))</f>
        <v>0</v>
      </c>
      <c r="T14" s="20">
        <f ca="1">(2-Q26/16)*NOT(D22)+(1-Q25/16)*D22</f>
        <v>0.9375</v>
      </c>
      <c r="U14" s="20" t="str">
        <f t="shared" si="0"/>
        <v>无双</v>
      </c>
      <c r="V14" s="20">
        <f ca="1" t="shared" si="4"/>
        <v>0.273371047077177</v>
      </c>
      <c r="W14" s="17" t="str">
        <f>属性!H18</f>
        <v>无双</v>
      </c>
      <c r="X14" s="17">
        <f>属性!I18</f>
        <v>0.2319</v>
      </c>
      <c r="Y14" s="17" t="s">
        <v>66</v>
      </c>
      <c r="Z14" s="17">
        <f ca="1">X14+N23+N21/J28</f>
        <v>0.273371047077177</v>
      </c>
      <c r="AA14" s="23"/>
    </row>
    <row r="15" customHeight="1" spans="1:27">
      <c r="A15" s="11" t="str">
        <f>木桩!A15</f>
        <v>卷雪刀</v>
      </c>
      <c r="B15" s="11">
        <f>木桩!B15</f>
        <v>0</v>
      </c>
      <c r="C15" s="11">
        <f>木桩!C15</f>
        <v>0.1375</v>
      </c>
      <c r="D15" s="11">
        <f>木桩!D15</f>
        <v>0</v>
      </c>
      <c r="E15" s="13">
        <f>木桩!E15</f>
        <v>1</v>
      </c>
      <c r="F15" s="13">
        <f ca="1">木桩!F15+Q$23</f>
        <v>0.0101333333333333</v>
      </c>
      <c r="G15" s="13">
        <f>木桩!G15</f>
        <v>0</v>
      </c>
      <c r="H15" s="13">
        <f>木桩!H15</f>
        <v>0</v>
      </c>
      <c r="I15" s="21">
        <f ca="1" t="shared" si="5"/>
        <v>8804.35702504861</v>
      </c>
      <c r="J15" s="13">
        <f ca="1" t="shared" si="1"/>
        <v>0.433665199880085</v>
      </c>
      <c r="K15" s="15">
        <f ca="1">J:J+(0.211855500496661*J:J^6-0.937563819411654*J:J^5+1.77483619127542*J:J^4-1.89647323402313*J:J^3+1.2737744963305*J:J^2-0.565275505039552*J:J+0.164596522595162)*$D$28</f>
        <v>0.487805126715561</v>
      </c>
      <c r="L15" s="13">
        <f ca="1">INDEX(V2:V17,MATCH(1:1,U2:U17,))</f>
        <v>1.9433</v>
      </c>
      <c r="M15" s="13">
        <f ca="1">INDEX(V2:V17,MATCH(1:1,U2:U17,))</f>
        <v>0.902992590034019</v>
      </c>
      <c r="N15" s="21">
        <f ca="1">INDEX(V2:V17,MATCH(1:1,U2:U17,))+O:O*P:P</f>
        <v>17965.8209384615</v>
      </c>
      <c r="O15" s="21">
        <f ca="1">INDEX(V2:V17,MATCH(1:1,U2:U17,))</f>
        <v>7522.72307692308</v>
      </c>
      <c r="P15" s="40">
        <f>60%+D$32*0.2*6/25+60%*(25+6*D$32)*(1+H$28)/H$27</f>
        <v>0.772</v>
      </c>
      <c r="Q15" s="21">
        <f ca="1">INDEX(V2:V17,MATCH(1:1,U2:U17,))</f>
        <v>751</v>
      </c>
      <c r="R15" s="13">
        <f ca="1">INDEX(V2:V17,MATCH(1:1,U2:U17,))</f>
        <v>0</v>
      </c>
      <c r="S15" s="13">
        <f ca="1">INDEX(V2:V17,MATCH(1:1,U2:U17,))</f>
        <v>0</v>
      </c>
      <c r="T15" s="20">
        <f ca="1">1.5-Q24/16</f>
        <v>1.375</v>
      </c>
      <c r="U15" s="20" t="str">
        <f t="shared" si="0"/>
        <v>武器伤害</v>
      </c>
      <c r="V15" s="20">
        <f ca="1" t="shared" si="4"/>
        <v>751</v>
      </c>
      <c r="W15" s="17" t="str">
        <f>属性!H19</f>
        <v>武器伤害</v>
      </c>
      <c r="X15" s="17">
        <f ca="1">属性!I19+P21</f>
        <v>751</v>
      </c>
      <c r="Y15" s="17" t="s">
        <v>75</v>
      </c>
      <c r="Z15" s="17">
        <f ca="1">X15</f>
        <v>751</v>
      </c>
      <c r="AA15" s="23"/>
    </row>
    <row r="16" customHeight="1" spans="1:27">
      <c r="A16" s="7" t="str">
        <f>木桩!A16</f>
        <v>卷雪刀1</v>
      </c>
      <c r="B16" s="7">
        <f>木桩!B16</f>
        <v>0</v>
      </c>
      <c r="C16" s="7">
        <f>木桩!C16</f>
        <v>0.1375</v>
      </c>
      <c r="D16" s="7">
        <f>木桩!D16</f>
        <v>0</v>
      </c>
      <c r="E16" s="16">
        <f>木桩!E16</f>
        <v>1</v>
      </c>
      <c r="F16" s="13">
        <f ca="1">木桩!F16+Q$23</f>
        <v>0.0101333333333333</v>
      </c>
      <c r="G16" s="16">
        <f>木桩!G16</f>
        <v>0</v>
      </c>
      <c r="H16" s="16">
        <f>木桩!H16</f>
        <v>0</v>
      </c>
      <c r="I16" s="21">
        <f ca="1" t="shared" si="5"/>
        <v>9194.4505795872</v>
      </c>
      <c r="J16" s="13">
        <f ca="1" t="shared" si="1"/>
        <v>0.433665199880085</v>
      </c>
      <c r="K16" s="15">
        <f ca="1">J:J+K$19</f>
        <v>0.482106492123557</v>
      </c>
      <c r="L16" s="16">
        <f ca="1">INDEX(V2:V17,MATCH(1:1,U2:U17,))</f>
        <v>1.9433</v>
      </c>
      <c r="M16" s="16">
        <f ca="1">INDEX(V2:V17,MATCH(1:1,U2:U17,))</f>
        <v>0.902992590034019</v>
      </c>
      <c r="N16" s="23">
        <f ca="1">INDEX(V2:V17,MATCH(1:1,U2:U17,))+O:O*P:P</f>
        <v>19094.2294</v>
      </c>
      <c r="O16" s="23">
        <f ca="1">INDEX(V2:V17,MATCH(1:1,U2:U17,))</f>
        <v>7522.72307692308</v>
      </c>
      <c r="P16" s="16">
        <f t="shared" ref="P16:P17" si="8">P12</f>
        <v>0.922</v>
      </c>
      <c r="Q16" s="23">
        <f ca="1">INDEX(V2:V17,MATCH(1:1,U2:U17,))</f>
        <v>751</v>
      </c>
      <c r="R16" s="16">
        <f ca="1">INDEX(V2:V17,MATCH(1:1,U2:U17,))</f>
        <v>0</v>
      </c>
      <c r="S16" s="16">
        <f ca="1">INDEX(V2:V17,MATCH(1:1,U2:U17,))</f>
        <v>0</v>
      </c>
      <c r="T16" s="20">
        <f ca="1">1.5-Q24/16</f>
        <v>1.375</v>
      </c>
      <c r="U16" s="17" t="str">
        <f t="shared" si="0"/>
        <v>偏离率</v>
      </c>
      <c r="V16" s="30">
        <f ca="1" t="shared" si="4"/>
        <v>0</v>
      </c>
      <c r="W16" s="17" t="str">
        <f>属性!H20</f>
        <v>偏离率</v>
      </c>
      <c r="X16" s="16">
        <f>属性!I20</f>
        <v>0</v>
      </c>
      <c r="Y16" s="17" t="s">
        <v>212</v>
      </c>
      <c r="Z16" s="17">
        <f ca="1">IF(X16-Z13+X13&gt;0,X16-Z13+X13,0)</f>
        <v>0</v>
      </c>
      <c r="AA16" s="23"/>
    </row>
    <row r="17" customHeight="1" spans="1:27">
      <c r="A17" s="11" t="str">
        <f>木桩!A17</f>
        <v>绝刀1</v>
      </c>
      <c r="B17" s="11">
        <f>木桩!B17</f>
        <v>0</v>
      </c>
      <c r="C17" s="11">
        <f>木桩!C17</f>
        <v>1.211</v>
      </c>
      <c r="D17" s="11">
        <f>木桩!D17</f>
        <v>186</v>
      </c>
      <c r="E17" s="13">
        <f>木桩!E17</f>
        <v>1</v>
      </c>
      <c r="F17" s="13">
        <f ca="1">木桩!F17+Q$23</f>
        <v>0.500133333333333</v>
      </c>
      <c r="G17" s="13">
        <f>木桩!G17</f>
        <v>0.07</v>
      </c>
      <c r="H17" s="13">
        <f>木桩!H17</f>
        <v>0</v>
      </c>
      <c r="I17" s="21">
        <f ca="1" t="shared" si="5"/>
        <v>101688.122432135</v>
      </c>
      <c r="J17" s="13">
        <f ca="1" t="shared" si="1"/>
        <v>0.503665199880085</v>
      </c>
      <c r="K17" s="15">
        <f ca="1">J:J+(0.211855500496661*J:J^6-0.937563819411654*J:J^5+1.77483619127542*J:J^4-1.89647323402313*J:J^3+1.2737744963305*J:J^2-0.565275505039552*J:J+0.164596522595162)*$D$28</f>
        <v>0.551656521857724</v>
      </c>
      <c r="L17" s="13">
        <f ca="1">INDEX(V2:V17,MATCH(1:1,U2:U17,))</f>
        <v>1.9433</v>
      </c>
      <c r="M17" s="13">
        <f ca="1">INDEX(V2:V17,MATCH(1:1,U2:U17,))</f>
        <v>0.902992590034019</v>
      </c>
      <c r="N17" s="21">
        <f ca="1">INDEX(V2:V17,MATCH(1:1,U2:U17,))+O:O*P:P</f>
        <v>19094.2294</v>
      </c>
      <c r="O17" s="21">
        <f ca="1">INDEX(V2:V17,MATCH(1:1,U2:U17,))</f>
        <v>7522.72307692308</v>
      </c>
      <c r="P17" s="16">
        <f t="shared" si="8"/>
        <v>0.922</v>
      </c>
      <c r="Q17" s="21">
        <f ca="1">INDEX(V2:V17,MATCH(1:1,U2:U17,))</f>
        <v>751</v>
      </c>
      <c r="R17" s="13">
        <f ca="1">INDEX(V2:V17,MATCH(1:1,U2:U17,))</f>
        <v>0</v>
      </c>
      <c r="S17" s="13">
        <f ca="1">INDEX(V2:V17,MATCH(1:1,U2:U17,))</f>
        <v>0</v>
      </c>
      <c r="T17" s="7">
        <v>0</v>
      </c>
      <c r="U17" s="20" t="str">
        <f t="shared" si="0"/>
        <v>识破率</v>
      </c>
      <c r="V17" s="20">
        <f ca="1" t="shared" si="4"/>
        <v>0</v>
      </c>
      <c r="W17" s="17" t="str">
        <f>属性!H21</f>
        <v>识破率</v>
      </c>
      <c r="X17" s="17">
        <f>属性!I21</f>
        <v>0</v>
      </c>
      <c r="Y17" s="17" t="s">
        <v>213</v>
      </c>
      <c r="Z17" s="17">
        <f ca="1">IF(X17-Z14+X14&gt;0,X17-Z14+X14,0)</f>
        <v>0</v>
      </c>
      <c r="AA17" s="23"/>
    </row>
    <row r="18" customHeight="1" spans="1:27">
      <c r="A18" s="11" t="str">
        <f>木桩!A18</f>
        <v>绝刀2</v>
      </c>
      <c r="B18" s="11">
        <f>木桩!B18</f>
        <v>0</v>
      </c>
      <c r="C18" s="11">
        <f>木桩!C18</f>
        <v>1.211</v>
      </c>
      <c r="D18" s="11">
        <f>木桩!D18</f>
        <v>186</v>
      </c>
      <c r="E18" s="13">
        <f>木桩!E18</f>
        <v>1</v>
      </c>
      <c r="F18" s="13">
        <f ca="1">木桩!F18+Q$23</f>
        <v>0.700133333333333</v>
      </c>
      <c r="G18" s="13">
        <f>木桩!G18</f>
        <v>0.04</v>
      </c>
      <c r="H18" s="13">
        <f>木桩!H18</f>
        <v>0</v>
      </c>
      <c r="I18" s="21">
        <f ca="1" t="shared" si="5"/>
        <v>113132.430257565</v>
      </c>
      <c r="J18" s="13">
        <f ca="1" t="shared" si="1"/>
        <v>0.473665199880085</v>
      </c>
      <c r="K18" s="15">
        <f ca="1">J:J+K$19</f>
        <v>0.522106492123557</v>
      </c>
      <c r="L18" s="13">
        <f ca="1">INDEX(V2:V17,MATCH(1:1,U2:U17,))</f>
        <v>1.9433</v>
      </c>
      <c r="M18" s="13">
        <f ca="1">INDEX(V2:V17,MATCH(1:1,U2:U17,))</f>
        <v>0.902992590034019</v>
      </c>
      <c r="N18" s="21">
        <f ca="1">INDEX(V2:V17,MATCH(1:1,U2:U17,))+O:O*P:P</f>
        <v>19094.2294</v>
      </c>
      <c r="O18" s="21">
        <f ca="1">INDEX(V2:V17,MATCH(1:1,U2:U17,))</f>
        <v>7522.72307692308</v>
      </c>
      <c r="P18" s="16">
        <f t="shared" ref="P18" si="9">P13</f>
        <v>0.922</v>
      </c>
      <c r="Q18" s="21">
        <f ca="1">INDEX(V2:V17,MATCH(1:1,U2:U17,))</f>
        <v>751</v>
      </c>
      <c r="R18" s="13">
        <f ca="1">INDEX(V2:V17,MATCH(1:1,U2:U17,))</f>
        <v>0</v>
      </c>
      <c r="S18" s="13">
        <f ca="1">INDEX(V2:V17,MATCH(1:1,U2:U17,))</f>
        <v>0</v>
      </c>
      <c r="T18" s="7">
        <v>0</v>
      </c>
      <c r="AA18" s="23"/>
    </row>
    <row r="19" customHeight="1" spans="5:27">
      <c r="E19" s="16"/>
      <c r="F19" s="16"/>
      <c r="G19" s="16"/>
      <c r="H19" s="16"/>
      <c r="I19" s="13" t="s">
        <v>291</v>
      </c>
      <c r="J19" s="24">
        <f ca="1">(0.75*J11+0.75*J12+8.5*J10+15*J9)/25</f>
        <v>0.515865199880085</v>
      </c>
      <c r="K19" s="7">
        <f ca="1">(0.450269547036277*J:J^6-1.63135022943507*J:J^5+2.53454201422095*J:J^4-2.30008535755169*J:J^3+1.39860127189957*J:J^2-0.596843023464342*J:J+0.171517229012336)*D28</f>
        <v>0.0484412922434724</v>
      </c>
      <c r="L19" s="16"/>
      <c r="M19" s="16"/>
      <c r="N19" s="23"/>
      <c r="O19" s="23"/>
      <c r="P19" s="16"/>
      <c r="Q19" s="23"/>
      <c r="R19" s="16"/>
      <c r="S19" s="16"/>
      <c r="V19" s="29"/>
      <c r="AA19" s="23"/>
    </row>
    <row r="20" customHeight="1" spans="5:27">
      <c r="E20" s="16"/>
      <c r="F20" s="16"/>
      <c r="G20" s="37" t="str">
        <f>属性!H1</f>
        <v>身法</v>
      </c>
      <c r="H20" s="37" t="str">
        <f>属性!I1</f>
        <v>力道</v>
      </c>
      <c r="I20" s="37" t="str">
        <f>属性!J1</f>
        <v>基础攻击</v>
      </c>
      <c r="J20" s="37" t="str">
        <f>属性!K1</f>
        <v>命中</v>
      </c>
      <c r="K20" s="41" t="str">
        <f>属性!L1</f>
        <v>会心</v>
      </c>
      <c r="L20" s="37" t="str">
        <f>属性!M1</f>
        <v>会效</v>
      </c>
      <c r="M20" s="37" t="str">
        <f>属性!N1</f>
        <v>加速</v>
      </c>
      <c r="N20" s="37" t="str">
        <f>属性!O1</f>
        <v>无双</v>
      </c>
      <c r="O20" s="37" t="str">
        <f>属性!P1</f>
        <v>基础破防</v>
      </c>
      <c r="P20" s="42" t="str">
        <f>属性!Q1</f>
        <v>武器伤害</v>
      </c>
      <c r="Q20" s="42" t="str">
        <f>属性!R1</f>
        <v>减防</v>
      </c>
      <c r="R20" s="16"/>
      <c r="S20" s="16"/>
      <c r="AA20" s="23"/>
    </row>
    <row r="21" customHeight="1" spans="1:27">
      <c r="A21" s="20" t="str">
        <f>属性!D1</f>
        <v>第一重</v>
      </c>
      <c r="B21" s="20" t="str">
        <f>属性!E1</f>
        <v>刀魂</v>
      </c>
      <c r="C21" s="11" t="s">
        <v>13</v>
      </c>
      <c r="D21" s="11" t="b">
        <f t="shared" ref="D21:D32" si="10">C21=B21</f>
        <v>1</v>
      </c>
      <c r="E21" s="11" t="s">
        <v>292</v>
      </c>
      <c r="F21" s="11" t="b">
        <f t="shared" ref="F21:F31" si="11">E21=B21</f>
        <v>0</v>
      </c>
      <c r="G21" s="20">
        <f ca="1">属性!H2</f>
        <v>201</v>
      </c>
      <c r="H21" s="20">
        <f ca="1">属性!I2</f>
        <v>52</v>
      </c>
      <c r="I21" s="17">
        <f ca="1">属性!J2</f>
        <v>199</v>
      </c>
      <c r="J21" s="17">
        <f ca="1">属性!K2</f>
        <v>294</v>
      </c>
      <c r="K21" s="20">
        <f ca="1">属性!L2</f>
        <v>194</v>
      </c>
      <c r="L21" s="43">
        <f ca="1">属性!M2</f>
        <v>0</v>
      </c>
      <c r="M21" s="20">
        <f ca="1">属性!N2</f>
        <v>0</v>
      </c>
      <c r="N21" s="20">
        <f ca="1">属性!O2</f>
        <v>100</v>
      </c>
      <c r="O21" s="20">
        <f ca="1">属性!P2</f>
        <v>1506</v>
      </c>
      <c r="P21" s="32">
        <f ca="1">属性!Q2</f>
        <v>0</v>
      </c>
      <c r="Q21" s="34">
        <f ca="1">属性!R2</f>
        <v>200</v>
      </c>
      <c r="R21" s="16"/>
      <c r="S21" s="16"/>
      <c r="AA21" s="23"/>
    </row>
    <row r="22" customHeight="1" spans="1:27">
      <c r="A22" s="20" t="str">
        <f>属性!D2</f>
        <v>第二重</v>
      </c>
      <c r="B22" s="20" t="str">
        <f>属性!E2</f>
        <v>炼狱</v>
      </c>
      <c r="C22" s="11" t="s">
        <v>24</v>
      </c>
      <c r="D22" s="11" t="b">
        <f t="shared" si="10"/>
        <v>1</v>
      </c>
      <c r="E22" s="11"/>
      <c r="F22" s="11"/>
      <c r="G22" s="38" t="str">
        <f>属性!H3</f>
        <v>身法</v>
      </c>
      <c r="H22" s="39" t="str">
        <f>属性!I3</f>
        <v>力道</v>
      </c>
      <c r="I22" s="39" t="str">
        <f>属性!J3</f>
        <v>面板攻击</v>
      </c>
      <c r="J22" s="39" t="str">
        <f>属性!K3</f>
        <v>命中</v>
      </c>
      <c r="K22" s="39" t="str">
        <f>属性!L3</f>
        <v>会心</v>
      </c>
      <c r="L22" s="39" t="str">
        <f>属性!M3</f>
        <v>会效</v>
      </c>
      <c r="M22" s="39" t="str">
        <f>属性!N3</f>
        <v>加速</v>
      </c>
      <c r="N22" s="39" t="str">
        <f>属性!O3</f>
        <v>无双</v>
      </c>
      <c r="O22" s="39" t="str">
        <f>属性!P3</f>
        <v>面板破防</v>
      </c>
      <c r="P22" s="44" t="str">
        <f>属性!Q3</f>
        <v>易伤</v>
      </c>
      <c r="Q22" s="44" t="str">
        <f>属性!R3</f>
        <v>伤害加成</v>
      </c>
      <c r="R22" s="16"/>
      <c r="S22" s="16"/>
      <c r="X22" s="23"/>
      <c r="AA22" s="23"/>
    </row>
    <row r="23" customHeight="1" spans="1:27">
      <c r="A23" s="20" t="str">
        <f>属性!D3</f>
        <v>第三重</v>
      </c>
      <c r="B23" s="20" t="str">
        <f>属性!E3</f>
        <v>飞瀑</v>
      </c>
      <c r="C23" s="11" t="s">
        <v>34</v>
      </c>
      <c r="D23" s="11" t="b">
        <f t="shared" si="10"/>
        <v>1</v>
      </c>
      <c r="E23" s="7"/>
      <c r="F23" s="7"/>
      <c r="G23" s="17">
        <f ca="1">属性!H4</f>
        <v>0.1</v>
      </c>
      <c r="H23" s="20">
        <f ca="1">属性!I4</f>
        <v>0</v>
      </c>
      <c r="I23" s="20">
        <f ca="1">属性!J4</f>
        <v>0.171</v>
      </c>
      <c r="J23" s="20">
        <f ca="1">属性!K4</f>
        <v>0.04</v>
      </c>
      <c r="K23" s="20">
        <f ca="1">属性!L4</f>
        <v>0.145</v>
      </c>
      <c r="L23" s="20">
        <f ca="1">属性!M4</f>
        <v>0.09</v>
      </c>
      <c r="M23" s="20">
        <f ca="1">属性!N4</f>
        <v>0</v>
      </c>
      <c r="N23" s="20">
        <f ca="1">属性!O4</f>
        <v>0.03</v>
      </c>
      <c r="O23" s="13">
        <f ca="1">属性!P4</f>
        <v>0.5</v>
      </c>
      <c r="P23" s="45">
        <f ca="1">属性!Q4</f>
        <v>0</v>
      </c>
      <c r="Q23" s="34">
        <f ca="1">属性!R4</f>
        <v>0.0101333333333333</v>
      </c>
      <c r="R23" s="16"/>
      <c r="S23" s="16"/>
      <c r="X23" s="23"/>
      <c r="AA23" s="23"/>
    </row>
    <row r="24" customHeight="1" spans="1:27">
      <c r="A24" s="20" t="str">
        <f>属性!D4</f>
        <v>第四重</v>
      </c>
      <c r="B24" s="20" t="str">
        <f>属性!E4</f>
        <v>劫生</v>
      </c>
      <c r="C24" s="11" t="s">
        <v>44</v>
      </c>
      <c r="D24" s="11" t="b">
        <f t="shared" si="10"/>
        <v>1</v>
      </c>
      <c r="E24" s="11"/>
      <c r="F24" s="11"/>
      <c r="H24" s="36"/>
      <c r="I24" s="46" t="s">
        <v>198</v>
      </c>
      <c r="J24" s="46"/>
      <c r="K24" s="46"/>
      <c r="L24" s="46"/>
      <c r="M24" s="47" t="s">
        <v>215</v>
      </c>
      <c r="N24" s="47" t="str">
        <f>属性!H29</f>
        <v>实战</v>
      </c>
      <c r="O24" s="43" t="str">
        <f>属性!I29</f>
        <v>实战盾击</v>
      </c>
      <c r="P24" s="26" t="s">
        <v>295</v>
      </c>
      <c r="Q24" s="11">
        <f ca="1">IF($V$12&gt;18,1)+IF($V$12&gt;827,1)+IF($V$12&gt;1728,1)+IF($V$12&gt;2703,1)</f>
        <v>2</v>
      </c>
      <c r="R24" s="16"/>
      <c r="S24" s="16"/>
      <c r="V24" s="32"/>
      <c r="X24" s="23"/>
      <c r="AA24" s="23"/>
    </row>
    <row r="25" spans="1:27">
      <c r="A25" s="20" t="str">
        <f>属性!D5</f>
        <v>第五重</v>
      </c>
      <c r="B25" s="20" t="str">
        <f>属性!E5</f>
        <v>锋鸣</v>
      </c>
      <c r="C25" s="11" t="s">
        <v>293</v>
      </c>
      <c r="D25" s="11" t="b">
        <f t="shared" si="10"/>
        <v>0</v>
      </c>
      <c r="E25" s="11" t="s">
        <v>54</v>
      </c>
      <c r="F25" s="11" t="b">
        <f t="shared" si="11"/>
        <v>1</v>
      </c>
      <c r="I25" s="20" t="s">
        <v>26</v>
      </c>
      <c r="J25" s="20">
        <v>15344.2</v>
      </c>
      <c r="K25" s="20" t="s">
        <v>200</v>
      </c>
      <c r="L25" s="20"/>
      <c r="M25" s="11" t="s">
        <v>93</v>
      </c>
      <c r="N25" s="15">
        <f ca="1">属性!H30</f>
        <v>0.948871388530846</v>
      </c>
      <c r="O25" s="15">
        <f ca="1">属性!I30</f>
        <v>0.973765015090248</v>
      </c>
      <c r="P25" s="26" t="s">
        <v>296</v>
      </c>
      <c r="Q25" s="30">
        <f ca="1">IF($V$12&gt;18,1)+IF($V$12&gt;1268,1)+IF($V$12&gt;2703,1)</f>
        <v>1</v>
      </c>
      <c r="R25" s="16"/>
      <c r="S25" s="16"/>
      <c r="V25" s="32"/>
      <c r="X25" s="23"/>
      <c r="AA25" s="23"/>
    </row>
    <row r="26" spans="1:27">
      <c r="A26" s="20" t="str">
        <f>属性!D6</f>
        <v>第六重</v>
      </c>
      <c r="B26" s="20" t="str">
        <f>属性!E6</f>
        <v>割裂</v>
      </c>
      <c r="C26" s="11" t="s">
        <v>64</v>
      </c>
      <c r="D26" s="11" t="b">
        <f t="shared" si="10"/>
        <v>1</v>
      </c>
      <c r="E26" s="11" t="s">
        <v>294</v>
      </c>
      <c r="F26" s="11" t="b">
        <f t="shared" si="11"/>
        <v>0</v>
      </c>
      <c r="I26" s="20" t="s">
        <v>36</v>
      </c>
      <c r="J26" s="20">
        <v>5370.3</v>
      </c>
      <c r="K26" s="20"/>
      <c r="L26" s="20">
        <v>1.7</v>
      </c>
      <c r="M26" s="11" t="s">
        <v>229</v>
      </c>
      <c r="N26" s="15">
        <f ca="1">属性!H31</f>
        <v>0.91750264956783</v>
      </c>
      <c r="O26" s="15">
        <f ca="1">属性!I31</f>
        <v>0.956976669392992</v>
      </c>
      <c r="P26" s="26" t="s">
        <v>297</v>
      </c>
      <c r="Q26" s="30">
        <f ca="1">IF($V$12&gt;18,1)+IF($V$12&gt;625,1)+IF($V$12&gt;1268,1)+IF($V$12&gt;1949,1)+IF($V$12&gt;2703,1)</f>
        <v>2</v>
      </c>
      <c r="R26" s="16"/>
      <c r="S26" s="16"/>
      <c r="V26" s="32"/>
      <c r="X26" s="23"/>
      <c r="AA26" s="23"/>
    </row>
    <row r="27" spans="1:27">
      <c r="A27" s="20" t="str">
        <f>属性!D7</f>
        <v>第七重</v>
      </c>
      <c r="B27" s="20" t="str">
        <f>属性!E7</f>
        <v>活脉</v>
      </c>
      <c r="C27" s="11" t="s">
        <v>72</v>
      </c>
      <c r="D27" s="11" t="b">
        <f t="shared" si="10"/>
        <v>1</v>
      </c>
      <c r="E27" s="11"/>
      <c r="F27" s="11" t="b">
        <f t="shared" si="11"/>
        <v>0</v>
      </c>
      <c r="G27" s="17" t="str">
        <f>木桩!G27</f>
        <v>战斗时间</v>
      </c>
      <c r="H27" s="30">
        <f>木桩!H27</f>
        <v>300</v>
      </c>
      <c r="I27" s="20" t="s">
        <v>56</v>
      </c>
      <c r="J27" s="20">
        <v>13948.5</v>
      </c>
      <c r="K27" s="20" t="s">
        <v>203</v>
      </c>
      <c r="L27" s="20">
        <v>0.25</v>
      </c>
      <c r="M27" s="11" t="s">
        <v>299</v>
      </c>
      <c r="N27" s="15">
        <f ca="1">属性!H32</f>
        <v>0.898870262292047</v>
      </c>
      <c r="O27" s="15">
        <f ca="1">属性!I32</f>
        <v>0.946742155208707</v>
      </c>
      <c r="P27" s="47" t="s">
        <v>92</v>
      </c>
      <c r="Q27" s="20" t="str">
        <f>苍云!C11</f>
        <v>102级</v>
      </c>
      <c r="V27" s="32"/>
      <c r="X27" s="23"/>
      <c r="AA27" s="23"/>
    </row>
    <row r="28" spans="1:27">
      <c r="A28" s="20" t="str">
        <f>属性!D8</f>
        <v>第八重</v>
      </c>
      <c r="B28" s="20" t="str">
        <f>属性!E8</f>
        <v>恋战</v>
      </c>
      <c r="C28" s="11" t="s">
        <v>81</v>
      </c>
      <c r="D28" s="11" t="b">
        <f t="shared" si="10"/>
        <v>1</v>
      </c>
      <c r="E28" s="11" t="s">
        <v>269</v>
      </c>
      <c r="F28" s="11" t="b">
        <f t="shared" si="11"/>
        <v>0</v>
      </c>
      <c r="G28" s="17" t="str">
        <f>木桩!G28</f>
        <v>竞技场套装</v>
      </c>
      <c r="H28" s="16" t="b">
        <f>木桩!H28</f>
        <v>1</v>
      </c>
      <c r="I28" s="20" t="s">
        <v>66</v>
      </c>
      <c r="J28" s="20">
        <v>8717.6</v>
      </c>
      <c r="K28" s="20"/>
      <c r="L28" s="20">
        <v>0.15</v>
      </c>
      <c r="M28" s="17" t="s">
        <v>179</v>
      </c>
      <c r="N28" s="15">
        <f ca="1">属性!H33</f>
        <v>0.91750264956783</v>
      </c>
      <c r="O28" s="15">
        <f ca="1">属性!I33</f>
        <v>0.956976669392992</v>
      </c>
      <c r="P28" s="47" t="s">
        <v>100</v>
      </c>
      <c r="Q28" s="20" t="str">
        <f>LEFT(苍云!$C$12,1)</f>
        <v>5</v>
      </c>
      <c r="V28" s="32"/>
      <c r="X28" s="23"/>
      <c r="AA28" s="23"/>
    </row>
    <row r="29" spans="1:24">
      <c r="A29" s="20" t="str">
        <f>属性!D9</f>
        <v>第九重</v>
      </c>
      <c r="B29" s="20" t="str">
        <f>属性!E9</f>
        <v>从容</v>
      </c>
      <c r="C29" s="11" t="s">
        <v>99</v>
      </c>
      <c r="D29" s="11" t="b">
        <f t="shared" si="10"/>
        <v>0</v>
      </c>
      <c r="E29" s="11"/>
      <c r="F29" s="11" t="b">
        <f t="shared" si="11"/>
        <v>0</v>
      </c>
      <c r="G29" s="20" t="str">
        <f>木桩!G29</f>
        <v>套装特效</v>
      </c>
      <c r="H29" s="20" t="b">
        <f>木桩!H29</f>
        <v>1</v>
      </c>
      <c r="I29" s="20" t="s">
        <v>83</v>
      </c>
      <c r="J29" s="20">
        <v>18830.9</v>
      </c>
      <c r="K29" s="20" t="s">
        <v>204</v>
      </c>
      <c r="L29" s="20">
        <v>0.64</v>
      </c>
      <c r="M29" s="20" t="s">
        <v>180</v>
      </c>
      <c r="N29" s="15">
        <f ca="1">属性!H34</f>
        <v>0.91750264956783</v>
      </c>
      <c r="O29" s="15">
        <f ca="1">属性!I34</f>
        <v>0.956976669392992</v>
      </c>
      <c r="P29" s="20" t="str">
        <f>属性!F5</f>
        <v>战斗时间</v>
      </c>
      <c r="Q29" s="20">
        <f>属性!G5</f>
        <v>300</v>
      </c>
      <c r="X29" s="23"/>
    </row>
    <row r="30" spans="1:24">
      <c r="A30" s="20" t="str">
        <f>属性!D10</f>
        <v>第十重</v>
      </c>
      <c r="B30" s="20" t="str">
        <f>属性!E10</f>
        <v>愤恨</v>
      </c>
      <c r="C30" s="11" t="s">
        <v>91</v>
      </c>
      <c r="D30" s="11" t="b">
        <f t="shared" si="10"/>
        <v>0</v>
      </c>
      <c r="E30" s="11"/>
      <c r="F30" s="11" t="b">
        <f t="shared" si="11"/>
        <v>0</v>
      </c>
      <c r="G30" s="20" t="str">
        <f>木桩!G30</f>
        <v>橙武</v>
      </c>
      <c r="H30" s="20" t="b">
        <f>木桩!H30</f>
        <v>1</v>
      </c>
      <c r="I30" s="20" t="s">
        <v>205</v>
      </c>
      <c r="J30" s="20">
        <v>15344.2</v>
      </c>
      <c r="K30" s="20"/>
      <c r="L30" s="20">
        <v>0</v>
      </c>
      <c r="N30" s="15"/>
      <c r="O30" s="15"/>
      <c r="P30" s="17" t="s">
        <v>302</v>
      </c>
      <c r="Q30" s="11">
        <f ca="1">$I$14/$T$14</f>
        <v>19201.5787705177</v>
      </c>
      <c r="X30" s="23"/>
    </row>
    <row r="31" spans="1:24">
      <c r="A31" s="20" t="str">
        <f>属性!D11</f>
        <v>第十一重</v>
      </c>
      <c r="B31" s="20" t="str">
        <f>属性!E11</f>
        <v>蔑视</v>
      </c>
      <c r="C31" s="11" t="s">
        <v>107</v>
      </c>
      <c r="D31" s="11" t="b">
        <f t="shared" si="10"/>
        <v>1</v>
      </c>
      <c r="E31" s="11"/>
      <c r="F31" s="11" t="b">
        <f t="shared" si="11"/>
        <v>0</v>
      </c>
      <c r="G31" s="20" t="str">
        <f>木桩!G31</f>
        <v>小橙武</v>
      </c>
      <c r="H31" s="20" t="b">
        <f>木桩!H31</f>
        <v>0</v>
      </c>
      <c r="N31" s="7"/>
      <c r="O31" s="7"/>
      <c r="P31" s="17" t="s">
        <v>303</v>
      </c>
      <c r="Q31" s="17">
        <f ca="1">(I13-I10)*5/60*H30</f>
        <v>1290.2334418443</v>
      </c>
      <c r="X31" s="23"/>
    </row>
    <row r="32" spans="1:24">
      <c r="A32" s="20" t="str">
        <f>属性!D12</f>
        <v>第十二重</v>
      </c>
      <c r="B32" s="20" t="str">
        <f>属性!E12</f>
        <v>骇日</v>
      </c>
      <c r="C32" s="11" t="s">
        <v>116</v>
      </c>
      <c r="D32" s="11" t="b">
        <f t="shared" si="10"/>
        <v>1</v>
      </c>
      <c r="E32" s="11"/>
      <c r="F32" s="11"/>
      <c r="P32" s="11" t="s">
        <v>305</v>
      </c>
      <c r="Q32" s="20">
        <f ca="1">$I$2/$T$2</f>
        <v>931.877541738772</v>
      </c>
      <c r="X32" s="23"/>
    </row>
    <row r="33" spans="16:22">
      <c r="P33" s="17" t="s">
        <v>306</v>
      </c>
      <c r="Q33" s="20">
        <f ca="1">$I$3/$T$3</f>
        <v>829.851136407888</v>
      </c>
      <c r="U33" s="20"/>
      <c r="V33" s="32"/>
    </row>
    <row r="34" spans="22:22">
      <c r="V34" s="32"/>
    </row>
    <row r="35" spans="1:23">
      <c r="A35" s="11" t="s">
        <v>271</v>
      </c>
      <c r="B35" s="20" t="s">
        <v>272</v>
      </c>
      <c r="C35" s="20" t="s">
        <v>304</v>
      </c>
      <c r="D35" s="20" t="s">
        <v>281</v>
      </c>
      <c r="E35" s="20" t="s">
        <v>278</v>
      </c>
      <c r="H35" s="20"/>
      <c r="I35" s="20"/>
      <c r="J35" s="20"/>
      <c r="K35" s="20"/>
      <c r="L35" s="20"/>
      <c r="M35" s="20"/>
      <c r="N35" s="20"/>
      <c r="O35" s="11"/>
      <c r="P35" s="11"/>
      <c r="Q35" s="11"/>
      <c r="R35" s="11"/>
      <c r="S35" s="11"/>
      <c r="T35" s="7"/>
      <c r="U35" s="7"/>
      <c r="V35" s="32"/>
      <c r="W35" s="34"/>
    </row>
    <row r="36" spans="1:23">
      <c r="A36" s="11" t="s">
        <v>55</v>
      </c>
      <c r="B36" s="20">
        <f ca="1" t="shared" ref="B36:B48" si="12">IFERROR(VLOOKUP(A36,实战技能表,MATCH("怒气",$A$1:$T$1,0),0),0)*C36</f>
        <v>15</v>
      </c>
      <c r="C36" s="20">
        <v>1</v>
      </c>
      <c r="D36" s="20">
        <f ca="1" t="shared" ref="D36:D48" si="13">IFERROR(VLOOKUP(A36,实战技能表,MATCH("时间",$A$1:$T$1,0),0),0)*C36</f>
        <v>1.375</v>
      </c>
      <c r="E36" s="20">
        <f ca="1">IFERROR(VLOOKUP(A36,实战技能表,MATCH("dmg",$A$1:$T$1,0),0),0)*C36</f>
        <v>135607.209534485</v>
      </c>
      <c r="H36" s="20"/>
      <c r="I36" s="20"/>
      <c r="J36" s="20"/>
      <c r="K36" s="20"/>
      <c r="L36" s="20"/>
      <c r="M36" s="20"/>
      <c r="N36" s="20"/>
      <c r="O36" s="11"/>
      <c r="P36" s="11"/>
      <c r="Q36" s="11"/>
      <c r="R36" s="11"/>
      <c r="S36" s="11"/>
      <c r="T36" s="11"/>
      <c r="U36" s="20"/>
      <c r="V36" s="32"/>
      <c r="W36" s="32"/>
    </row>
    <row r="37" spans="1:23">
      <c r="A37" s="11" t="s">
        <v>82</v>
      </c>
      <c r="B37" s="20">
        <f ca="1" t="shared" si="12"/>
        <v>4.5</v>
      </c>
      <c r="C37" s="20">
        <v>0.3</v>
      </c>
      <c r="D37" s="20">
        <f ca="1" t="shared" si="13"/>
        <v>0.4125</v>
      </c>
      <c r="E37" s="20">
        <f ca="1" t="shared" ref="E36:E48" si="14">IFERROR(VLOOKUP(A37,实战技能表,MATCH("dmg",$A$1:$T$1,0),0),0)*C37</f>
        <v>23628.0845286746</v>
      </c>
      <c r="H37" s="20"/>
      <c r="I37" s="20"/>
      <c r="J37" s="20"/>
      <c r="K37" s="20"/>
      <c r="L37" s="20"/>
      <c r="M37" s="20"/>
      <c r="N37" s="20"/>
      <c r="O37" s="11"/>
      <c r="P37" s="11"/>
      <c r="Q37" s="11"/>
      <c r="R37" s="11"/>
      <c r="S37" s="11"/>
      <c r="T37" s="11"/>
      <c r="U37" s="20"/>
      <c r="V37" s="32"/>
      <c r="W37" s="32"/>
    </row>
    <row r="38" spans="1:23">
      <c r="A38" s="11" t="s">
        <v>65</v>
      </c>
      <c r="B38" s="20">
        <f ca="1" t="shared" si="12"/>
        <v>-11.25</v>
      </c>
      <c r="C38" s="20">
        <v>0.75</v>
      </c>
      <c r="D38" s="20">
        <f ca="1" t="shared" si="13"/>
        <v>1.03125</v>
      </c>
      <c r="E38" s="20">
        <f ca="1" t="shared" si="14"/>
        <v>58171.1565770611</v>
      </c>
      <c r="H38" s="20"/>
      <c r="I38" s="20"/>
      <c r="J38" s="20"/>
      <c r="K38" s="20"/>
      <c r="L38" s="20"/>
      <c r="M38" s="20"/>
      <c r="N38" s="20"/>
      <c r="O38" s="11"/>
      <c r="P38" s="11"/>
      <c r="Q38" s="11"/>
      <c r="R38" s="11"/>
      <c r="S38" s="11"/>
      <c r="T38" s="11"/>
      <c r="U38" s="20"/>
      <c r="V38" s="32"/>
      <c r="W38" s="32"/>
    </row>
    <row r="39" spans="1:23">
      <c r="A39" s="20" t="s">
        <v>73</v>
      </c>
      <c r="B39" s="20">
        <f ca="1" t="shared" si="12"/>
        <v>-11.25</v>
      </c>
      <c r="C39" s="20">
        <v>0.75</v>
      </c>
      <c r="D39" s="20">
        <f ca="1" t="shared" si="13"/>
        <v>1.03125</v>
      </c>
      <c r="E39" s="20">
        <f ca="1" t="shared" si="14"/>
        <v>36952.4996043532</v>
      </c>
      <c r="H39" s="20"/>
      <c r="I39" s="20"/>
      <c r="J39" s="20"/>
      <c r="K39" s="20"/>
      <c r="L39" s="20"/>
      <c r="M39" s="20"/>
      <c r="N39" s="20"/>
      <c r="O39" s="11"/>
      <c r="P39" s="11"/>
      <c r="Q39" s="11"/>
      <c r="R39" s="11"/>
      <c r="S39" s="11"/>
      <c r="T39" s="11"/>
      <c r="U39" s="20"/>
      <c r="V39" s="32"/>
      <c r="W39" s="32"/>
    </row>
    <row r="40" spans="1:23">
      <c r="A40" s="11" t="s">
        <v>14</v>
      </c>
      <c r="B40" s="20">
        <f ca="1" t="shared" si="12"/>
        <v>-2.5</v>
      </c>
      <c r="C40" s="20">
        <v>0.5</v>
      </c>
      <c r="D40" s="20">
        <f ca="1" t="shared" si="13"/>
        <v>0.6875</v>
      </c>
      <c r="E40" s="20">
        <f ca="1" t="shared" si="14"/>
        <v>42170.487547031</v>
      </c>
      <c r="H40" s="20"/>
      <c r="I40" s="20"/>
      <c r="J40" s="20"/>
      <c r="K40" s="20"/>
      <c r="L40" s="20"/>
      <c r="M40" s="20"/>
      <c r="N40" s="20"/>
      <c r="O40" s="11"/>
      <c r="P40" s="11"/>
      <c r="Q40" s="11"/>
      <c r="R40" s="11"/>
      <c r="S40" s="11"/>
      <c r="T40" s="11"/>
      <c r="U40" s="20"/>
      <c r="V40" s="32"/>
      <c r="W40" s="32"/>
    </row>
    <row r="41" spans="1:23">
      <c r="A41" s="11" t="s">
        <v>14</v>
      </c>
      <c r="B41" s="20">
        <f ca="1" t="shared" si="12"/>
        <v>-5</v>
      </c>
      <c r="C41" s="20">
        <v>1</v>
      </c>
      <c r="D41" s="20">
        <f ca="1" t="shared" si="13"/>
        <v>1.375</v>
      </c>
      <c r="E41" s="20">
        <f ca="1" t="shared" si="14"/>
        <v>84340.9750940621</v>
      </c>
      <c r="H41" s="20"/>
      <c r="I41" s="20"/>
      <c r="J41" s="20"/>
      <c r="K41" s="20"/>
      <c r="L41" s="20"/>
      <c r="M41" s="20"/>
      <c r="N41" s="20"/>
      <c r="O41" s="11"/>
      <c r="P41" s="11"/>
      <c r="Q41" s="11"/>
      <c r="R41" s="11"/>
      <c r="S41" s="11"/>
      <c r="T41" s="11"/>
      <c r="U41" s="20"/>
      <c r="V41" s="32"/>
      <c r="W41" s="32"/>
    </row>
    <row r="42" spans="1:23">
      <c r="A42" s="11" t="s">
        <v>14</v>
      </c>
      <c r="B42" s="20">
        <f ca="1" t="shared" si="12"/>
        <v>-5</v>
      </c>
      <c r="C42" s="20">
        <v>1</v>
      </c>
      <c r="D42" s="20">
        <f ca="1">IFERROR(VLOOKUP(A42,实战技能表,MATCH("时间",$A$1:$T$1,0),0),0)*C42</f>
        <v>1.375</v>
      </c>
      <c r="E42" s="20">
        <f ca="1" t="shared" si="14"/>
        <v>84340.9750940621</v>
      </c>
      <c r="H42" s="20"/>
      <c r="I42" s="20"/>
      <c r="J42" s="20"/>
      <c r="K42" s="20"/>
      <c r="L42" s="20"/>
      <c r="M42" s="20"/>
      <c r="N42" s="20"/>
      <c r="O42" s="11"/>
      <c r="P42" s="11"/>
      <c r="Q42" s="11"/>
      <c r="R42" s="11"/>
      <c r="S42" s="11"/>
      <c r="T42" s="11"/>
      <c r="U42" s="20"/>
      <c r="V42" s="32"/>
      <c r="W42" s="32"/>
    </row>
    <row r="43" spans="1:23">
      <c r="A43" s="11" t="s">
        <v>14</v>
      </c>
      <c r="B43" s="20">
        <f ca="1" t="shared" si="12"/>
        <v>-5</v>
      </c>
      <c r="C43" s="20">
        <v>1</v>
      </c>
      <c r="D43" s="20">
        <f ca="1" t="shared" si="13"/>
        <v>1.375</v>
      </c>
      <c r="E43" s="20">
        <f ca="1" t="shared" si="14"/>
        <v>84340.9750940621</v>
      </c>
      <c r="H43" s="20"/>
      <c r="I43" s="20"/>
      <c r="J43" s="20"/>
      <c r="K43" s="20"/>
      <c r="L43" s="20"/>
      <c r="M43" s="20"/>
      <c r="N43" s="20"/>
      <c r="O43" s="11"/>
      <c r="P43" s="11"/>
      <c r="Q43" s="11"/>
      <c r="R43" s="11"/>
      <c r="S43" s="11"/>
      <c r="T43" s="11"/>
      <c r="U43" s="20"/>
      <c r="V43" s="32"/>
      <c r="W43" s="32"/>
    </row>
    <row r="44" spans="1:23">
      <c r="A44" s="11" t="s">
        <v>14</v>
      </c>
      <c r="B44" s="20">
        <f ca="1" t="shared" si="12"/>
        <v>-5</v>
      </c>
      <c r="C44" s="20">
        <v>1</v>
      </c>
      <c r="D44" s="20">
        <f ca="1" t="shared" si="13"/>
        <v>1.375</v>
      </c>
      <c r="E44" s="20">
        <f ca="1" t="shared" si="14"/>
        <v>84340.9750940621</v>
      </c>
      <c r="H44" s="20"/>
      <c r="I44" s="20"/>
      <c r="J44" s="20"/>
      <c r="K44" s="20"/>
      <c r="L44" s="20"/>
      <c r="M44" s="20"/>
      <c r="N44" s="20"/>
      <c r="O44" s="11"/>
      <c r="P44" s="11"/>
      <c r="Q44" s="11"/>
      <c r="R44" s="11"/>
      <c r="S44" s="11"/>
      <c r="T44" s="11"/>
      <c r="U44" s="20"/>
      <c r="V44" s="32"/>
      <c r="W44" s="32"/>
    </row>
    <row r="45" spans="1:23">
      <c r="A45" s="11" t="s">
        <v>14</v>
      </c>
      <c r="B45" s="20">
        <f ca="1" t="shared" si="12"/>
        <v>-5</v>
      </c>
      <c r="C45" s="20">
        <v>1</v>
      </c>
      <c r="D45" s="20">
        <f ca="1" t="shared" si="13"/>
        <v>1.375</v>
      </c>
      <c r="E45" s="20">
        <f ca="1" t="shared" si="14"/>
        <v>84340.9750940621</v>
      </c>
      <c r="H45" s="20"/>
      <c r="I45" s="20"/>
      <c r="J45" s="20"/>
      <c r="K45" s="20"/>
      <c r="L45" s="20"/>
      <c r="M45" s="20"/>
      <c r="N45" s="20"/>
      <c r="O45" s="11"/>
      <c r="P45" s="11"/>
      <c r="Q45" s="11"/>
      <c r="R45" s="11"/>
      <c r="S45" s="11"/>
      <c r="T45" s="11"/>
      <c r="U45" s="20"/>
      <c r="V45" s="32"/>
      <c r="W45" s="32"/>
    </row>
    <row r="46" spans="1:23">
      <c r="A46" s="11" t="s">
        <v>14</v>
      </c>
      <c r="B46" s="20">
        <f ca="1" t="shared" si="12"/>
        <v>-5</v>
      </c>
      <c r="C46" s="20">
        <v>1</v>
      </c>
      <c r="D46" s="20">
        <f ca="1" t="shared" si="13"/>
        <v>1.375</v>
      </c>
      <c r="E46" s="20">
        <f ca="1" t="shared" si="14"/>
        <v>84340.9750940621</v>
      </c>
      <c r="H46" s="20"/>
      <c r="I46" s="20"/>
      <c r="J46" s="20"/>
      <c r="K46" s="20"/>
      <c r="L46" s="20"/>
      <c r="M46" s="20"/>
      <c r="N46" s="20"/>
      <c r="O46" s="11"/>
      <c r="P46" s="11"/>
      <c r="Q46" s="11"/>
      <c r="R46" s="11"/>
      <c r="S46" s="11"/>
      <c r="T46" s="11"/>
      <c r="U46" s="20"/>
      <c r="V46" s="32"/>
      <c r="W46" s="32"/>
    </row>
    <row r="47" spans="1:23">
      <c r="A47" s="11" t="s">
        <v>14</v>
      </c>
      <c r="B47" s="20">
        <f ca="1" t="shared" si="12"/>
        <v>-5</v>
      </c>
      <c r="C47" s="20">
        <v>1</v>
      </c>
      <c r="D47" s="20">
        <f ca="1" t="shared" si="13"/>
        <v>1.375</v>
      </c>
      <c r="E47" s="20">
        <f ca="1" t="shared" si="14"/>
        <v>84340.9750940621</v>
      </c>
      <c r="H47" s="20"/>
      <c r="I47" s="20"/>
      <c r="J47" s="20"/>
      <c r="K47" s="20"/>
      <c r="L47" s="20"/>
      <c r="M47" s="7"/>
      <c r="N47" s="7"/>
      <c r="O47" s="11"/>
      <c r="P47" s="11"/>
      <c r="Q47" s="11"/>
      <c r="R47" s="11"/>
      <c r="S47" s="11"/>
      <c r="T47" s="11"/>
      <c r="U47" s="20"/>
      <c r="V47" s="32"/>
      <c r="W47" s="32"/>
    </row>
    <row r="48" spans="1:23">
      <c r="A48" s="11" t="s">
        <v>14</v>
      </c>
      <c r="B48" s="20">
        <f ca="1" t="shared" si="12"/>
        <v>-5</v>
      </c>
      <c r="C48" s="20">
        <v>1</v>
      </c>
      <c r="D48" s="20">
        <f ca="1" t="shared" si="13"/>
        <v>1.375</v>
      </c>
      <c r="E48" s="20">
        <f ca="1" t="shared" si="14"/>
        <v>84340.9750940621</v>
      </c>
      <c r="H48" s="20"/>
      <c r="I48" s="20"/>
      <c r="J48" s="20"/>
      <c r="K48" s="20"/>
      <c r="L48" s="20"/>
      <c r="M48" s="7"/>
      <c r="N48" s="7"/>
      <c r="O48" s="11"/>
      <c r="P48" s="11"/>
      <c r="Q48" s="11"/>
      <c r="R48" s="11"/>
      <c r="S48" s="11"/>
      <c r="T48" s="11"/>
      <c r="U48" s="20"/>
      <c r="V48" s="32"/>
      <c r="W48" s="32"/>
    </row>
    <row r="49" spans="1:23">
      <c r="A49" s="11"/>
      <c r="B49" s="7"/>
      <c r="C49" s="11">
        <f>SUM(C38:C48)</f>
        <v>10</v>
      </c>
      <c r="D49" s="11">
        <f ca="1">SUM(D39:D48)+C49/16</f>
        <v>13.34375</v>
      </c>
      <c r="E49" s="7">
        <f ca="1">INT(D49+1)*$I$9</f>
        <v>175428.958120804</v>
      </c>
      <c r="F49" s="11">
        <f ca="1">D49*$I$16/$T$15+(D50-D49)*$I$15/$T$15</f>
        <v>103274.915014594</v>
      </c>
      <c r="H49" s="20"/>
      <c r="I49" s="20"/>
      <c r="J49" s="20"/>
      <c r="K49" s="20"/>
      <c r="L49" s="20"/>
      <c r="O49" s="11"/>
      <c r="P49" s="11"/>
      <c r="Q49" s="11"/>
      <c r="R49" s="11"/>
      <c r="S49" s="11"/>
      <c r="T49" s="11"/>
      <c r="U49" s="20"/>
      <c r="V49" s="32"/>
      <c r="W49" s="32"/>
    </row>
    <row r="50" spans="1:23">
      <c r="A50" s="11"/>
      <c r="B50" s="11">
        <f ca="1">SUM(B36:B48)</f>
        <v>-45.5</v>
      </c>
      <c r="C50" s="11">
        <f>SUM(C36:C48)</f>
        <v>11.3</v>
      </c>
      <c r="D50" s="11">
        <f ca="1">SUM(D36:D48)</f>
        <v>15.5375</v>
      </c>
      <c r="E50" s="11">
        <f ca="1">SUM(E36:E49)</f>
        <v>1146686.19666491</v>
      </c>
      <c r="H50" s="20"/>
      <c r="I50" s="20"/>
      <c r="J50" s="20"/>
      <c r="K50" s="20"/>
      <c r="L50" s="20"/>
      <c r="O50" s="11"/>
      <c r="P50" s="11"/>
      <c r="Q50" s="11"/>
      <c r="R50" s="11"/>
      <c r="S50" s="11"/>
      <c r="T50" s="7"/>
      <c r="U50" s="20"/>
      <c r="V50" s="32"/>
      <c r="W50" s="32"/>
    </row>
    <row r="51" spans="1:23">
      <c r="A51" s="11"/>
      <c r="B51" s="11">
        <v>0</v>
      </c>
      <c r="C51" s="11">
        <f>C50*B51</f>
        <v>0</v>
      </c>
      <c r="D51" s="11">
        <f ca="1">D50+C51/16</f>
        <v>15.5375</v>
      </c>
      <c r="E51" s="11">
        <f ca="1">E50/D51</f>
        <v>73801.2033251749</v>
      </c>
      <c r="F51" s="11">
        <f ca="1">F49/D51</f>
        <v>6646.81673464806</v>
      </c>
      <c r="G51" s="11">
        <f ca="1">(E51+F51+$Q$30+$Q$31+$Q$32+$Q$33)*(1+$P$23)</f>
        <v>102701.560950332</v>
      </c>
      <c r="H51" s="20"/>
      <c r="I51" s="20"/>
      <c r="J51" s="20"/>
      <c r="K51" s="20"/>
      <c r="L51" s="20"/>
      <c r="O51" s="11"/>
      <c r="P51" s="11"/>
      <c r="Q51" s="11"/>
      <c r="R51" s="11"/>
      <c r="S51" s="11"/>
      <c r="T51" s="11"/>
      <c r="U51" s="20"/>
      <c r="V51" s="32"/>
      <c r="W51" s="32"/>
    </row>
    <row r="52" spans="1:23">
      <c r="A52" s="11"/>
      <c r="B52" s="11">
        <v>1</v>
      </c>
      <c r="C52" s="11">
        <f>C50*B52</f>
        <v>11.3</v>
      </c>
      <c r="D52" s="11">
        <f ca="1">D50+C52/16</f>
        <v>16.24375</v>
      </c>
      <c r="E52" s="11">
        <f ca="1">E50/D52</f>
        <v>70592.4553545152</v>
      </c>
      <c r="F52" s="11">
        <f ca="1">F49/D52</f>
        <v>6357.82470270684</v>
      </c>
      <c r="G52" s="11">
        <f ca="1">(E52+F52+$Q$30+$Q$31+$Q$32+$Q$33)*(1+$P$23)</f>
        <v>99203.8209477307</v>
      </c>
      <c r="H52" s="20">
        <f ca="1">(G52-实战!G52)*10</f>
        <v>0</v>
      </c>
      <c r="I52" s="20"/>
      <c r="J52" s="20"/>
      <c r="K52" s="20"/>
      <c r="L52" s="20"/>
      <c r="O52" s="11"/>
      <c r="P52" s="11"/>
      <c r="Q52" s="7"/>
      <c r="R52" s="11"/>
      <c r="S52" s="11"/>
      <c r="T52" s="11"/>
      <c r="U52" s="20"/>
      <c r="V52" s="32"/>
      <c r="W52" s="32"/>
    </row>
    <row r="53" spans="1:23">
      <c r="A53" s="11"/>
      <c r="B53" s="11">
        <v>3</v>
      </c>
      <c r="C53" s="11">
        <f>C50*B53</f>
        <v>33.9</v>
      </c>
      <c r="D53" s="11">
        <f ca="1">D50+C53/16</f>
        <v>17.65625</v>
      </c>
      <c r="E53" s="11">
        <f ca="1">E50/D53</f>
        <v>64945.0589261539</v>
      </c>
      <c r="F53" s="20">
        <f ca="1">F49/D53</f>
        <v>5849.19872649029</v>
      </c>
      <c r="G53" s="11">
        <f ca="1">(E53+F53+$Q$30+$Q$31+$Q$32+$Q$33)*(1+$P$23)</f>
        <v>93047.7985431529</v>
      </c>
      <c r="H53" s="20"/>
      <c r="I53" s="20"/>
      <c r="J53" s="20"/>
      <c r="K53" s="20"/>
      <c r="L53" s="20"/>
      <c r="O53" s="7"/>
      <c r="P53" s="11"/>
      <c r="Q53" s="7"/>
      <c r="R53" s="11"/>
      <c r="S53" s="11"/>
      <c r="T53" s="11"/>
      <c r="U53" s="20"/>
      <c r="V53" s="32"/>
      <c r="W53" s="32"/>
    </row>
    <row r="54" spans="1:23">
      <c r="A54" s="11"/>
      <c r="B54" s="11">
        <v>5</v>
      </c>
      <c r="C54" s="11">
        <f>C50*B54</f>
        <v>56.5</v>
      </c>
      <c r="D54" s="11">
        <f ca="1">D50+C54/16</f>
        <v>19.06875</v>
      </c>
      <c r="E54" s="11">
        <f ca="1">E50/D54</f>
        <v>60134.3138205129</v>
      </c>
      <c r="F54" s="20">
        <f ca="1">F49/D54</f>
        <v>5415.92474675027</v>
      </c>
      <c r="G54" s="11">
        <f ca="1">(E54+F54+$Q$30+$Q$31+$Q$32+$Q$33)*(1+$P$23)</f>
        <v>87803.7794577718</v>
      </c>
      <c r="H54" s="11"/>
      <c r="I54" s="20"/>
      <c r="J54" s="20"/>
      <c r="K54" s="20"/>
      <c r="L54" s="20"/>
      <c r="O54" s="11"/>
      <c r="P54" s="11"/>
      <c r="Q54" s="7"/>
      <c r="R54" s="11"/>
      <c r="S54" s="11"/>
      <c r="T54" s="11"/>
      <c r="U54" s="20"/>
      <c r="V54" s="32"/>
      <c r="W54" s="32"/>
    </row>
    <row r="55" spans="1:23">
      <c r="A55" s="11"/>
      <c r="B55" s="11">
        <v>7</v>
      </c>
      <c r="C55" s="11">
        <f>C50*B55</f>
        <v>79.1</v>
      </c>
      <c r="D55" s="11">
        <f ca="1">D50+C55/16</f>
        <v>20.48125</v>
      </c>
      <c r="E55" s="11">
        <f ca="1">E50/D55</f>
        <v>55987.1197639258</v>
      </c>
      <c r="F55" s="20">
        <f ca="1">F49/D55</f>
        <v>5042.41269525025</v>
      </c>
      <c r="G55" s="11">
        <f ca="1">(E55+F55+$Q$30+$Q$31+$Q$32+$Q$33)*(1+$P$23)</f>
        <v>83283.0733496847</v>
      </c>
      <c r="H55" s="11"/>
      <c r="I55" s="20"/>
      <c r="J55" s="20"/>
      <c r="K55" s="20"/>
      <c r="L55" s="20"/>
      <c r="O55" s="11"/>
      <c r="P55" s="11"/>
      <c r="Q55" s="7"/>
      <c r="R55" s="11"/>
      <c r="S55" s="11"/>
      <c r="T55" s="11"/>
      <c r="U55" s="20"/>
      <c r="V55" s="32"/>
      <c r="W55" s="32"/>
    </row>
    <row r="56" spans="8:23">
      <c r="H56" s="20"/>
      <c r="I56" s="20"/>
      <c r="J56" s="20"/>
      <c r="K56" s="20"/>
      <c r="L56" s="20"/>
      <c r="M56" s="20"/>
      <c r="N56" s="20"/>
      <c r="O56" s="11"/>
      <c r="P56" s="11"/>
      <c r="Q56" s="7"/>
      <c r="R56" s="11"/>
      <c r="S56" s="11"/>
      <c r="T56" s="11"/>
      <c r="U56" s="20"/>
      <c r="V56" s="32"/>
      <c r="W56" s="32"/>
    </row>
    <row r="57" spans="8:24">
      <c r="H57" s="20"/>
      <c r="I57" s="20"/>
      <c r="J57" s="20"/>
      <c r="K57" s="20"/>
      <c r="L57" s="20"/>
      <c r="M57" s="20"/>
      <c r="N57" s="20"/>
      <c r="O57" s="11"/>
      <c r="P57" s="11"/>
      <c r="Q57" s="7"/>
      <c r="R57" s="11"/>
      <c r="S57" s="11"/>
      <c r="T57" s="11"/>
      <c r="U57" s="20"/>
      <c r="V57" s="32"/>
      <c r="W57" s="32"/>
      <c r="X57" s="32"/>
    </row>
    <row r="58" spans="1:23">
      <c r="A58" s="20"/>
      <c r="B58" s="20"/>
      <c r="C58" s="20"/>
      <c r="D58" s="20"/>
      <c r="E58" s="20"/>
      <c r="H58" s="20"/>
      <c r="I58" s="20"/>
      <c r="J58" s="20"/>
      <c r="K58" s="20"/>
      <c r="L58" s="20"/>
      <c r="M58" s="20"/>
      <c r="N58" s="20"/>
      <c r="O58" s="11"/>
      <c r="P58" s="11"/>
      <c r="Q58" s="7"/>
      <c r="R58" s="11"/>
      <c r="S58" s="11"/>
      <c r="T58" s="11"/>
      <c r="U58" s="20"/>
      <c r="V58" s="32"/>
      <c r="W58" s="34"/>
    </row>
    <row r="59" spans="1:23">
      <c r="A59" s="20"/>
      <c r="B59" s="20"/>
      <c r="C59" s="20"/>
      <c r="D59" s="20"/>
      <c r="E59" s="20"/>
      <c r="H59" s="20"/>
      <c r="I59" s="20"/>
      <c r="J59" s="20"/>
      <c r="K59" s="20"/>
      <c r="L59" s="20"/>
      <c r="M59" s="20"/>
      <c r="N59" s="20"/>
      <c r="O59" s="11"/>
      <c r="P59" s="11"/>
      <c r="Q59" s="7"/>
      <c r="R59" s="11"/>
      <c r="S59" s="11"/>
      <c r="T59" s="11"/>
      <c r="U59" s="20"/>
      <c r="V59" s="32"/>
      <c r="W59" s="34"/>
    </row>
    <row r="60" spans="1:23">
      <c r="A60" s="20"/>
      <c r="B60" s="20"/>
      <c r="C60" s="20"/>
      <c r="D60" s="20"/>
      <c r="E60" s="20"/>
      <c r="H60" s="20"/>
      <c r="I60" s="20"/>
      <c r="J60" s="20"/>
      <c r="K60" s="20"/>
      <c r="L60" s="20"/>
      <c r="M60" s="20"/>
      <c r="N60" s="20"/>
      <c r="O60" s="11"/>
      <c r="P60" s="11"/>
      <c r="Q60" s="7"/>
      <c r="R60" s="11"/>
      <c r="S60" s="11"/>
      <c r="T60" s="11"/>
      <c r="U60" s="20"/>
      <c r="V60" s="32"/>
      <c r="W60" s="34"/>
    </row>
    <row r="61" spans="1:23">
      <c r="A61" s="20"/>
      <c r="B61" s="20"/>
      <c r="C61" s="20"/>
      <c r="D61" s="20"/>
      <c r="E61" s="20"/>
      <c r="H61" s="20"/>
      <c r="I61" s="20"/>
      <c r="J61" s="20"/>
      <c r="K61" s="20"/>
      <c r="L61" s="20"/>
      <c r="M61" s="20"/>
      <c r="N61" s="20"/>
      <c r="O61" s="11"/>
      <c r="P61" s="11"/>
      <c r="Q61" s="7"/>
      <c r="R61" s="11"/>
      <c r="S61" s="11"/>
      <c r="T61" s="11"/>
      <c r="U61" s="20"/>
      <c r="V61" s="32"/>
      <c r="W61" s="34"/>
    </row>
    <row r="62" spans="1:23">
      <c r="A62" s="20"/>
      <c r="B62" s="20"/>
      <c r="C62" s="20"/>
      <c r="D62" s="20"/>
      <c r="E62" s="20"/>
      <c r="H62" s="20"/>
      <c r="I62" s="20"/>
      <c r="J62" s="20"/>
      <c r="K62" s="20"/>
      <c r="L62" s="20"/>
      <c r="M62" s="20"/>
      <c r="N62" s="20"/>
      <c r="O62" s="11"/>
      <c r="P62" s="11"/>
      <c r="Q62" s="7"/>
      <c r="R62" s="11"/>
      <c r="S62" s="11"/>
      <c r="T62" s="11"/>
      <c r="U62" s="20"/>
      <c r="V62" s="32"/>
      <c r="W62" s="34"/>
    </row>
    <row r="63" spans="1:23">
      <c r="A63" s="20"/>
      <c r="B63" s="20"/>
      <c r="C63" s="20"/>
      <c r="D63" s="20"/>
      <c r="E63" s="20"/>
      <c r="H63" s="20"/>
      <c r="I63" s="20"/>
      <c r="J63" s="20"/>
      <c r="K63" s="20"/>
      <c r="L63" s="20"/>
      <c r="M63" s="20"/>
      <c r="N63" s="20"/>
      <c r="O63" s="11"/>
      <c r="U63" s="20"/>
      <c r="V63" s="32"/>
      <c r="W63" s="34"/>
    </row>
    <row r="64" spans="1:23">
      <c r="A64" s="20"/>
      <c r="B64" s="20"/>
      <c r="C64" s="20"/>
      <c r="D64" s="20"/>
      <c r="E64" s="20"/>
      <c r="H64" s="20"/>
      <c r="I64" s="20"/>
      <c r="J64" s="20"/>
      <c r="K64" s="20"/>
      <c r="L64" s="20"/>
      <c r="M64" s="20"/>
      <c r="N64" s="20"/>
      <c r="P64" s="7"/>
      <c r="Q64" s="11"/>
      <c r="R64" s="11"/>
      <c r="S64" s="7"/>
      <c r="T64" s="11"/>
      <c r="U64" s="20"/>
      <c r="V64" s="32"/>
      <c r="W64" s="34"/>
    </row>
    <row r="65" spans="1:23">
      <c r="A65" s="20"/>
      <c r="B65" s="20"/>
      <c r="C65" s="20"/>
      <c r="D65" s="20"/>
      <c r="E65" s="20"/>
      <c r="H65" s="20"/>
      <c r="I65" s="20"/>
      <c r="J65" s="20"/>
      <c r="K65" s="20"/>
      <c r="L65" s="20"/>
      <c r="M65" s="20"/>
      <c r="N65" s="20"/>
      <c r="O65" s="11"/>
      <c r="P65" s="11"/>
      <c r="Q65" s="11"/>
      <c r="R65" s="11"/>
      <c r="S65" s="11"/>
      <c r="T65" s="11"/>
      <c r="U65" s="20"/>
      <c r="V65" s="32"/>
      <c r="W65" s="34"/>
    </row>
    <row r="66" spans="1:23">
      <c r="A66" s="20"/>
      <c r="B66" s="20"/>
      <c r="C66" s="20"/>
      <c r="D66" s="20"/>
      <c r="E66" s="20"/>
      <c r="H66" s="20"/>
      <c r="I66" s="20"/>
      <c r="J66" s="20"/>
      <c r="K66" s="20"/>
      <c r="L66" s="20"/>
      <c r="M66" s="20"/>
      <c r="N66" s="20"/>
      <c r="O66" s="11"/>
      <c r="P66" s="11"/>
      <c r="Q66" s="11"/>
      <c r="R66" s="11"/>
      <c r="S66" s="11"/>
      <c r="T66" s="11"/>
      <c r="U66" s="11"/>
      <c r="V66" s="32"/>
      <c r="W66" s="34"/>
    </row>
    <row r="67" spans="1:23">
      <c r="A67" s="20"/>
      <c r="B67" s="20"/>
      <c r="C67" s="20"/>
      <c r="D67" s="20"/>
      <c r="E67" s="20"/>
      <c r="H67" s="20"/>
      <c r="I67" s="20"/>
      <c r="J67" s="20"/>
      <c r="K67" s="20"/>
      <c r="L67" s="20"/>
      <c r="O67" s="11"/>
      <c r="P67" s="11"/>
      <c r="Q67" s="11"/>
      <c r="R67" s="11"/>
      <c r="S67" s="11"/>
      <c r="T67" s="11"/>
      <c r="U67" s="11"/>
      <c r="V67" s="32"/>
      <c r="W67" s="34"/>
    </row>
    <row r="68" spans="1:2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O68" s="11"/>
      <c r="P68" s="11"/>
      <c r="Q68" s="11"/>
      <c r="R68" s="11"/>
      <c r="S68" s="11"/>
      <c r="T68" s="20"/>
      <c r="U68" s="11"/>
      <c r="V68" s="32"/>
      <c r="W68" s="34"/>
    </row>
    <row r="69" spans="1:23">
      <c r="A69" s="20"/>
      <c r="B69" s="20"/>
      <c r="C69" s="20"/>
      <c r="D69" s="20"/>
      <c r="E69" s="20"/>
      <c r="F69" s="20"/>
      <c r="G69" s="20"/>
      <c r="H69" s="11"/>
      <c r="I69" s="20"/>
      <c r="J69" s="20"/>
      <c r="K69" s="20"/>
      <c r="L69" s="20"/>
      <c r="O69" s="11"/>
      <c r="P69" s="11"/>
      <c r="Q69" s="11"/>
      <c r="R69" s="11"/>
      <c r="S69" s="11"/>
      <c r="T69" s="20"/>
      <c r="U69" s="11"/>
      <c r="V69" s="32"/>
      <c r="W69" s="34"/>
    </row>
    <row r="70" spans="1:23">
      <c r="A70" s="20"/>
      <c r="B70" s="20"/>
      <c r="C70" s="20"/>
      <c r="D70" s="20"/>
      <c r="E70" s="20"/>
      <c r="F70" s="20"/>
      <c r="G70" s="20"/>
      <c r="H70" s="11"/>
      <c r="I70" s="20"/>
      <c r="J70" s="20"/>
      <c r="K70" s="20"/>
      <c r="L70" s="20"/>
      <c r="O70" s="11"/>
      <c r="P70" s="11"/>
      <c r="Q70" s="11"/>
      <c r="R70" s="11"/>
      <c r="S70" s="11"/>
      <c r="T70" s="20"/>
      <c r="U70" s="11"/>
      <c r="V70" s="32"/>
      <c r="W70" s="34"/>
    </row>
    <row r="71" spans="1:23">
      <c r="A71" s="11"/>
      <c r="B71" s="7"/>
      <c r="C71" s="11"/>
      <c r="D71" s="11"/>
      <c r="E71" s="7"/>
      <c r="F71" s="11"/>
      <c r="G71" s="11"/>
      <c r="H71" s="20"/>
      <c r="I71" s="7"/>
      <c r="J71" s="11"/>
      <c r="K71" s="11"/>
      <c r="L71" s="7"/>
      <c r="M71" s="11"/>
      <c r="N71" s="11"/>
      <c r="U71" s="20"/>
      <c r="V71" s="32"/>
      <c r="W71" s="34"/>
    </row>
    <row r="72" spans="1:23">
      <c r="A72" s="7"/>
      <c r="B72" s="11"/>
      <c r="C72" s="11"/>
      <c r="D72" s="11"/>
      <c r="E72" s="11"/>
      <c r="F72" s="11"/>
      <c r="G72" s="11"/>
      <c r="H72" s="20"/>
      <c r="I72" s="11"/>
      <c r="J72" s="11"/>
      <c r="K72" s="11"/>
      <c r="L72" s="11"/>
      <c r="N72" s="11"/>
      <c r="O72" s="20"/>
      <c r="U72" s="20"/>
      <c r="V72" s="32"/>
      <c r="W72" s="34"/>
    </row>
    <row r="73" spans="1:23">
      <c r="A73" s="11"/>
      <c r="B73" s="11"/>
      <c r="C73" s="11"/>
      <c r="D73" s="11"/>
      <c r="E73" s="11"/>
      <c r="F73" s="11"/>
      <c r="G73" s="11"/>
      <c r="H73" s="20"/>
      <c r="I73" s="11"/>
      <c r="J73" s="11"/>
      <c r="K73" s="11"/>
      <c r="L73" s="11"/>
      <c r="M73" s="11"/>
      <c r="N73" s="11"/>
      <c r="O73" s="20"/>
      <c r="U73" s="20"/>
      <c r="V73" s="32"/>
      <c r="W73" s="34"/>
    </row>
    <row r="74" spans="1:23">
      <c r="A74" s="11"/>
      <c r="B74" s="11"/>
      <c r="C74" s="11"/>
      <c r="D74" s="11"/>
      <c r="E74" s="11"/>
      <c r="F74" s="11"/>
      <c r="G74" s="11"/>
      <c r="H74" s="20"/>
      <c r="I74" s="11"/>
      <c r="J74" s="11"/>
      <c r="K74" s="11"/>
      <c r="L74" s="11"/>
      <c r="M74" s="11"/>
      <c r="N74" s="11"/>
      <c r="O74" s="20"/>
      <c r="U74" s="20"/>
      <c r="V74" s="32"/>
      <c r="W74" s="34"/>
    </row>
    <row r="75" spans="1:23">
      <c r="A75" s="11"/>
      <c r="B75" s="11"/>
      <c r="C75" s="11"/>
      <c r="D75" s="11"/>
      <c r="E75" s="11"/>
      <c r="F75" s="20"/>
      <c r="G75" s="11"/>
      <c r="H75" s="20"/>
      <c r="I75" s="11"/>
      <c r="J75" s="11"/>
      <c r="K75" s="11"/>
      <c r="L75" s="11"/>
      <c r="M75" s="20"/>
      <c r="N75" s="11"/>
      <c r="O75" s="20"/>
      <c r="U75" s="20"/>
      <c r="V75" s="32"/>
      <c r="W75" s="34"/>
    </row>
    <row r="76" spans="1:23">
      <c r="A76" s="11"/>
      <c r="B76" s="11"/>
      <c r="C76" s="11"/>
      <c r="D76" s="11"/>
      <c r="E76" s="11"/>
      <c r="F76" s="20"/>
      <c r="G76" s="11"/>
      <c r="H76" s="20"/>
      <c r="I76" s="11"/>
      <c r="J76" s="11"/>
      <c r="K76" s="11"/>
      <c r="L76" s="11"/>
      <c r="M76" s="20"/>
      <c r="N76" s="11"/>
      <c r="O76" s="20"/>
      <c r="U76" s="20"/>
      <c r="V76" s="32"/>
      <c r="W76" s="34"/>
    </row>
    <row r="77" spans="1:23">
      <c r="A77" s="11"/>
      <c r="B77" s="11"/>
      <c r="C77" s="11"/>
      <c r="D77" s="11"/>
      <c r="E77" s="11"/>
      <c r="F77" s="20"/>
      <c r="G77" s="11"/>
      <c r="H77" s="20"/>
      <c r="I77" s="11"/>
      <c r="J77" s="11"/>
      <c r="K77" s="11"/>
      <c r="L77" s="11"/>
      <c r="M77" s="20"/>
      <c r="N77" s="11"/>
      <c r="O77" s="20"/>
      <c r="U77" s="20"/>
      <c r="V77" s="32"/>
      <c r="W77" s="34"/>
    </row>
    <row r="78" spans="8:23">
      <c r="H78" s="11"/>
      <c r="I78" s="11"/>
      <c r="J78" s="1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32"/>
      <c r="W78" s="34"/>
    </row>
    <row r="79" spans="8:23">
      <c r="H79" s="11"/>
      <c r="I79" s="11"/>
      <c r="J79" s="1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32"/>
      <c r="W79" s="34"/>
    </row>
    <row r="80" spans="1:2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32"/>
      <c r="W80" s="34"/>
    </row>
    <row r="81" spans="1:2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32"/>
      <c r="W81" s="34"/>
    </row>
    <row r="82" spans="1:2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32"/>
      <c r="W82" s="34"/>
    </row>
    <row r="83" spans="1:2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32"/>
      <c r="W83" s="34"/>
    </row>
    <row r="84" spans="1:2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32"/>
      <c r="W84" s="34"/>
    </row>
    <row r="85" spans="1:2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32"/>
      <c r="W85" s="34"/>
    </row>
    <row r="86" spans="1:2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32"/>
      <c r="W86" s="34"/>
    </row>
    <row r="87" spans="1:2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32"/>
      <c r="W87" s="34"/>
    </row>
    <row r="88" spans="1:2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32"/>
      <c r="W88" s="34"/>
    </row>
    <row r="89" spans="1:2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32"/>
      <c r="W89" s="34"/>
    </row>
    <row r="90" spans="1:2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32"/>
      <c r="W90" s="34"/>
    </row>
    <row r="91" spans="1:2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32"/>
      <c r="W91" s="34"/>
    </row>
    <row r="92" spans="1:2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32"/>
      <c r="W92" s="34"/>
    </row>
    <row r="93" spans="1:23">
      <c r="A93" s="20"/>
      <c r="B93" s="20"/>
      <c r="C93" s="20"/>
      <c r="D93" s="20"/>
      <c r="E93" s="20"/>
      <c r="F93" s="11"/>
      <c r="G93" s="7"/>
      <c r="H93" s="20"/>
      <c r="I93" s="20"/>
      <c r="J93" s="20"/>
      <c r="K93" s="20"/>
      <c r="L93" s="20"/>
      <c r="M93" s="11"/>
      <c r="N93" s="7"/>
      <c r="O93" s="20"/>
      <c r="P93" s="20"/>
      <c r="Q93" s="20"/>
      <c r="R93" s="20"/>
      <c r="S93" s="20"/>
      <c r="T93" s="11"/>
      <c r="U93" s="7"/>
      <c r="V93" s="32"/>
      <c r="W93" s="34"/>
    </row>
    <row r="94" spans="1:23">
      <c r="A94" s="20"/>
      <c r="B94" s="20"/>
      <c r="C94" s="20"/>
      <c r="D94" s="20"/>
      <c r="E94" s="20"/>
      <c r="F94" s="7"/>
      <c r="G94" s="11"/>
      <c r="H94" s="20"/>
      <c r="I94" s="20"/>
      <c r="J94" s="20"/>
      <c r="K94" s="20"/>
      <c r="L94" s="20"/>
      <c r="M94" s="7"/>
      <c r="N94" s="11"/>
      <c r="O94" s="20"/>
      <c r="P94" s="20"/>
      <c r="Q94" s="20"/>
      <c r="R94" s="20"/>
      <c r="S94" s="20"/>
      <c r="T94" s="7"/>
      <c r="U94" s="11"/>
      <c r="V94" s="32"/>
      <c r="W94" s="34"/>
    </row>
    <row r="95" spans="1:23">
      <c r="A95" s="20"/>
      <c r="B95" s="20"/>
      <c r="C95" s="20"/>
      <c r="D95" s="20"/>
      <c r="E95" s="20"/>
      <c r="F95" s="11"/>
      <c r="G95" s="11"/>
      <c r="H95" s="20"/>
      <c r="I95" s="20"/>
      <c r="J95" s="20"/>
      <c r="K95" s="20"/>
      <c r="L95" s="20"/>
      <c r="M95" s="11"/>
      <c r="N95" s="11"/>
      <c r="O95" s="20"/>
      <c r="P95" s="20"/>
      <c r="Q95" s="20"/>
      <c r="R95" s="20"/>
      <c r="S95" s="20"/>
      <c r="T95" s="11"/>
      <c r="U95" s="11"/>
      <c r="V95" s="32"/>
      <c r="W95" s="34"/>
    </row>
    <row r="96" spans="1:23">
      <c r="A96" s="20"/>
      <c r="B96" s="7"/>
      <c r="C96" s="11"/>
      <c r="D96" s="11"/>
      <c r="E96" s="7"/>
      <c r="F96" s="11"/>
      <c r="G96" s="11"/>
      <c r="H96" s="20"/>
      <c r="I96" s="20"/>
      <c r="J96" s="20"/>
      <c r="K96" s="20"/>
      <c r="L96" s="20"/>
      <c r="O96" s="20"/>
      <c r="P96" s="20"/>
      <c r="Q96" s="20"/>
      <c r="R96" s="20"/>
      <c r="S96" s="20"/>
      <c r="V96" s="32"/>
      <c r="W96" s="34"/>
    </row>
    <row r="97" spans="1:23">
      <c r="A97" s="20"/>
      <c r="B97" s="11"/>
      <c r="C97" s="11"/>
      <c r="D97" s="11"/>
      <c r="E97" s="11"/>
      <c r="G97" s="11"/>
      <c r="H97" s="20"/>
      <c r="I97" s="7"/>
      <c r="J97" s="11"/>
      <c r="K97" s="11"/>
      <c r="L97" s="7"/>
      <c r="M97" s="11"/>
      <c r="N97" s="11"/>
      <c r="O97" s="20"/>
      <c r="P97" s="20"/>
      <c r="Q97" s="20"/>
      <c r="R97" s="20"/>
      <c r="S97" s="20"/>
      <c r="V97" s="32"/>
      <c r="W97" s="34"/>
    </row>
    <row r="98" spans="1:23">
      <c r="A98" s="20"/>
      <c r="B98" s="11"/>
      <c r="C98" s="11"/>
      <c r="D98" s="11"/>
      <c r="E98" s="11"/>
      <c r="F98" s="11"/>
      <c r="G98" s="11"/>
      <c r="H98" s="20"/>
      <c r="I98" s="11"/>
      <c r="J98" s="11"/>
      <c r="K98" s="11"/>
      <c r="L98" s="11"/>
      <c r="N98" s="11"/>
      <c r="O98" s="20"/>
      <c r="P98" s="7"/>
      <c r="Q98" s="11"/>
      <c r="R98" s="11"/>
      <c r="S98" s="7"/>
      <c r="T98" s="11"/>
      <c r="U98" s="11"/>
      <c r="V98" s="32"/>
      <c r="W98" s="34"/>
    </row>
    <row r="99" spans="1:23">
      <c r="A99" s="20"/>
      <c r="B99" s="11"/>
      <c r="C99" s="11"/>
      <c r="D99" s="11"/>
      <c r="E99" s="11"/>
      <c r="F99" s="11"/>
      <c r="G99" s="11"/>
      <c r="H99" s="20"/>
      <c r="I99" s="11"/>
      <c r="J99" s="11"/>
      <c r="K99" s="11"/>
      <c r="L99" s="11"/>
      <c r="M99" s="11"/>
      <c r="N99" s="11"/>
      <c r="O99" s="20"/>
      <c r="P99" s="11"/>
      <c r="Q99" s="11"/>
      <c r="R99" s="11"/>
      <c r="S99" s="11"/>
      <c r="U99" s="11"/>
      <c r="V99" s="32"/>
      <c r="W99" s="34"/>
    </row>
    <row r="100" spans="1:23">
      <c r="A100" s="20"/>
      <c r="B100" s="11"/>
      <c r="C100" s="11"/>
      <c r="D100" s="11"/>
      <c r="E100" s="11"/>
      <c r="F100" s="20"/>
      <c r="G100" s="11"/>
      <c r="H100" s="20"/>
      <c r="I100" s="11"/>
      <c r="J100" s="11"/>
      <c r="K100" s="11"/>
      <c r="L100" s="11"/>
      <c r="M100" s="11"/>
      <c r="N100" s="11"/>
      <c r="O100" s="20"/>
      <c r="P100" s="11"/>
      <c r="Q100" s="11"/>
      <c r="R100" s="11"/>
      <c r="S100" s="11"/>
      <c r="T100" s="11"/>
      <c r="U100" s="11"/>
      <c r="V100" s="32"/>
      <c r="W100" s="34"/>
    </row>
    <row r="101" spans="1:23">
      <c r="A101" s="20"/>
      <c r="B101" s="11"/>
      <c r="C101" s="11"/>
      <c r="D101" s="11"/>
      <c r="E101" s="11"/>
      <c r="F101" s="20"/>
      <c r="G101" s="11"/>
      <c r="H101" s="20"/>
      <c r="I101" s="11"/>
      <c r="J101" s="11"/>
      <c r="K101" s="11"/>
      <c r="L101" s="11"/>
      <c r="M101" s="20"/>
      <c r="N101" s="11"/>
      <c r="O101" s="20"/>
      <c r="P101" s="11"/>
      <c r="Q101" s="11"/>
      <c r="R101" s="11"/>
      <c r="S101" s="11"/>
      <c r="T101" s="11"/>
      <c r="U101" s="11"/>
      <c r="V101" s="32"/>
      <c r="W101" s="34"/>
    </row>
    <row r="102" spans="1:23">
      <c r="A102" s="20"/>
      <c r="B102" s="11"/>
      <c r="C102" s="11"/>
      <c r="D102" s="11"/>
      <c r="E102" s="11"/>
      <c r="F102" s="20"/>
      <c r="G102" s="11"/>
      <c r="H102" s="20"/>
      <c r="I102" s="11"/>
      <c r="J102" s="11"/>
      <c r="K102" s="11"/>
      <c r="L102" s="11"/>
      <c r="M102" s="20"/>
      <c r="N102" s="11"/>
      <c r="O102" s="20"/>
      <c r="P102" s="11"/>
      <c r="Q102" s="11"/>
      <c r="R102" s="11"/>
      <c r="S102" s="11"/>
      <c r="T102" s="20"/>
      <c r="U102" s="11"/>
      <c r="V102" s="32"/>
      <c r="W102" s="34"/>
    </row>
    <row r="103" spans="9:23">
      <c r="I103" s="11"/>
      <c r="J103" s="11"/>
      <c r="K103" s="11"/>
      <c r="L103" s="11"/>
      <c r="M103" s="20"/>
      <c r="N103" s="11"/>
      <c r="P103" s="11"/>
      <c r="Q103" s="11"/>
      <c r="R103" s="11"/>
      <c r="S103" s="11"/>
      <c r="T103" s="20"/>
      <c r="U103" s="11"/>
      <c r="V103" s="32"/>
      <c r="W103" s="34"/>
    </row>
    <row r="104" spans="16:23">
      <c r="P104" s="11"/>
      <c r="Q104" s="11"/>
      <c r="R104" s="11"/>
      <c r="S104" s="11"/>
      <c r="T104" s="20"/>
      <c r="U104" s="11"/>
      <c r="V104" s="32"/>
      <c r="W104" s="34"/>
    </row>
    <row r="105" spans="17:23">
      <c r="Q105" s="20"/>
      <c r="R105" s="20"/>
      <c r="S105" s="20"/>
      <c r="T105" s="20"/>
      <c r="U105" s="20"/>
      <c r="V105" s="32"/>
      <c r="W105" s="34"/>
    </row>
    <row r="106" spans="4:23">
      <c r="D106" s="20"/>
      <c r="E106" s="20"/>
      <c r="F106" s="20"/>
      <c r="G106" s="20"/>
      <c r="H106" s="20"/>
      <c r="I106" s="20"/>
      <c r="R106" s="20"/>
      <c r="V106" s="17"/>
      <c r="W106" s="17"/>
    </row>
    <row r="107" spans="18:23">
      <c r="R107" s="20"/>
      <c r="V107" s="17"/>
      <c r="W107" s="17"/>
    </row>
    <row r="108" spans="18:23">
      <c r="R108" s="20"/>
      <c r="V108" s="17"/>
      <c r="W108" s="17"/>
    </row>
    <row r="109" spans="18:23">
      <c r="R109" s="20"/>
      <c r="V109" s="17"/>
      <c r="W109" s="17"/>
    </row>
    <row r="110" spans="18:23">
      <c r="R110" s="20"/>
      <c r="V110" s="17"/>
      <c r="W110" s="17"/>
    </row>
    <row r="111" spans="18:23">
      <c r="R111" s="20"/>
      <c r="V111" s="17"/>
      <c r="W111" s="17"/>
    </row>
    <row r="112" spans="10:23">
      <c r="J112" s="20"/>
      <c r="R112" s="20"/>
      <c r="S112" s="20"/>
      <c r="T112" s="20"/>
      <c r="V112" s="17"/>
      <c r="W112" s="17"/>
    </row>
    <row r="113" spans="4:23">
      <c r="D113" s="16"/>
      <c r="E113" s="16"/>
      <c r="F113" s="16"/>
      <c r="G113" s="16"/>
      <c r="H113" s="16"/>
      <c r="I113" s="16"/>
      <c r="J113" s="13"/>
      <c r="K113" s="16"/>
      <c r="L113" s="16"/>
      <c r="M113" s="16"/>
      <c r="N113" s="16"/>
      <c r="O113" s="16"/>
      <c r="R113" s="20"/>
      <c r="S113" s="20"/>
      <c r="T113" s="20"/>
      <c r="U113" s="16"/>
      <c r="V113" s="17"/>
      <c r="W113" s="17"/>
    </row>
    <row r="114" spans="20:23">
      <c r="T114" s="20"/>
      <c r="V114" s="20"/>
      <c r="W114" s="17"/>
    </row>
    <row r="115" spans="20:23">
      <c r="T115" s="20"/>
      <c r="V115" s="20"/>
      <c r="W115" s="17"/>
    </row>
    <row r="116" spans="20:23">
      <c r="T116" s="20"/>
      <c r="V116" s="20"/>
      <c r="W116" s="17"/>
    </row>
    <row r="117" spans="20:23">
      <c r="T117" s="20"/>
      <c r="V117" s="20"/>
      <c r="W117" s="17"/>
    </row>
    <row r="118" spans="20:23">
      <c r="T118" s="20"/>
      <c r="V118" s="20"/>
      <c r="W118" s="17"/>
    </row>
    <row r="119" spans="18:23">
      <c r="R119" s="20"/>
      <c r="T119" s="20"/>
      <c r="V119" s="17"/>
      <c r="W119" s="17"/>
    </row>
    <row r="120" spans="4:23">
      <c r="D120" s="16"/>
      <c r="E120" s="16"/>
      <c r="F120" s="16"/>
      <c r="G120" s="16"/>
      <c r="H120" s="16"/>
      <c r="I120" s="16"/>
      <c r="J120" s="13"/>
      <c r="K120" s="16"/>
      <c r="L120" s="16"/>
      <c r="M120" s="16"/>
      <c r="N120" s="16"/>
      <c r="O120" s="16"/>
      <c r="R120" s="20"/>
      <c r="T120" s="20"/>
      <c r="U120" s="16"/>
      <c r="V120" s="17"/>
      <c r="W120" s="17"/>
    </row>
    <row r="121" spans="18:23">
      <c r="R121" s="20"/>
      <c r="T121" s="20"/>
      <c r="V121" s="20"/>
      <c r="W121" s="17"/>
    </row>
    <row r="122" spans="18:23">
      <c r="R122" s="20"/>
      <c r="T122" s="20"/>
      <c r="V122" s="20"/>
      <c r="W122" s="17"/>
    </row>
    <row r="123" spans="18:23">
      <c r="R123" s="20"/>
      <c r="T123" s="20"/>
      <c r="V123" s="20"/>
      <c r="W123" s="17"/>
    </row>
    <row r="124" spans="18:23">
      <c r="R124" s="20"/>
      <c r="T124" s="20"/>
      <c r="V124" s="20"/>
      <c r="W124" s="17"/>
    </row>
    <row r="125" spans="18:23">
      <c r="R125" s="20"/>
      <c r="T125" s="20"/>
      <c r="V125" s="20"/>
      <c r="W125" s="17"/>
    </row>
    <row r="126" spans="8:23">
      <c r="H126" s="11"/>
      <c r="R126" s="20"/>
      <c r="T126" s="20"/>
      <c r="V126" s="17"/>
      <c r="W126" s="17"/>
    </row>
    <row r="127" spans="4:23">
      <c r="D127" s="16"/>
      <c r="E127" s="16"/>
      <c r="F127" s="16"/>
      <c r="G127" s="16"/>
      <c r="H127" s="16"/>
      <c r="I127" s="16"/>
      <c r="J127" s="13"/>
      <c r="K127" s="16"/>
      <c r="L127" s="16"/>
      <c r="M127" s="16"/>
      <c r="N127" s="16"/>
      <c r="O127" s="16"/>
      <c r="R127" s="20"/>
      <c r="T127" s="20"/>
      <c r="U127" s="16"/>
      <c r="V127" s="17"/>
      <c r="W127" s="17"/>
    </row>
    <row r="128" spans="18:23">
      <c r="R128" s="20"/>
      <c r="T128" s="20"/>
      <c r="V128" s="20"/>
      <c r="W128" s="17"/>
    </row>
    <row r="129" spans="18:23">
      <c r="R129" s="20"/>
      <c r="T129" s="20"/>
      <c r="V129" s="20"/>
      <c r="W129" s="17"/>
    </row>
    <row r="130" spans="18:23">
      <c r="R130" s="20"/>
      <c r="T130" s="20"/>
      <c r="V130" s="20"/>
      <c r="W130" s="17"/>
    </row>
    <row r="131" spans="18:23">
      <c r="R131" s="20"/>
      <c r="T131" s="20"/>
      <c r="V131" s="20"/>
      <c r="W131" s="17"/>
    </row>
    <row r="132" spans="18:23">
      <c r="R132" s="20"/>
      <c r="T132" s="20"/>
      <c r="V132" s="20"/>
      <c r="W132" s="17"/>
    </row>
    <row r="133" spans="18:23">
      <c r="R133" s="20"/>
      <c r="T133" s="20"/>
      <c r="V133" s="17"/>
      <c r="W133" s="17"/>
    </row>
    <row r="134" spans="4:23">
      <c r="D134" s="16"/>
      <c r="E134" s="16"/>
      <c r="F134" s="16"/>
      <c r="G134" s="16"/>
      <c r="H134" s="16"/>
      <c r="I134" s="16"/>
      <c r="J134" s="13"/>
      <c r="K134" s="16"/>
      <c r="L134" s="16"/>
      <c r="M134" s="16"/>
      <c r="N134" s="16"/>
      <c r="O134" s="16"/>
      <c r="R134" s="20"/>
      <c r="T134" s="20"/>
      <c r="U134" s="16"/>
      <c r="V134" s="17"/>
      <c r="W134" s="17"/>
    </row>
    <row r="135" spans="18:23">
      <c r="R135" s="20"/>
      <c r="T135" s="20"/>
      <c r="V135" s="20"/>
      <c r="W135" s="17"/>
    </row>
    <row r="136" spans="18:23">
      <c r="R136" s="20"/>
      <c r="T136" s="20"/>
      <c r="V136" s="20"/>
      <c r="W136" s="17"/>
    </row>
    <row r="137" spans="18:23">
      <c r="R137" s="20"/>
      <c r="T137" s="20"/>
      <c r="V137" s="20"/>
      <c r="W137" s="17"/>
    </row>
    <row r="138" spans="22:23">
      <c r="V138" s="20"/>
      <c r="W138" s="17"/>
    </row>
    <row r="139" spans="22:23">
      <c r="V139" s="20"/>
      <c r="W139" s="17"/>
    </row>
    <row r="140" spans="22:23">
      <c r="V140" s="17"/>
      <c r="W140" s="20"/>
    </row>
    <row r="141" spans="4:23">
      <c r="D141" s="16"/>
      <c r="E141" s="16"/>
      <c r="F141" s="16"/>
      <c r="G141" s="16"/>
      <c r="H141" s="16"/>
      <c r="I141" s="16"/>
      <c r="J141" s="13"/>
      <c r="K141" s="16"/>
      <c r="L141" s="16"/>
      <c r="M141" s="16"/>
      <c r="N141" s="16"/>
      <c r="O141" s="16"/>
      <c r="V141" s="17"/>
      <c r="W141" s="17"/>
    </row>
    <row r="142" spans="22:23">
      <c r="V142" s="20"/>
      <c r="W142" s="17"/>
    </row>
    <row r="143" spans="22:23">
      <c r="V143" s="20"/>
      <c r="W143" s="17"/>
    </row>
    <row r="144" spans="22:23">
      <c r="V144" s="20"/>
      <c r="W144" s="17"/>
    </row>
    <row r="145" spans="22:23">
      <c r="V145" s="20"/>
      <c r="W145" s="17"/>
    </row>
    <row r="146" spans="1:2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17"/>
    </row>
    <row r="147" spans="1:2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spans="1:2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</row>
    <row r="149" spans="1:2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0" spans="1:2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</row>
    <row r="151" spans="1:2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spans="1:2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</row>
    <row r="153" spans="1:2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</row>
    <row r="154" spans="1:2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</row>
    <row r="155" spans="1:2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</row>
    <row r="156" spans="1:2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</row>
    <row r="157" spans="1:2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</row>
    <row r="158" spans="1:2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</row>
    <row r="159" spans="1:19">
      <c r="A159" s="20"/>
      <c r="B159" s="20"/>
      <c r="C159" s="20"/>
      <c r="D159" s="20"/>
      <c r="E159" s="20"/>
      <c r="H159" s="20"/>
      <c r="I159" s="20"/>
      <c r="J159" s="20"/>
      <c r="K159" s="20"/>
      <c r="L159" s="20"/>
      <c r="O159" s="20"/>
      <c r="P159" s="20"/>
      <c r="Q159" s="20"/>
      <c r="R159" s="20"/>
      <c r="S159" s="20"/>
    </row>
    <row r="160" spans="1:19">
      <c r="A160" s="20"/>
      <c r="B160" s="20"/>
      <c r="C160" s="20"/>
      <c r="D160" s="20"/>
      <c r="E160" s="20"/>
      <c r="H160" s="20"/>
      <c r="I160" s="20"/>
      <c r="J160" s="20"/>
      <c r="K160" s="20"/>
      <c r="L160" s="20"/>
      <c r="O160" s="20"/>
      <c r="P160" s="20"/>
      <c r="Q160" s="20"/>
      <c r="R160" s="20"/>
      <c r="S160" s="20"/>
    </row>
    <row r="161" spans="1:21">
      <c r="A161" s="20"/>
      <c r="B161" s="7"/>
      <c r="C161" s="11"/>
      <c r="D161" s="11"/>
      <c r="E161" s="7"/>
      <c r="F161" s="11"/>
      <c r="G161" s="11"/>
      <c r="H161" s="20"/>
      <c r="I161" s="7"/>
      <c r="J161" s="11"/>
      <c r="K161" s="11"/>
      <c r="L161" s="7"/>
      <c r="M161" s="11"/>
      <c r="N161" s="11"/>
      <c r="O161" s="20"/>
      <c r="P161" s="7"/>
      <c r="Q161" s="11"/>
      <c r="R161" s="11"/>
      <c r="S161" s="7"/>
      <c r="T161" s="11"/>
      <c r="U161" s="11"/>
    </row>
    <row r="162" spans="1:21">
      <c r="A162" s="20"/>
      <c r="B162" s="11"/>
      <c r="C162" s="11"/>
      <c r="D162" s="11"/>
      <c r="E162" s="11"/>
      <c r="F162" s="11"/>
      <c r="G162" s="11"/>
      <c r="H162" s="20"/>
      <c r="I162" s="11"/>
      <c r="J162" s="11"/>
      <c r="K162" s="11"/>
      <c r="L162" s="11"/>
      <c r="M162" s="11"/>
      <c r="N162" s="11"/>
      <c r="O162" s="20"/>
      <c r="P162" s="11"/>
      <c r="Q162" s="11"/>
      <c r="R162" s="11"/>
      <c r="S162" s="11"/>
      <c r="T162" s="11"/>
      <c r="U162" s="11"/>
    </row>
    <row r="163" spans="1:21">
      <c r="A163" s="20"/>
      <c r="B163" s="11"/>
      <c r="C163" s="11"/>
      <c r="D163" s="11"/>
      <c r="E163" s="11"/>
      <c r="F163" s="11"/>
      <c r="G163" s="11"/>
      <c r="H163" s="20"/>
      <c r="I163" s="11"/>
      <c r="J163" s="11"/>
      <c r="K163" s="11"/>
      <c r="L163" s="11"/>
      <c r="M163" s="11"/>
      <c r="N163" s="11"/>
      <c r="O163" s="20"/>
      <c r="P163" s="11"/>
      <c r="Q163" s="11"/>
      <c r="R163" s="11"/>
      <c r="S163" s="11"/>
      <c r="T163" s="11"/>
      <c r="U163" s="11"/>
    </row>
    <row r="164" spans="1:21">
      <c r="A164" s="20"/>
      <c r="B164" s="11"/>
      <c r="C164" s="11"/>
      <c r="D164" s="11"/>
      <c r="E164" s="11"/>
      <c r="F164" s="11"/>
      <c r="G164" s="11"/>
      <c r="H164" s="20"/>
      <c r="I164" s="11"/>
      <c r="J164" s="11"/>
      <c r="K164" s="11"/>
      <c r="L164" s="11"/>
      <c r="M164" s="11"/>
      <c r="N164" s="11"/>
      <c r="O164" s="20"/>
      <c r="P164" s="11"/>
      <c r="Q164" s="11"/>
      <c r="R164" s="11"/>
      <c r="S164" s="11"/>
      <c r="T164" s="11"/>
      <c r="U164" s="11"/>
    </row>
    <row r="165" spans="1:21">
      <c r="A165" s="20"/>
      <c r="B165" s="11"/>
      <c r="C165" s="11"/>
      <c r="D165" s="11"/>
      <c r="E165" s="11"/>
      <c r="F165" s="20"/>
      <c r="G165" s="11"/>
      <c r="H165" s="20"/>
      <c r="I165" s="11"/>
      <c r="J165" s="11"/>
      <c r="K165" s="11"/>
      <c r="L165" s="11"/>
      <c r="M165" s="20"/>
      <c r="N165" s="11"/>
      <c r="O165" s="20"/>
      <c r="P165" s="11"/>
      <c r="Q165" s="11"/>
      <c r="R165" s="11"/>
      <c r="S165" s="11"/>
      <c r="T165" s="20"/>
      <c r="U165" s="11"/>
    </row>
    <row r="166" spans="1:21">
      <c r="A166" s="20"/>
      <c r="B166" s="11"/>
      <c r="C166" s="11"/>
      <c r="D166" s="11"/>
      <c r="E166" s="11"/>
      <c r="F166" s="20"/>
      <c r="G166" s="11"/>
      <c r="H166" s="20"/>
      <c r="I166" s="11"/>
      <c r="J166" s="11"/>
      <c r="K166" s="11"/>
      <c r="L166" s="11"/>
      <c r="M166" s="20"/>
      <c r="N166" s="11"/>
      <c r="O166" s="20"/>
      <c r="P166" s="11"/>
      <c r="Q166" s="11"/>
      <c r="R166" s="11"/>
      <c r="S166" s="11"/>
      <c r="T166" s="20"/>
      <c r="U166" s="11"/>
    </row>
    <row r="167" spans="1:21">
      <c r="A167" s="20"/>
      <c r="B167" s="11"/>
      <c r="C167" s="11"/>
      <c r="D167" s="11"/>
      <c r="E167" s="11"/>
      <c r="F167" s="20"/>
      <c r="G167" s="11"/>
      <c r="H167" s="20"/>
      <c r="I167" s="11"/>
      <c r="J167" s="11"/>
      <c r="K167" s="11"/>
      <c r="L167" s="11"/>
      <c r="M167" s="20"/>
      <c r="N167" s="11"/>
      <c r="O167" s="20"/>
      <c r="P167" s="11"/>
      <c r="Q167" s="11"/>
      <c r="R167" s="11"/>
      <c r="S167" s="11"/>
      <c r="T167" s="20"/>
      <c r="U167" s="11"/>
    </row>
    <row r="168" spans="8:8">
      <c r="H168" s="11"/>
    </row>
    <row r="169" spans="8:8">
      <c r="H169" s="11"/>
    </row>
    <row r="170" spans="8:8">
      <c r="H170" s="11"/>
    </row>
    <row r="171" spans="1:22">
      <c r="A171" s="20"/>
      <c r="B171" s="20"/>
      <c r="C171" s="20"/>
      <c r="D171" s="20"/>
      <c r="E171" s="20"/>
      <c r="F171" s="20"/>
      <c r="G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>
      <c r="A172" s="20"/>
      <c r="B172" s="20"/>
      <c r="C172" s="20"/>
      <c r="D172" s="20"/>
      <c r="E172" s="20"/>
      <c r="F172" s="20"/>
      <c r="G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>
      <c r="A173" s="20"/>
      <c r="B173" s="20"/>
      <c r="C173" s="20"/>
      <c r="D173" s="20"/>
      <c r="E173" s="20"/>
      <c r="F173" s="20"/>
      <c r="G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>
      <c r="A174" s="20"/>
      <c r="B174" s="20"/>
      <c r="C174" s="20"/>
      <c r="D174" s="20"/>
      <c r="E174" s="20"/>
      <c r="F174" s="20"/>
      <c r="G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>
      <c r="A175" s="20"/>
      <c r="B175" s="20"/>
      <c r="C175" s="20"/>
      <c r="D175" s="20"/>
      <c r="E175" s="20"/>
      <c r="F175" s="20"/>
      <c r="G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>
      <c r="A176" s="20"/>
      <c r="B176" s="20"/>
      <c r="C176" s="20"/>
      <c r="D176" s="20"/>
      <c r="E176" s="20"/>
      <c r="F176" s="20"/>
      <c r="G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>
      <c r="A177" s="20"/>
      <c r="B177" s="20"/>
      <c r="C177" s="20"/>
      <c r="D177" s="20"/>
      <c r="E177" s="20"/>
      <c r="F177" s="20"/>
      <c r="G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>
      <c r="A178" s="20"/>
      <c r="B178" s="20"/>
      <c r="C178" s="20"/>
      <c r="D178" s="20"/>
      <c r="E178" s="20"/>
      <c r="F178" s="20"/>
      <c r="G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>
      <c r="A179" s="20"/>
      <c r="B179" s="20"/>
      <c r="C179" s="20"/>
      <c r="D179" s="20"/>
      <c r="E179" s="20"/>
      <c r="F179" s="20"/>
      <c r="G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>
      <c r="A180" s="20"/>
      <c r="B180" s="20"/>
      <c r="C180" s="20"/>
      <c r="D180" s="20"/>
      <c r="E180" s="20"/>
      <c r="F180" s="20"/>
      <c r="G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>
      <c r="A181" s="20"/>
      <c r="B181" s="20"/>
      <c r="C181" s="20"/>
      <c r="D181" s="20"/>
      <c r="E181" s="20"/>
      <c r="F181" s="7"/>
      <c r="G181" s="11"/>
      <c r="I181" s="20"/>
      <c r="J181" s="20"/>
      <c r="K181" s="20"/>
      <c r="L181" s="20"/>
      <c r="M181" s="20"/>
      <c r="N181" s="7"/>
      <c r="O181" s="11"/>
      <c r="P181" s="20"/>
      <c r="Q181" s="20"/>
      <c r="R181" s="20"/>
      <c r="S181" s="20"/>
      <c r="T181" s="20"/>
      <c r="U181" s="7"/>
      <c r="V181" s="11"/>
    </row>
    <row r="182" spans="1:22">
      <c r="A182" s="20"/>
      <c r="B182" s="20"/>
      <c r="C182" s="20"/>
      <c r="D182" s="20"/>
      <c r="E182" s="20"/>
      <c r="I182" s="20"/>
      <c r="J182" s="20"/>
      <c r="K182" s="20"/>
      <c r="L182" s="20"/>
      <c r="M182" s="20"/>
      <c r="P182" s="20"/>
      <c r="Q182" s="20"/>
      <c r="R182" s="20"/>
      <c r="S182" s="20"/>
      <c r="T182" s="20"/>
      <c r="V182" s="17"/>
    </row>
    <row r="183" spans="1:22">
      <c r="A183" s="20"/>
      <c r="B183" s="20"/>
      <c r="C183" s="20"/>
      <c r="D183" s="20"/>
      <c r="E183" s="20"/>
      <c r="I183" s="20"/>
      <c r="J183" s="20"/>
      <c r="K183" s="20"/>
      <c r="L183" s="20"/>
      <c r="M183" s="20"/>
      <c r="P183" s="20"/>
      <c r="Q183" s="20"/>
      <c r="R183" s="20"/>
      <c r="S183" s="20"/>
      <c r="T183" s="20"/>
      <c r="V183" s="17"/>
    </row>
    <row r="184" spans="1:22">
      <c r="A184" s="20"/>
      <c r="B184" s="20"/>
      <c r="C184" s="20"/>
      <c r="D184" s="20"/>
      <c r="E184" s="20"/>
      <c r="I184" s="20"/>
      <c r="J184" s="20"/>
      <c r="K184" s="20"/>
      <c r="L184" s="20"/>
      <c r="M184" s="20"/>
      <c r="P184" s="20"/>
      <c r="Q184" s="20"/>
      <c r="R184" s="20"/>
      <c r="S184" s="20"/>
      <c r="T184" s="20"/>
      <c r="V184" s="17"/>
    </row>
    <row r="185" spans="1:22">
      <c r="A185" s="20"/>
      <c r="B185" s="20"/>
      <c r="C185" s="11"/>
      <c r="D185" s="11"/>
      <c r="E185" s="7"/>
      <c r="F185" s="11"/>
      <c r="G185" s="11"/>
      <c r="I185" s="20"/>
      <c r="J185" s="20"/>
      <c r="K185" s="20"/>
      <c r="L185" s="20"/>
      <c r="M185" s="20"/>
      <c r="P185" s="20"/>
      <c r="Q185" s="20"/>
      <c r="R185" s="11"/>
      <c r="S185" s="11"/>
      <c r="T185" s="7"/>
      <c r="U185" s="11"/>
      <c r="V185" s="11"/>
    </row>
    <row r="186" spans="1:22">
      <c r="A186" s="20"/>
      <c r="B186" s="11"/>
      <c r="C186" s="11"/>
      <c r="D186" s="11"/>
      <c r="E186" s="11"/>
      <c r="F186" s="11"/>
      <c r="G186" s="11"/>
      <c r="I186" s="20"/>
      <c r="J186" s="20"/>
      <c r="K186" s="20"/>
      <c r="L186" s="20"/>
      <c r="M186" s="20"/>
      <c r="P186" s="20"/>
      <c r="Q186" s="11"/>
      <c r="R186" s="11"/>
      <c r="S186" s="11"/>
      <c r="T186" s="11"/>
      <c r="U186" s="11"/>
      <c r="V186" s="11"/>
    </row>
    <row r="187" spans="1:22">
      <c r="A187" s="20"/>
      <c r="B187" s="11"/>
      <c r="C187" s="11"/>
      <c r="D187" s="11"/>
      <c r="E187" s="11"/>
      <c r="F187" s="11"/>
      <c r="G187" s="11"/>
      <c r="I187" s="20"/>
      <c r="J187" s="20"/>
      <c r="K187" s="20"/>
      <c r="L187" s="20"/>
      <c r="M187" s="20"/>
      <c r="P187" s="20"/>
      <c r="Q187" s="11"/>
      <c r="R187" s="11"/>
      <c r="S187" s="11"/>
      <c r="T187" s="11"/>
      <c r="U187" s="11"/>
      <c r="V187" s="11"/>
    </row>
    <row r="188" spans="1:22">
      <c r="A188" s="20"/>
      <c r="B188" s="11"/>
      <c r="C188" s="11"/>
      <c r="D188" s="11"/>
      <c r="E188" s="11"/>
      <c r="F188" s="11"/>
      <c r="G188" s="11"/>
      <c r="I188" s="20"/>
      <c r="J188" s="20"/>
      <c r="K188" s="11"/>
      <c r="L188" s="11"/>
      <c r="M188" s="7"/>
      <c r="N188" s="11"/>
      <c r="O188" s="11"/>
      <c r="P188" s="20"/>
      <c r="Q188" s="11"/>
      <c r="R188" s="11"/>
      <c r="S188" s="11"/>
      <c r="T188" s="11"/>
      <c r="U188" s="11"/>
      <c r="V188" s="11"/>
    </row>
    <row r="189" spans="1:22">
      <c r="A189" s="20"/>
      <c r="B189" s="11"/>
      <c r="C189" s="11"/>
      <c r="D189" s="11"/>
      <c r="E189" s="11"/>
      <c r="F189" s="20"/>
      <c r="G189" s="11"/>
      <c r="J189" s="11"/>
      <c r="K189" s="11"/>
      <c r="L189" s="11"/>
      <c r="M189" s="11"/>
      <c r="N189" s="11"/>
      <c r="O189" s="11"/>
      <c r="P189" s="20"/>
      <c r="Q189" s="11"/>
      <c r="R189" s="11"/>
      <c r="S189" s="11"/>
      <c r="T189" s="11"/>
      <c r="U189" s="20"/>
      <c r="V189" s="11"/>
    </row>
    <row r="190" spans="1:22">
      <c r="A190" s="20"/>
      <c r="B190" s="11"/>
      <c r="C190" s="11"/>
      <c r="D190" s="11"/>
      <c r="E190" s="11"/>
      <c r="F190" s="20"/>
      <c r="G190" s="11"/>
      <c r="J190" s="11"/>
      <c r="K190" s="11"/>
      <c r="L190" s="11"/>
      <c r="M190" s="11"/>
      <c r="N190" s="11"/>
      <c r="O190" s="11"/>
      <c r="P190" s="20"/>
      <c r="Q190" s="11"/>
      <c r="R190" s="11"/>
      <c r="S190" s="11"/>
      <c r="T190" s="11"/>
      <c r="U190" s="20"/>
      <c r="V190" s="11"/>
    </row>
    <row r="191" spans="1:22">
      <c r="A191" s="20"/>
      <c r="B191" s="11"/>
      <c r="C191" s="11"/>
      <c r="D191" s="11"/>
      <c r="E191" s="11"/>
      <c r="F191" s="20"/>
      <c r="G191" s="11"/>
      <c r="J191" s="11"/>
      <c r="K191" s="11"/>
      <c r="L191" s="11"/>
      <c r="M191" s="11"/>
      <c r="N191" s="11"/>
      <c r="O191" s="11"/>
      <c r="P191" s="20"/>
      <c r="Q191" s="11"/>
      <c r="R191" s="11"/>
      <c r="S191" s="11"/>
      <c r="T191" s="11"/>
      <c r="U191" s="20"/>
      <c r="V191" s="11"/>
    </row>
    <row r="192" spans="10:15">
      <c r="J192" s="11"/>
      <c r="K192" s="11"/>
      <c r="L192" s="11"/>
      <c r="M192" s="11"/>
      <c r="N192" s="20"/>
      <c r="O192" s="11"/>
    </row>
    <row r="193" spans="10:15">
      <c r="J193" s="11"/>
      <c r="K193" s="11"/>
      <c r="L193" s="11"/>
      <c r="M193" s="11"/>
      <c r="N193" s="20"/>
      <c r="O193" s="11"/>
    </row>
    <row r="194" spans="10:15">
      <c r="J194" s="11"/>
      <c r="K194" s="11"/>
      <c r="L194" s="11"/>
      <c r="M194" s="11"/>
      <c r="N194" s="20"/>
      <c r="O194" s="11"/>
    </row>
    <row r="206" spans="1:2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</row>
    <row r="207" spans="1:2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</row>
    <row r="208" spans="1:2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</row>
    <row r="209" spans="1:2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</row>
    <row r="210" spans="1:2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</row>
    <row r="211" spans="1:2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</row>
    <row r="212" spans="1:2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</row>
    <row r="213" spans="1:2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</row>
    <row r="214" spans="1:2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</row>
    <row r="215" spans="1:2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</row>
    <row r="216" spans="1:2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</row>
    <row r="217" spans="1:21">
      <c r="A217" s="20"/>
      <c r="B217" s="20"/>
      <c r="C217" s="20"/>
      <c r="D217" s="20"/>
      <c r="E217" s="20"/>
      <c r="F217" s="7"/>
      <c r="G217" s="7"/>
      <c r="H217" s="20"/>
      <c r="I217" s="20"/>
      <c r="J217" s="20"/>
      <c r="K217" s="20"/>
      <c r="L217" s="20"/>
      <c r="M217" s="7"/>
      <c r="N217" s="7"/>
      <c r="O217" s="20"/>
      <c r="P217" s="20"/>
      <c r="Q217" s="20"/>
      <c r="R217" s="20"/>
      <c r="S217" s="20"/>
      <c r="T217" s="7"/>
      <c r="U217" s="7"/>
    </row>
    <row r="218" spans="1:21">
      <c r="A218" s="20"/>
      <c r="B218" s="20"/>
      <c r="C218" s="20"/>
      <c r="D218" s="20"/>
      <c r="E218" s="20"/>
      <c r="F218" s="7"/>
      <c r="G218" s="7"/>
      <c r="H218" s="20"/>
      <c r="I218" s="20"/>
      <c r="J218" s="20"/>
      <c r="K218" s="20"/>
      <c r="L218" s="20"/>
      <c r="M218" s="7"/>
      <c r="N218" s="7"/>
      <c r="O218" s="20"/>
      <c r="P218" s="20"/>
      <c r="Q218" s="20"/>
      <c r="R218" s="20"/>
      <c r="S218" s="20"/>
      <c r="T218" s="7"/>
      <c r="U218" s="7"/>
    </row>
    <row r="219" spans="1:21">
      <c r="A219" s="20"/>
      <c r="B219" s="7"/>
      <c r="C219" s="11"/>
      <c r="D219" s="11"/>
      <c r="E219" s="7"/>
      <c r="F219" s="11"/>
      <c r="G219" s="20"/>
      <c r="H219" s="20"/>
      <c r="I219" s="7"/>
      <c r="J219" s="11"/>
      <c r="K219" s="11"/>
      <c r="L219" s="7"/>
      <c r="M219" s="11"/>
      <c r="N219" s="20"/>
      <c r="O219" s="20"/>
      <c r="P219" s="7"/>
      <c r="Q219" s="11"/>
      <c r="R219" s="11"/>
      <c r="S219" s="7"/>
      <c r="T219" s="11"/>
      <c r="U219" s="20"/>
    </row>
    <row r="220" spans="1:21">
      <c r="A220" s="20"/>
      <c r="B220" s="11"/>
      <c r="C220" s="11"/>
      <c r="D220" s="11"/>
      <c r="E220" s="11"/>
      <c r="F220" s="20"/>
      <c r="G220" s="20"/>
      <c r="H220" s="20"/>
      <c r="I220" s="11"/>
      <c r="J220" s="11"/>
      <c r="K220" s="11"/>
      <c r="L220" s="11"/>
      <c r="M220" s="20"/>
      <c r="N220" s="20"/>
      <c r="O220" s="20"/>
      <c r="P220" s="11"/>
      <c r="Q220" s="11"/>
      <c r="R220" s="11"/>
      <c r="S220" s="11"/>
      <c r="T220" s="20"/>
      <c r="U220" s="20"/>
    </row>
    <row r="221" spans="1:21">
      <c r="A221" s="20"/>
      <c r="B221" s="11"/>
      <c r="C221" s="11"/>
      <c r="D221" s="11"/>
      <c r="E221" s="11"/>
      <c r="F221" s="11"/>
      <c r="G221" s="11"/>
      <c r="H221" s="20"/>
      <c r="I221" s="11"/>
      <c r="J221" s="11"/>
      <c r="K221" s="11"/>
      <c r="L221" s="11"/>
      <c r="M221" s="11"/>
      <c r="N221" s="11"/>
      <c r="O221" s="20"/>
      <c r="P221" s="11"/>
      <c r="Q221" s="11"/>
      <c r="R221" s="11"/>
      <c r="S221" s="11"/>
      <c r="T221" s="11"/>
      <c r="U221" s="11"/>
    </row>
    <row r="222" spans="1:21">
      <c r="A222" s="20"/>
      <c r="B222" s="11"/>
      <c r="C222" s="11"/>
      <c r="D222" s="11"/>
      <c r="E222" s="11"/>
      <c r="F222" s="11"/>
      <c r="G222" s="11"/>
      <c r="H222" s="20"/>
      <c r="I222" s="11"/>
      <c r="J222" s="11"/>
      <c r="K222" s="11"/>
      <c r="L222" s="11"/>
      <c r="M222" s="11"/>
      <c r="N222" s="11"/>
      <c r="O222" s="20"/>
      <c r="P222" s="11"/>
      <c r="Q222" s="11"/>
      <c r="R222" s="11"/>
      <c r="S222" s="11"/>
      <c r="T222" s="11"/>
      <c r="U222" s="11"/>
    </row>
    <row r="223" spans="1:21">
      <c r="A223" s="20"/>
      <c r="B223" s="11"/>
      <c r="C223" s="11"/>
      <c r="D223" s="11"/>
      <c r="E223" s="11"/>
      <c r="F223" s="20"/>
      <c r="G223" s="11"/>
      <c r="H223" s="20"/>
      <c r="I223" s="11"/>
      <c r="J223" s="11"/>
      <c r="K223" s="11"/>
      <c r="L223" s="11"/>
      <c r="M223" s="20"/>
      <c r="N223" s="11"/>
      <c r="O223" s="20"/>
      <c r="P223" s="11"/>
      <c r="Q223" s="11"/>
      <c r="R223" s="11"/>
      <c r="S223" s="11"/>
      <c r="T223" s="20"/>
      <c r="U223" s="11"/>
    </row>
    <row r="224" spans="1:21">
      <c r="A224" s="11"/>
      <c r="B224" s="11"/>
      <c r="C224" s="11"/>
      <c r="D224" s="11"/>
      <c r="E224" s="11"/>
      <c r="F224" s="20"/>
      <c r="G224" s="11"/>
      <c r="H224" s="11"/>
      <c r="I224" s="11"/>
      <c r="J224" s="11"/>
      <c r="K224" s="11"/>
      <c r="L224" s="11"/>
      <c r="M224" s="20"/>
      <c r="N224" s="11"/>
      <c r="O224" s="11"/>
      <c r="P224" s="11"/>
      <c r="Q224" s="11"/>
      <c r="R224" s="11"/>
      <c r="S224" s="11"/>
      <c r="T224" s="20"/>
      <c r="U224" s="11"/>
    </row>
    <row r="225" spans="1:21">
      <c r="A225" s="11"/>
      <c r="B225" s="11"/>
      <c r="C225" s="11"/>
      <c r="D225" s="11"/>
      <c r="E225" s="11"/>
      <c r="F225" s="20"/>
      <c r="G225" s="11"/>
      <c r="H225" s="11"/>
      <c r="I225" s="11"/>
      <c r="J225" s="11"/>
      <c r="K225" s="11"/>
      <c r="L225" s="11"/>
      <c r="M225" s="20"/>
      <c r="N225" s="11"/>
      <c r="O225" s="11"/>
      <c r="P225" s="11"/>
      <c r="Q225" s="11"/>
      <c r="R225" s="11"/>
      <c r="S225" s="11"/>
      <c r="T225" s="20"/>
      <c r="U225" s="11"/>
    </row>
    <row r="226" spans="8:8">
      <c r="H226" s="7"/>
    </row>
    <row r="227" spans="1:2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</row>
    <row r="228" spans="1:2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</row>
    <row r="229" spans="1:2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</row>
    <row r="230" spans="1:2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</row>
    <row r="231" spans="1:2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</row>
    <row r="232" spans="1:2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</row>
    <row r="233" spans="1:2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</row>
    <row r="234" spans="1:2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</row>
    <row r="235" spans="1:2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</row>
    <row r="236" spans="1:2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</row>
    <row r="237" spans="1:2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</row>
    <row r="238" spans="1:21">
      <c r="A238" s="20"/>
      <c r="B238" s="20"/>
      <c r="C238" s="20"/>
      <c r="D238" s="20"/>
      <c r="E238" s="20"/>
      <c r="F238" s="7"/>
      <c r="G238" s="7"/>
      <c r="H238" s="20"/>
      <c r="I238" s="20"/>
      <c r="J238" s="20"/>
      <c r="K238" s="20"/>
      <c r="L238" s="20"/>
      <c r="M238" s="7"/>
      <c r="N238" s="7"/>
      <c r="O238" s="20"/>
      <c r="P238" s="20"/>
      <c r="Q238" s="20"/>
      <c r="R238" s="20"/>
      <c r="S238" s="20"/>
      <c r="T238" s="7"/>
      <c r="U238" s="7"/>
    </row>
    <row r="239" spans="1:21">
      <c r="A239" s="20"/>
      <c r="B239" s="20"/>
      <c r="C239" s="20"/>
      <c r="D239" s="20"/>
      <c r="E239" s="20"/>
      <c r="F239" s="7"/>
      <c r="G239" s="7"/>
      <c r="H239" s="20"/>
      <c r="I239" s="20"/>
      <c r="J239" s="20"/>
      <c r="K239" s="20"/>
      <c r="L239" s="20"/>
      <c r="M239" s="7"/>
      <c r="N239" s="7"/>
      <c r="O239" s="20"/>
      <c r="P239" s="20"/>
      <c r="Q239" s="20"/>
      <c r="R239" s="20"/>
      <c r="S239" s="20"/>
      <c r="T239" s="7"/>
      <c r="U239" s="7"/>
    </row>
    <row r="240" spans="1:21">
      <c r="A240" s="20"/>
      <c r="B240" s="7"/>
      <c r="C240" s="11"/>
      <c r="D240" s="11"/>
      <c r="E240" s="7"/>
      <c r="F240" s="11"/>
      <c r="G240" s="20"/>
      <c r="H240" s="20"/>
      <c r="I240" s="7"/>
      <c r="J240" s="11"/>
      <c r="K240" s="11"/>
      <c r="L240" s="7"/>
      <c r="M240" s="11"/>
      <c r="N240" s="20"/>
      <c r="O240" s="20"/>
      <c r="P240" s="7"/>
      <c r="Q240" s="11"/>
      <c r="R240" s="11"/>
      <c r="S240" s="7"/>
      <c r="T240" s="11"/>
      <c r="U240" s="20"/>
    </row>
    <row r="241" spans="1:21">
      <c r="A241" s="20"/>
      <c r="B241" s="11"/>
      <c r="C241" s="11"/>
      <c r="D241" s="11"/>
      <c r="E241" s="11"/>
      <c r="F241" s="20"/>
      <c r="G241" s="20"/>
      <c r="H241" s="20"/>
      <c r="I241" s="11"/>
      <c r="J241" s="11"/>
      <c r="K241" s="11"/>
      <c r="L241" s="11"/>
      <c r="M241" s="20"/>
      <c r="N241" s="20"/>
      <c r="O241" s="20"/>
      <c r="P241" s="11"/>
      <c r="Q241" s="11"/>
      <c r="R241" s="11"/>
      <c r="S241" s="11"/>
      <c r="T241" s="20"/>
      <c r="U241" s="20"/>
    </row>
    <row r="242" spans="1:21">
      <c r="A242" s="20"/>
      <c r="B242" s="11"/>
      <c r="C242" s="11"/>
      <c r="D242" s="11"/>
      <c r="E242" s="11"/>
      <c r="F242" s="11"/>
      <c r="G242" s="11"/>
      <c r="H242" s="20"/>
      <c r="I242" s="11"/>
      <c r="J242" s="11"/>
      <c r="K242" s="11"/>
      <c r="L242" s="11"/>
      <c r="M242" s="11"/>
      <c r="N242" s="11"/>
      <c r="O242" s="20"/>
      <c r="P242" s="11"/>
      <c r="Q242" s="11"/>
      <c r="R242" s="11"/>
      <c r="S242" s="11"/>
      <c r="T242" s="11"/>
      <c r="U242" s="11"/>
    </row>
    <row r="243" spans="1:21">
      <c r="A243" s="20"/>
      <c r="B243" s="11"/>
      <c r="C243" s="11"/>
      <c r="D243" s="11"/>
      <c r="E243" s="11"/>
      <c r="F243" s="11"/>
      <c r="G243" s="11"/>
      <c r="H243" s="20"/>
      <c r="I243" s="11"/>
      <c r="J243" s="11"/>
      <c r="K243" s="11"/>
      <c r="L243" s="11"/>
      <c r="M243" s="11"/>
      <c r="N243" s="11"/>
      <c r="O243" s="20"/>
      <c r="P243" s="11"/>
      <c r="Q243" s="11"/>
      <c r="R243" s="11"/>
      <c r="S243" s="11"/>
      <c r="T243" s="11"/>
      <c r="U243" s="11"/>
    </row>
    <row r="244" spans="1:21">
      <c r="A244" s="20"/>
      <c r="B244" s="11"/>
      <c r="C244" s="11"/>
      <c r="D244" s="11"/>
      <c r="E244" s="11"/>
      <c r="F244" s="20"/>
      <c r="G244" s="11"/>
      <c r="H244" s="20"/>
      <c r="I244" s="11"/>
      <c r="J244" s="11"/>
      <c r="K244" s="11"/>
      <c r="L244" s="11"/>
      <c r="M244" s="20"/>
      <c r="N244" s="11"/>
      <c r="O244" s="20"/>
      <c r="P244" s="11"/>
      <c r="Q244" s="11"/>
      <c r="R244" s="11"/>
      <c r="S244" s="11"/>
      <c r="T244" s="20"/>
      <c r="U244" s="11"/>
    </row>
    <row r="245" spans="1:21">
      <c r="A245" s="11"/>
      <c r="B245" s="11"/>
      <c r="C245" s="11"/>
      <c r="D245" s="11"/>
      <c r="E245" s="11"/>
      <c r="F245" s="20"/>
      <c r="G245" s="11"/>
      <c r="H245" s="11"/>
      <c r="I245" s="11"/>
      <c r="J245" s="11"/>
      <c r="K245" s="11"/>
      <c r="L245" s="11"/>
      <c r="M245" s="20"/>
      <c r="N245" s="11"/>
      <c r="O245" s="11"/>
      <c r="P245" s="11"/>
      <c r="Q245" s="11"/>
      <c r="R245" s="11"/>
      <c r="S245" s="11"/>
      <c r="T245" s="20"/>
      <c r="U245" s="11"/>
    </row>
    <row r="246" spans="1:21">
      <c r="A246" s="11"/>
      <c r="B246" s="11"/>
      <c r="C246" s="11"/>
      <c r="D246" s="11"/>
      <c r="E246" s="11"/>
      <c r="F246" s="20"/>
      <c r="G246" s="11"/>
      <c r="H246" s="11"/>
      <c r="I246" s="11"/>
      <c r="J246" s="11"/>
      <c r="K246" s="11"/>
      <c r="L246" s="11"/>
      <c r="M246" s="20"/>
      <c r="N246" s="11"/>
      <c r="O246" s="11"/>
      <c r="P246" s="11"/>
      <c r="Q246" s="11"/>
      <c r="R246" s="11"/>
      <c r="S246" s="11"/>
      <c r="T246" s="20"/>
      <c r="U246" s="11"/>
    </row>
    <row r="248" spans="1:1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P248" s="36"/>
    </row>
    <row r="249" spans="1:1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P249" s="36"/>
    </row>
    <row r="250" spans="1:1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P250" s="36"/>
    </row>
    <row r="251" spans="1:1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P251" s="36"/>
    </row>
    <row r="252" spans="1:1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P252" s="36"/>
    </row>
    <row r="253" spans="1:1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P253" s="36"/>
    </row>
    <row r="254" spans="1:1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spans="1:14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</row>
    <row r="256" spans="1:14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</row>
    <row r="257" spans="1:14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</row>
    <row r="258" spans="1:14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</row>
    <row r="259" spans="1:14">
      <c r="A259" s="20"/>
      <c r="B259" s="20"/>
      <c r="C259" s="20"/>
      <c r="D259" s="20"/>
      <c r="E259" s="20"/>
      <c r="F259" s="7"/>
      <c r="G259" s="7"/>
      <c r="H259" s="20"/>
      <c r="I259" s="20"/>
      <c r="J259" s="20"/>
      <c r="K259" s="20"/>
      <c r="L259" s="20"/>
      <c r="M259" s="7"/>
      <c r="N259" s="7"/>
    </row>
    <row r="260" spans="2:14">
      <c r="B260" s="20"/>
      <c r="C260" s="20"/>
      <c r="D260" s="20"/>
      <c r="E260" s="20"/>
      <c r="F260" s="7"/>
      <c r="G260" s="7"/>
      <c r="I260" s="20"/>
      <c r="J260" s="20"/>
      <c r="K260" s="20"/>
      <c r="L260" s="20"/>
      <c r="M260" s="7"/>
      <c r="N260" s="7"/>
    </row>
    <row r="261" spans="1:12">
      <c r="A261" s="20"/>
      <c r="B261" s="20"/>
      <c r="C261" s="20"/>
      <c r="D261" s="20"/>
      <c r="E261" s="20"/>
      <c r="H261" s="20"/>
      <c r="I261" s="20"/>
      <c r="J261" s="20"/>
      <c r="K261" s="20"/>
      <c r="L261" s="20"/>
    </row>
    <row r="262" spans="1:8">
      <c r="A262" s="20"/>
      <c r="H262" s="20"/>
    </row>
    <row r="263" spans="1:14">
      <c r="A263" s="20"/>
      <c r="B263" s="7"/>
      <c r="C263" s="11"/>
      <c r="D263" s="11"/>
      <c r="E263" s="7"/>
      <c r="F263" s="11"/>
      <c r="G263" s="20"/>
      <c r="H263" s="20"/>
      <c r="I263" s="7"/>
      <c r="J263" s="11"/>
      <c r="K263" s="11"/>
      <c r="L263" s="7"/>
      <c r="M263" s="11"/>
      <c r="N263" s="20"/>
    </row>
    <row r="264" spans="1:14">
      <c r="A264" s="20"/>
      <c r="B264" s="11"/>
      <c r="C264" s="11"/>
      <c r="D264" s="11"/>
      <c r="E264" s="11"/>
      <c r="F264" s="20"/>
      <c r="G264" s="20"/>
      <c r="H264" s="20"/>
      <c r="I264" s="11"/>
      <c r="J264" s="11"/>
      <c r="K264" s="11"/>
      <c r="L264" s="11"/>
      <c r="M264" s="20"/>
      <c r="N264" s="20"/>
    </row>
    <row r="265" spans="1:14">
      <c r="A265" s="20"/>
      <c r="B265" s="11"/>
      <c r="C265" s="11"/>
      <c r="D265" s="11"/>
      <c r="E265" s="11"/>
      <c r="F265" s="11"/>
      <c r="G265" s="11"/>
      <c r="H265" s="20"/>
      <c r="I265" s="11"/>
      <c r="J265" s="11"/>
      <c r="K265" s="11"/>
      <c r="L265" s="11"/>
      <c r="M265" s="11"/>
      <c r="N265" s="11"/>
    </row>
    <row r="266" spans="1: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>
      <c r="A267" s="11"/>
      <c r="B267" s="11"/>
      <c r="C267" s="11"/>
      <c r="D267" s="11"/>
      <c r="E267" s="11"/>
      <c r="F267" s="20"/>
      <c r="G267" s="11"/>
      <c r="H267" s="11"/>
      <c r="I267" s="11"/>
      <c r="J267" s="11"/>
      <c r="K267" s="11"/>
      <c r="L267" s="11"/>
      <c r="M267" s="20"/>
      <c r="N267" s="11"/>
    </row>
    <row r="268" spans="2:14">
      <c r="B268" s="11"/>
      <c r="C268" s="11"/>
      <c r="D268" s="11"/>
      <c r="E268" s="11"/>
      <c r="F268" s="20"/>
      <c r="G268" s="11"/>
      <c r="I268" s="11"/>
      <c r="J268" s="11"/>
      <c r="K268" s="11"/>
      <c r="L268" s="11"/>
      <c r="M268" s="20"/>
      <c r="N268" s="11"/>
    </row>
    <row r="269" spans="2:14">
      <c r="B269" s="11"/>
      <c r="C269" s="11"/>
      <c r="D269" s="11"/>
      <c r="E269" s="11"/>
      <c r="F269" s="20"/>
      <c r="G269" s="11"/>
      <c r="I269" s="11"/>
      <c r="J269" s="11"/>
      <c r="K269" s="11"/>
      <c r="L269" s="11"/>
      <c r="M269" s="20"/>
      <c r="N269" s="11"/>
    </row>
    <row r="271" spans="1:2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</row>
    <row r="272" spans="1:2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</row>
    <row r="273" spans="1:2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</row>
    <row r="274" spans="1:2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</row>
    <row r="275" spans="1:2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</row>
    <row r="276" spans="1:2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</row>
    <row r="277" spans="1:2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</row>
    <row r="278" spans="1:2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</row>
    <row r="279" spans="1:2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</row>
    <row r="280" spans="1:2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</row>
    <row r="281" spans="1:2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</row>
    <row r="282" spans="1:2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</row>
    <row r="283" spans="1:2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11"/>
      <c r="U283" s="7"/>
    </row>
    <row r="284" spans="1:21">
      <c r="A284" s="20"/>
      <c r="B284" s="20"/>
      <c r="C284" s="20"/>
      <c r="D284" s="20"/>
      <c r="E284" s="20"/>
      <c r="F284" s="11"/>
      <c r="G284" s="7"/>
      <c r="H284" s="20"/>
      <c r="I284" s="20"/>
      <c r="J284" s="20"/>
      <c r="K284" s="20"/>
      <c r="L284" s="20"/>
      <c r="M284" s="11"/>
      <c r="N284" s="7"/>
      <c r="O284" s="20"/>
      <c r="P284" s="20"/>
      <c r="Q284" s="20"/>
      <c r="R284" s="20"/>
      <c r="S284" s="20"/>
      <c r="T284" s="7"/>
      <c r="U284" s="11"/>
    </row>
    <row r="285" spans="1:21">
      <c r="A285" s="20"/>
      <c r="B285" s="20"/>
      <c r="C285" s="20"/>
      <c r="D285" s="20"/>
      <c r="E285" s="20"/>
      <c r="F285" s="7"/>
      <c r="G285" s="11"/>
      <c r="H285" s="20"/>
      <c r="I285" s="20"/>
      <c r="J285" s="20"/>
      <c r="K285" s="20"/>
      <c r="L285" s="20"/>
      <c r="M285" s="7"/>
      <c r="N285" s="11"/>
      <c r="O285" s="20"/>
      <c r="P285" s="20"/>
      <c r="Q285" s="20"/>
      <c r="R285" s="20"/>
      <c r="S285" s="20"/>
      <c r="T285" s="11"/>
      <c r="U285" s="11"/>
    </row>
    <row r="286" spans="1:21">
      <c r="A286" s="20"/>
      <c r="B286" s="20"/>
      <c r="C286" s="20"/>
      <c r="D286" s="20"/>
      <c r="E286" s="20"/>
      <c r="F286" s="11"/>
      <c r="G286" s="11"/>
      <c r="H286" s="20"/>
      <c r="I286" s="20"/>
      <c r="J286" s="20"/>
      <c r="K286" s="20"/>
      <c r="L286" s="20"/>
      <c r="M286" s="11"/>
      <c r="N286" s="11"/>
      <c r="O286" s="20"/>
      <c r="P286" s="7"/>
      <c r="Q286" s="11"/>
      <c r="R286" s="11"/>
      <c r="S286" s="7"/>
      <c r="T286" s="11"/>
      <c r="U286" s="11"/>
    </row>
    <row r="287" spans="1:21">
      <c r="A287" s="20"/>
      <c r="B287" s="20"/>
      <c r="C287" s="20"/>
      <c r="D287" s="20"/>
      <c r="E287" s="20"/>
      <c r="H287" s="20"/>
      <c r="I287" s="20"/>
      <c r="J287" s="20"/>
      <c r="K287" s="20"/>
      <c r="L287" s="20"/>
      <c r="O287" s="20"/>
      <c r="P287" s="11"/>
      <c r="Q287" s="11"/>
      <c r="R287" s="11"/>
      <c r="S287" s="11"/>
      <c r="U287" s="11"/>
    </row>
    <row r="288" spans="1:21">
      <c r="A288" s="20"/>
      <c r="B288" s="7"/>
      <c r="C288" s="11"/>
      <c r="D288" s="11"/>
      <c r="E288" s="7"/>
      <c r="F288" s="11"/>
      <c r="G288" s="11"/>
      <c r="H288" s="20"/>
      <c r="I288" s="7"/>
      <c r="J288" s="11"/>
      <c r="K288" s="11"/>
      <c r="L288" s="7"/>
      <c r="M288" s="11"/>
      <c r="N288" s="11"/>
      <c r="O288" s="20"/>
      <c r="P288" s="11"/>
      <c r="Q288" s="11"/>
      <c r="R288" s="11"/>
      <c r="S288" s="11"/>
      <c r="T288" s="11"/>
      <c r="U288" s="11"/>
    </row>
    <row r="289" spans="1:21">
      <c r="A289" s="20"/>
      <c r="B289" s="11"/>
      <c r="C289" s="11"/>
      <c r="D289" s="11"/>
      <c r="E289" s="11"/>
      <c r="G289" s="11"/>
      <c r="H289" s="20"/>
      <c r="I289" s="11"/>
      <c r="J289" s="11"/>
      <c r="K289" s="11"/>
      <c r="L289" s="11"/>
      <c r="N289" s="11"/>
      <c r="O289" s="20"/>
      <c r="P289" s="11"/>
      <c r="Q289" s="11"/>
      <c r="R289" s="11"/>
      <c r="S289" s="11"/>
      <c r="T289" s="11"/>
      <c r="U289" s="11"/>
    </row>
    <row r="290" spans="1:21">
      <c r="A290" s="20"/>
      <c r="B290" s="11"/>
      <c r="C290" s="11"/>
      <c r="D290" s="11"/>
      <c r="E290" s="11"/>
      <c r="F290" s="11"/>
      <c r="G290" s="11"/>
      <c r="H290" s="20"/>
      <c r="I290" s="11"/>
      <c r="J290" s="11"/>
      <c r="K290" s="11"/>
      <c r="L290" s="11"/>
      <c r="M290" s="11"/>
      <c r="N290" s="11"/>
      <c r="O290" s="20"/>
      <c r="P290" s="11"/>
      <c r="Q290" s="11"/>
      <c r="R290" s="11"/>
      <c r="S290" s="11"/>
      <c r="T290" s="20"/>
      <c r="U290" s="11"/>
    </row>
    <row r="291" spans="1:21">
      <c r="A291" s="20"/>
      <c r="B291" s="11"/>
      <c r="C291" s="11"/>
      <c r="D291" s="11"/>
      <c r="E291" s="11"/>
      <c r="F291" s="11"/>
      <c r="G291" s="11"/>
      <c r="H291" s="20"/>
      <c r="I291" s="11"/>
      <c r="J291" s="11"/>
      <c r="K291" s="11"/>
      <c r="L291" s="11"/>
      <c r="M291" s="11"/>
      <c r="N291" s="11"/>
      <c r="O291" s="20"/>
      <c r="P291" s="11"/>
      <c r="Q291" s="11"/>
      <c r="R291" s="11"/>
      <c r="S291" s="11"/>
      <c r="T291" s="20"/>
      <c r="U291" s="11"/>
    </row>
    <row r="292" spans="1:21">
      <c r="A292" s="20"/>
      <c r="B292" s="11"/>
      <c r="C292" s="11"/>
      <c r="D292" s="11"/>
      <c r="E292" s="11"/>
      <c r="F292" s="20"/>
      <c r="G292" s="11"/>
      <c r="H292" s="20"/>
      <c r="I292" s="11"/>
      <c r="J292" s="11"/>
      <c r="K292" s="11"/>
      <c r="L292" s="11"/>
      <c r="M292" s="20"/>
      <c r="N292" s="11"/>
      <c r="O292" s="20"/>
      <c r="P292" s="11"/>
      <c r="Q292" s="11"/>
      <c r="R292" s="11"/>
      <c r="S292" s="11"/>
      <c r="T292" s="20"/>
      <c r="U292" s="11"/>
    </row>
    <row r="293" spans="1:14">
      <c r="A293" s="20"/>
      <c r="B293" s="11"/>
      <c r="C293" s="11"/>
      <c r="D293" s="11"/>
      <c r="E293" s="11"/>
      <c r="F293" s="20"/>
      <c r="G293" s="11"/>
      <c r="H293" s="20"/>
      <c r="I293" s="11"/>
      <c r="J293" s="11"/>
      <c r="K293" s="11"/>
      <c r="L293" s="11"/>
      <c r="M293" s="20"/>
      <c r="N293" s="11"/>
    </row>
    <row r="294" spans="1:14">
      <c r="A294" s="20"/>
      <c r="B294" s="11"/>
      <c r="C294" s="11"/>
      <c r="D294" s="11"/>
      <c r="E294" s="11"/>
      <c r="F294" s="20"/>
      <c r="G294" s="11"/>
      <c r="H294" s="20"/>
      <c r="I294" s="11"/>
      <c r="J294" s="11"/>
      <c r="K294" s="11"/>
      <c r="L294" s="11"/>
      <c r="M294" s="20"/>
      <c r="N294" s="11"/>
    </row>
  </sheetData>
  <mergeCells count="2">
    <mergeCell ref="I24:L24"/>
    <mergeCell ref="T35:U35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4"/>
  <sheetViews>
    <sheetView topLeftCell="A34" workbookViewId="0">
      <selection activeCell="V61" sqref="V61"/>
    </sheetView>
  </sheetViews>
  <sheetFormatPr defaultColWidth="7.625" defaultRowHeight="15"/>
  <cols>
    <col min="1" max="21" width="8.625" style="17" customWidth="1"/>
    <col min="22" max="22" width="8.625" style="30" customWidth="1"/>
    <col min="23" max="23" width="8.625" style="36" customWidth="1"/>
    <col min="24" max="28" width="8.625" style="17" customWidth="1"/>
    <col min="29" max="29" width="7.625" style="17"/>
    <col min="30" max="16384" width="7.625" style="14"/>
  </cols>
  <sheetData>
    <row r="1" customHeight="1" spans="1:26">
      <c r="A1" s="11" t="str">
        <f>木桩!A1</f>
        <v>技能</v>
      </c>
      <c r="B1" s="11" t="str">
        <f>木桩!B1</f>
        <v>怒气</v>
      </c>
      <c r="C1" s="11" t="str">
        <f>木桩!C1</f>
        <v>实际系数</v>
      </c>
      <c r="D1" s="11" t="str">
        <f>木桩!D1</f>
        <v>基础伤害</v>
      </c>
      <c r="E1" s="11" t="str">
        <f>木桩!E1</f>
        <v>武伤系数</v>
      </c>
      <c r="F1" s="11" t="str">
        <f>木桩!F1</f>
        <v>伤害加成</v>
      </c>
      <c r="G1" s="11" t="str">
        <f>木桩!G1</f>
        <v>会心加成</v>
      </c>
      <c r="H1" s="11" t="str">
        <f>木桩!H1</f>
        <v>会效加成</v>
      </c>
      <c r="I1" s="11" t="s">
        <v>278</v>
      </c>
      <c r="J1" s="11" t="s">
        <v>26</v>
      </c>
      <c r="K1" s="11" t="s">
        <v>279</v>
      </c>
      <c r="L1" s="11" t="s">
        <v>36</v>
      </c>
      <c r="M1" s="11" t="s">
        <v>205</v>
      </c>
      <c r="N1" s="11" t="s">
        <v>15</v>
      </c>
      <c r="O1" s="11" t="s">
        <v>16</v>
      </c>
      <c r="P1" s="7" t="s">
        <v>280</v>
      </c>
      <c r="Q1" s="11" t="s">
        <v>75</v>
      </c>
      <c r="R1" s="11" t="s">
        <v>212</v>
      </c>
      <c r="S1" s="11" t="s">
        <v>213</v>
      </c>
      <c r="T1" s="20" t="s">
        <v>281</v>
      </c>
      <c r="U1" s="37" t="str">
        <f t="shared" ref="U1:V17" si="0">Y1</f>
        <v>实战属性</v>
      </c>
      <c r="V1" s="20"/>
      <c r="W1" s="41" t="str">
        <f>属性!H5</f>
        <v>裸buff属性</v>
      </c>
      <c r="X1" s="46"/>
      <c r="Y1" s="41" t="s">
        <v>197</v>
      </c>
      <c r="Z1" s="46"/>
    </row>
    <row r="2" customHeight="1" spans="1:27">
      <c r="A2" s="12" t="str">
        <f>木桩!A2</f>
        <v>昆吾·弦刃</v>
      </c>
      <c r="B2" s="11">
        <f>木桩!B2</f>
        <v>0</v>
      </c>
      <c r="C2" s="11">
        <f>木桩!C2</f>
        <v>0.854</v>
      </c>
      <c r="D2" s="11">
        <f>木桩!D2</f>
        <v>0</v>
      </c>
      <c r="E2" s="13">
        <f>木桩!E2</f>
        <v>0</v>
      </c>
      <c r="F2" s="13">
        <f ca="1">木桩!F2+Q$23</f>
        <v>0.0101333333333333</v>
      </c>
      <c r="G2" s="13">
        <f>木桩!G2</f>
        <v>0</v>
      </c>
      <c r="H2" s="13">
        <f>木桩!H2</f>
        <v>0</v>
      </c>
      <c r="I2" s="21">
        <f ca="1">(N:N*C:C+D:D+E:E*Q:Q)*(1+F:F)*(K:K*(L:L+H:H-1)+1-R:R-0.75*S:S)*(1+M:M)*INDEX($O$25:$O$29,MATCH($Q$27,$M$25:$M$29,))</f>
        <v>41935.0380028437</v>
      </c>
      <c r="J2" s="13">
        <f ca="1" t="shared" ref="J2:J18" si="1">INDEX(V:V,MATCH($1:$1,$U:$U,))+$G:$G</f>
        <v>0.4336697879329</v>
      </c>
      <c r="K2" s="15">
        <f ca="1" t="shared" ref="K2:K8" si="2">J:J+(0.211855500496661*J:J^6-0.937563819411654*J:J^5+1.77483619127542*J:J^4-1.89647323402313*J:J^3+1.2737744963305*J:J^2-0.565275505039552*J:J+0.164596522595162)*$D$28</f>
        <v>0.487809266169638</v>
      </c>
      <c r="L2" s="13">
        <f ca="1">INDEX(V2:V17,MATCH(1:1,U2:U17,))</f>
        <v>1.9433</v>
      </c>
      <c r="M2" s="13">
        <f ca="1">INDEX(V2:V17,MATCH(1:1,U2:U17,))</f>
        <v>0.902992590034019</v>
      </c>
      <c r="N2" s="21">
        <f ca="1">INDEX(V2:V17,MATCH(1:1,U2:U17,))+O:O*P:P</f>
        <v>17966.0079384615</v>
      </c>
      <c r="O2" s="21">
        <f ca="1">INDEX(V2:V17,MATCH(1:1,U2:U17,))</f>
        <v>7522.72307692308</v>
      </c>
      <c r="P2" s="40">
        <f t="shared" ref="P2:P8" si="3">60%+D$32*0.2*6/25+60%*(25+6*D$32)*(1+H$28)/H$27</f>
        <v>0.772</v>
      </c>
      <c r="Q2" s="21">
        <f ca="1">INDEX(V2:V17,MATCH(1:1,U2:U17,))</f>
        <v>751</v>
      </c>
      <c r="R2" s="13">
        <f ca="1">INDEX(V2:V17,MATCH(1:1,U2:U17,))</f>
        <v>0</v>
      </c>
      <c r="S2" s="13">
        <f ca="1">INDEX(V2:V17,MATCH(1:1,U2:U17,))</f>
        <v>0</v>
      </c>
      <c r="T2" s="20">
        <f>实战!T2</f>
        <v>45</v>
      </c>
      <c r="U2" s="20" t="str">
        <f t="shared" si="0"/>
        <v>身法</v>
      </c>
      <c r="V2" s="20">
        <f ca="1" t="shared" si="0"/>
        <v>1970.21</v>
      </c>
      <c r="W2" s="17" t="str">
        <f>属性!H6</f>
        <v>身法</v>
      </c>
      <c r="X2" s="17">
        <f>属性!I6</f>
        <v>1749</v>
      </c>
      <c r="Y2" s="17" t="s">
        <v>6</v>
      </c>
      <c r="Z2" s="17">
        <f ca="1">Z3*(1+G23)</f>
        <v>1970.21</v>
      </c>
      <c r="AA2" s="23"/>
    </row>
    <row r="3" customHeight="1" spans="1:27">
      <c r="A3" s="12" t="str">
        <f>木桩!A3</f>
        <v>昆吾·折锋</v>
      </c>
      <c r="B3" s="11">
        <f>木桩!B3</f>
        <v>0</v>
      </c>
      <c r="C3" s="14">
        <f>木桩!C3</f>
        <v>0.338</v>
      </c>
      <c r="D3" s="11">
        <f>木桩!D3</f>
        <v>0</v>
      </c>
      <c r="E3" s="13">
        <f>木桩!E3</f>
        <v>0</v>
      </c>
      <c r="F3" s="13">
        <f ca="1">木桩!F3+Q$23</f>
        <v>0.0101333333333333</v>
      </c>
      <c r="G3" s="13">
        <f>木桩!G3</f>
        <v>0</v>
      </c>
      <c r="H3" s="13">
        <f>木桩!H3</f>
        <v>0</v>
      </c>
      <c r="I3" s="21">
        <f ca="1" t="shared" ref="I3:I18" si="4">(N:N*C:C+D:D+E:E*Q:Q)*(1+F:F)*(K:K*(L:L+H:H-1)+1-R:R-0.75*S:S)*(1+M:M)*INDEX($O$25:$O$29,MATCH($Q$27,$M$25:$M$29,))</f>
        <v>16597.2398652941</v>
      </c>
      <c r="J3" s="13">
        <f ca="1" t="shared" si="1"/>
        <v>0.4336697879329</v>
      </c>
      <c r="K3" s="15">
        <f ca="1" t="shared" si="2"/>
        <v>0.487809266169638</v>
      </c>
      <c r="L3" s="13">
        <f ca="1">INDEX(V2:V17,MATCH(1:1,U2:U17,))</f>
        <v>1.9433</v>
      </c>
      <c r="M3" s="13">
        <f ca="1">INDEX(V2:V17,MATCH(1:1,U2:U17,))</f>
        <v>0.902992590034019</v>
      </c>
      <c r="N3" s="21">
        <f ca="1">INDEX(V2:V17,MATCH(1:1,U2:U17,))+O:O*P:P</f>
        <v>17966.0079384615</v>
      </c>
      <c r="O3" s="21">
        <f ca="1">INDEX(V2:V17,MATCH(1:1,U2:U17,))</f>
        <v>7522.72307692308</v>
      </c>
      <c r="P3" s="40">
        <f t="shared" si="3"/>
        <v>0.772</v>
      </c>
      <c r="Q3" s="21">
        <f ca="1">INDEX(V2:V17,MATCH(1:1,U2:U17,))</f>
        <v>751</v>
      </c>
      <c r="R3" s="13">
        <f ca="1">INDEX(V2:V17,MATCH(1:1,U2:U17,))</f>
        <v>0</v>
      </c>
      <c r="S3" s="13">
        <f ca="1">INDEX(V2:V17,MATCH(1:1,U2:U17,))</f>
        <v>0</v>
      </c>
      <c r="T3" s="20">
        <f>实战!T3</f>
        <v>20</v>
      </c>
      <c r="U3" s="20" t="str">
        <f t="shared" si="0"/>
        <v>基础身法</v>
      </c>
      <c r="V3" s="20">
        <f ca="1" t="shared" si="0"/>
        <v>1791.1</v>
      </c>
      <c r="W3" s="17" t="str">
        <f>属性!H7</f>
        <v>基础身法</v>
      </c>
      <c r="X3" s="17">
        <f>属性!I7</f>
        <v>1590</v>
      </c>
      <c r="Y3" s="17" t="s">
        <v>201</v>
      </c>
      <c r="Z3" s="17">
        <f ca="1">X3+G21</f>
        <v>1791.1</v>
      </c>
      <c r="AA3" s="23"/>
    </row>
    <row r="4" customHeight="1" spans="1:27">
      <c r="A4" s="12" t="str">
        <f>木桩!A4</f>
        <v>盾刀1</v>
      </c>
      <c r="B4" s="11">
        <f>木桩!B4</f>
        <v>5</v>
      </c>
      <c r="C4" s="11">
        <f>木桩!C4</f>
        <v>0.656</v>
      </c>
      <c r="D4" s="11">
        <f>木桩!D4</f>
        <v>137.5</v>
      </c>
      <c r="E4" s="13">
        <f>木桩!E4</f>
        <v>1</v>
      </c>
      <c r="F4" s="13">
        <f ca="1">木桩!F4+Q$23</f>
        <v>0.130133333333333</v>
      </c>
      <c r="G4" s="13">
        <f>木桩!G4</f>
        <v>0</v>
      </c>
      <c r="H4" s="13">
        <f>木桩!H4</f>
        <v>0</v>
      </c>
      <c r="I4" s="21">
        <f ca="1" t="shared" si="4"/>
        <v>38756.0192071332</v>
      </c>
      <c r="J4" s="13">
        <f ca="1" t="shared" si="1"/>
        <v>0.4336697879329</v>
      </c>
      <c r="K4" s="15">
        <f ca="1" t="shared" si="2"/>
        <v>0.487809266169638</v>
      </c>
      <c r="L4" s="13">
        <f ca="1">INDEX(V2:V17,MATCH(1:1,U2:U17,))</f>
        <v>1.9433</v>
      </c>
      <c r="M4" s="13">
        <f ca="1">INDEX(V2:V17,MATCH(1:1,U2:U17,))</f>
        <v>0.902992590034019</v>
      </c>
      <c r="N4" s="21">
        <f ca="1">INDEX(V2:V17,MATCH(1:1,U2:U17,))+O:O*P:P</f>
        <v>17966.0079384615</v>
      </c>
      <c r="O4" s="21">
        <f ca="1">INDEX(V2:V17,MATCH(1:1,U2:U17,))</f>
        <v>7522.72307692308</v>
      </c>
      <c r="P4" s="40">
        <f t="shared" si="3"/>
        <v>0.772</v>
      </c>
      <c r="Q4" s="21">
        <f ca="1">INDEX(V2:V17,MATCH(1:1,U2:U17,))</f>
        <v>751</v>
      </c>
      <c r="R4" s="13">
        <f ca="1">INDEX(V2:V17,MATCH(1:1,U2:U17,))</f>
        <v>0</v>
      </c>
      <c r="S4" s="13">
        <f ca="1">INDEX(V2:V17,MATCH(1:1,U2:U17,))</f>
        <v>0</v>
      </c>
      <c r="T4" s="20">
        <f>1-Q25/16</f>
        <v>0.9375</v>
      </c>
      <c r="U4" s="20" t="str">
        <f t="shared" si="0"/>
        <v>力道</v>
      </c>
      <c r="V4" s="20">
        <f ca="1" t="shared" si="0"/>
        <v>84</v>
      </c>
      <c r="W4" s="17" t="str">
        <f>属性!H8</f>
        <v>力道</v>
      </c>
      <c r="X4" s="17">
        <f>属性!I8</f>
        <v>32</v>
      </c>
      <c r="Y4" s="17" t="s">
        <v>191</v>
      </c>
      <c r="Z4" s="17">
        <f ca="1">(X4+H21)*(1+H23)</f>
        <v>84</v>
      </c>
      <c r="AA4" s="23"/>
    </row>
    <row r="5" customHeight="1" spans="1:27">
      <c r="A5" s="12" t="str">
        <f>木桩!A5</f>
        <v>废弃栏</v>
      </c>
      <c r="B5" s="11">
        <f>木桩!B5</f>
        <v>5</v>
      </c>
      <c r="C5" s="11">
        <f>木桩!C5</f>
        <v>0.9375</v>
      </c>
      <c r="D5" s="11">
        <f>木桩!D5</f>
        <v>137.5</v>
      </c>
      <c r="E5" s="13">
        <f>木桩!E5</f>
        <v>1</v>
      </c>
      <c r="F5" s="13">
        <f ca="1">木桩!F5+Q$23</f>
        <v>0.130133333333333</v>
      </c>
      <c r="G5" s="13">
        <f>木桩!G5</f>
        <v>0</v>
      </c>
      <c r="H5" s="13">
        <f>木桩!H5</f>
        <v>0</v>
      </c>
      <c r="I5" s="21">
        <f ca="1" t="shared" si="4"/>
        <v>54220.9703199406</v>
      </c>
      <c r="J5" s="13">
        <f ca="1" t="shared" si="1"/>
        <v>0.4336697879329</v>
      </c>
      <c r="K5" s="15">
        <f ca="1" t="shared" si="2"/>
        <v>0.487809266169638</v>
      </c>
      <c r="L5" s="13">
        <f ca="1">INDEX(V2:V17,MATCH(1:1,U2:U17,))</f>
        <v>1.9433</v>
      </c>
      <c r="M5" s="13">
        <f ca="1">INDEX(V2:V17,MATCH(1:1,U2:U17,))</f>
        <v>0.902992590034019</v>
      </c>
      <c r="N5" s="21">
        <f ca="1">INDEX(V2:V17,MATCH(1:1,U2:U17,))+O:O*P:P</f>
        <v>17966.0079384615</v>
      </c>
      <c r="O5" s="21">
        <f ca="1">INDEX(V2:V17,MATCH(1:1,U2:U17,))</f>
        <v>7522.72307692308</v>
      </c>
      <c r="P5" s="40">
        <f t="shared" si="3"/>
        <v>0.772</v>
      </c>
      <c r="Q5" s="21">
        <f ca="1">INDEX(V2:V17,MATCH(1:1,U2:U17,))</f>
        <v>751</v>
      </c>
      <c r="R5" s="13">
        <f ca="1">INDEX(V2:V17,MATCH(1:1,U2:U17,))</f>
        <v>0</v>
      </c>
      <c r="S5" s="13">
        <f ca="1">INDEX(V2:V17,MATCH(1:1,U2:U17,))</f>
        <v>0</v>
      </c>
      <c r="T5" s="20">
        <f>1-Q26/16</f>
        <v>0.875</v>
      </c>
      <c r="U5" s="20" t="str">
        <f t="shared" si="0"/>
        <v>面板攻击</v>
      </c>
      <c r="V5" s="20">
        <f ca="1" t="shared" si="0"/>
        <v>12158.4657230769</v>
      </c>
      <c r="W5" s="17" t="str">
        <f>属性!H9</f>
        <v>面板攻击</v>
      </c>
      <c r="X5" s="17">
        <f>属性!I9</f>
        <v>12484</v>
      </c>
      <c r="Y5" s="17" t="s">
        <v>15</v>
      </c>
      <c r="Z5" s="17">
        <f ca="1">Z6*(1+I23)+Z2*L26</f>
        <v>12158.4657230769</v>
      </c>
      <c r="AA5" s="23"/>
    </row>
    <row r="6" customHeight="1" spans="1:27">
      <c r="A6" s="12" t="str">
        <f>木桩!A6</f>
        <v>盾击</v>
      </c>
      <c r="B6" s="11">
        <f>木桩!B6</f>
        <v>5</v>
      </c>
      <c r="C6" s="11">
        <f>木桩!C6</f>
        <v>0.625</v>
      </c>
      <c r="D6" s="11">
        <f>木桩!D6</f>
        <v>109</v>
      </c>
      <c r="E6" s="13">
        <f>木桩!E6</f>
        <v>1</v>
      </c>
      <c r="F6" s="13">
        <f ca="1">木桩!F6+Q$23</f>
        <v>0.0101333333333333</v>
      </c>
      <c r="G6" s="13">
        <f>木桩!G6</f>
        <v>0</v>
      </c>
      <c r="H6" s="13">
        <f>木桩!H6</f>
        <v>0</v>
      </c>
      <c r="I6" s="21">
        <f ca="1" t="shared" si="4"/>
        <v>33040.6937487161</v>
      </c>
      <c r="J6" s="13">
        <f ca="1" t="shared" si="1"/>
        <v>0.4336697879329</v>
      </c>
      <c r="K6" s="15">
        <f ca="1" t="shared" si="2"/>
        <v>0.487809266169638</v>
      </c>
      <c r="L6" s="13">
        <f ca="1">INDEX(V2:V17,MATCH(1:1,U2:U17,))</f>
        <v>1.9433</v>
      </c>
      <c r="M6" s="13">
        <f ca="1">INDEX(V2:V17,MATCH(1:1,U2:U17,))</f>
        <v>0.902992590034019</v>
      </c>
      <c r="N6" s="21">
        <f ca="1">INDEX(V2:V17,MATCH(1:1,U2:U17,))+O:O*P:P</f>
        <v>17966.0079384615</v>
      </c>
      <c r="O6" s="21">
        <f ca="1">INDEX(V2:V17,MATCH(1:1,U2:U17,))</f>
        <v>7522.72307692308</v>
      </c>
      <c r="P6" s="40">
        <f t="shared" si="3"/>
        <v>0.772</v>
      </c>
      <c r="Q6" s="21">
        <f ca="1">INDEX(V2:V17,MATCH(1:1,U2:U17,))</f>
        <v>751</v>
      </c>
      <c r="R6" s="13">
        <f ca="1">INDEX(V2:V17,MATCH(1:1,U2:U17,))</f>
        <v>0</v>
      </c>
      <c r="S6" s="13">
        <f ca="1">INDEX(V2:V17,MATCH(1:1,U2:U17,))</f>
        <v>0</v>
      </c>
      <c r="T6" s="20">
        <f>1-Q25/16</f>
        <v>0.9375</v>
      </c>
      <c r="U6" s="20" t="str">
        <f t="shared" si="0"/>
        <v>基础攻击</v>
      </c>
      <c r="V6" s="20">
        <f ca="1" t="shared" si="0"/>
        <v>7522.72307692308</v>
      </c>
      <c r="W6" s="17" t="str">
        <f>属性!H10</f>
        <v>基础攻击</v>
      </c>
      <c r="X6" s="17">
        <f>属性!I10</f>
        <v>7315.92307692308</v>
      </c>
      <c r="Y6" s="17" t="s">
        <v>16</v>
      </c>
      <c r="Z6" s="17">
        <f ca="1">X6+I21+L28*(Z4-X4)</f>
        <v>7522.72307692308</v>
      </c>
      <c r="AA6" s="23"/>
    </row>
    <row r="7" customHeight="1" spans="1:27">
      <c r="A7" s="12" t="str">
        <f>木桩!A7</f>
        <v>盾压</v>
      </c>
      <c r="B7" s="11">
        <f>木桩!B7</f>
        <v>15</v>
      </c>
      <c r="C7" s="11">
        <f>木桩!C7</f>
        <v>1.243</v>
      </c>
      <c r="D7" s="11">
        <f>木桩!D7</f>
        <v>211</v>
      </c>
      <c r="E7" s="13">
        <f>木桩!E7</f>
        <v>1</v>
      </c>
      <c r="F7" s="13">
        <f ca="1">木桩!F7+Q$23</f>
        <v>0.200133333333333</v>
      </c>
      <c r="G7" s="13">
        <f>木桩!G7</f>
        <v>0.07</v>
      </c>
      <c r="H7" s="13">
        <f>木桩!H7</f>
        <v>0</v>
      </c>
      <c r="I7" s="21">
        <f ca="1" t="shared" si="4"/>
        <v>78761.2742185593</v>
      </c>
      <c r="J7" s="13">
        <f ca="1" t="shared" si="1"/>
        <v>0.5036697879329</v>
      </c>
      <c r="K7" s="15">
        <f ca="1" t="shared" si="2"/>
        <v>0.55166074816685</v>
      </c>
      <c r="L7" s="13">
        <f ca="1">INDEX(V2:V17,MATCH(1:1,U2:U17,))</f>
        <v>1.9433</v>
      </c>
      <c r="M7" s="13">
        <f ca="1">INDEX(V2:V17,MATCH(1:1,U2:U17,))</f>
        <v>0.902992590034019</v>
      </c>
      <c r="N7" s="21">
        <f ca="1">INDEX(V2:V17,MATCH(1:1,U2:U17,))+O:O*P:P</f>
        <v>17966.0079384615</v>
      </c>
      <c r="O7" s="21">
        <f ca="1">INDEX(V2:V17,MATCH(1:1,U2:U17,))</f>
        <v>7522.72307692308</v>
      </c>
      <c r="P7" s="40">
        <f t="shared" si="3"/>
        <v>0.772</v>
      </c>
      <c r="Q7" s="21">
        <f ca="1">INDEX(V2:V17,MATCH(1:1,U2:U17,))</f>
        <v>751</v>
      </c>
      <c r="R7" s="13">
        <f ca="1">INDEX(V2:V17,MATCH(1:1,U2:U17,))</f>
        <v>0</v>
      </c>
      <c r="S7" s="13">
        <f ca="1">INDEX(V2:V17,MATCH(1:1,U2:U17,))</f>
        <v>0</v>
      </c>
      <c r="T7" s="20">
        <f>1.5-Q24/16</f>
        <v>1.375</v>
      </c>
      <c r="U7" s="20" t="str">
        <f t="shared" si="0"/>
        <v>会心</v>
      </c>
      <c r="V7" s="20">
        <f ca="1" t="shared" si="0"/>
        <v>0.4336697879329</v>
      </c>
      <c r="W7" s="17" t="str">
        <f>属性!H11</f>
        <v>会心</v>
      </c>
      <c r="X7" s="17">
        <f>属性!I11</f>
        <v>0.2668</v>
      </c>
      <c r="Y7" s="17" t="s">
        <v>26</v>
      </c>
      <c r="Z7" s="17">
        <f ca="1">X7+K21/J25+(Z2-X2)*L29/J25+K23</f>
        <v>0.4336697879329</v>
      </c>
      <c r="AA7" s="23"/>
    </row>
    <row r="8" customHeight="1" spans="1:27">
      <c r="A8" s="12" t="str">
        <f>木桩!A8</f>
        <v>盾猛</v>
      </c>
      <c r="B8" s="11">
        <f>木桩!B8</f>
        <v>15</v>
      </c>
      <c r="C8" s="11">
        <f>木桩!C8</f>
        <v>2.4525</v>
      </c>
      <c r="D8" s="11">
        <f>木桩!D8</f>
        <v>340</v>
      </c>
      <c r="E8" s="13">
        <f>木桩!E8</f>
        <v>1</v>
      </c>
      <c r="F8" s="13">
        <f ca="1">木桩!F8+Q$23</f>
        <v>0.0101333333333333</v>
      </c>
      <c r="G8" s="13">
        <f>木桩!G8</f>
        <v>0.1</v>
      </c>
      <c r="H8" s="13">
        <f>木桩!H8</f>
        <v>0.1</v>
      </c>
      <c r="I8" s="21">
        <f ca="1" t="shared" si="4"/>
        <v>135608.962244704</v>
      </c>
      <c r="J8" s="13">
        <f ca="1" t="shared" si="1"/>
        <v>0.5336697879329</v>
      </c>
      <c r="K8" s="15">
        <f ca="1" t="shared" si="2"/>
        <v>0.579395934348068</v>
      </c>
      <c r="L8" s="13">
        <f ca="1">INDEX(V2:V17,MATCH(1:1,U2:U17,))</f>
        <v>1.9433</v>
      </c>
      <c r="M8" s="13">
        <f ca="1">INDEX(V2:V17,MATCH(1:1,U2:U17,))</f>
        <v>0.902992590034019</v>
      </c>
      <c r="N8" s="21">
        <f ca="1">INDEX(V2:V17,MATCH(1:1,U2:U17,))+O:O*P:P</f>
        <v>17966.0079384615</v>
      </c>
      <c r="O8" s="21">
        <f ca="1">INDEX(V2:V17,MATCH(1:1,U2:U17,))</f>
        <v>7522.72307692308</v>
      </c>
      <c r="P8" s="40">
        <f t="shared" si="3"/>
        <v>0.772</v>
      </c>
      <c r="Q8" s="21">
        <f ca="1">INDEX(V2:V17,MATCH(1:1,U2:U17,))</f>
        <v>751</v>
      </c>
      <c r="R8" s="13">
        <f ca="1">INDEX(V2:V17,MATCH(1:1,U2:U17,))</f>
        <v>0</v>
      </c>
      <c r="S8" s="13">
        <f ca="1">INDEX(V2:V17,MATCH(1:1,U2:U17,))</f>
        <v>0</v>
      </c>
      <c r="T8" s="20">
        <f>1.5-Q24/16</f>
        <v>1.375</v>
      </c>
      <c r="U8" s="20" t="str">
        <f t="shared" si="0"/>
        <v>会效</v>
      </c>
      <c r="V8" s="20">
        <f ca="1" t="shared" si="0"/>
        <v>1.9433</v>
      </c>
      <c r="W8" s="17" t="str">
        <f>属性!H12</f>
        <v>会效</v>
      </c>
      <c r="X8" s="17">
        <f>属性!I12</f>
        <v>1.8533</v>
      </c>
      <c r="Y8" s="17" t="s">
        <v>36</v>
      </c>
      <c r="Z8" s="17">
        <f ca="1">X8+(L21+(Z2-X2)*L30)/J26+L23</f>
        <v>1.9433</v>
      </c>
      <c r="AA8" s="23"/>
    </row>
    <row r="9" customHeight="1" spans="1:27">
      <c r="A9" s="12" t="str">
        <f>木桩!A9</f>
        <v>盾飞</v>
      </c>
      <c r="B9" s="11">
        <f>木桩!B9</f>
        <v>0</v>
      </c>
      <c r="C9" s="11">
        <f>木桩!C9</f>
        <v>0.168</v>
      </c>
      <c r="D9" s="11">
        <f>木桩!D9</f>
        <v>25</v>
      </c>
      <c r="E9" s="13">
        <f>木桩!E9</f>
        <v>1</v>
      </c>
      <c r="F9" s="13">
        <f ca="1">木桩!F9+Q$23</f>
        <v>0.130133333333333</v>
      </c>
      <c r="G9" s="13">
        <f>木桩!G9</f>
        <v>0.05</v>
      </c>
      <c r="H9" s="13">
        <f>木桩!H9</f>
        <v>0</v>
      </c>
      <c r="I9" s="21">
        <f ca="1" t="shared" si="4"/>
        <v>12530.7719971852</v>
      </c>
      <c r="J9" s="13">
        <f ca="1" t="shared" si="1"/>
        <v>0.4836697879329</v>
      </c>
      <c r="K9" s="15">
        <f ca="1" t="shared" ref="K9:K14" si="5">J:J+K$19</f>
        <v>0.532110725452127</v>
      </c>
      <c r="L9" s="13">
        <f ca="1">INDEX(V2:V17,MATCH(1:1,U2:U17,))</f>
        <v>1.9433</v>
      </c>
      <c r="M9" s="13">
        <f ca="1">INDEX(V2:V17,MATCH(1:1,U2:U17,))</f>
        <v>0.902992590034019</v>
      </c>
      <c r="N9" s="21">
        <f ca="1">INDEX(V2:V17,MATCH(1:1,U2:U17,))+O:O*P:P</f>
        <v>19094.4164</v>
      </c>
      <c r="O9" s="21">
        <f ca="1">INDEX(V2:V17,MATCH(1:1,U2:U17,))</f>
        <v>7522.72307692308</v>
      </c>
      <c r="P9" s="40">
        <f t="shared" ref="P9:P14" si="6">60%+D$32*0.2*6/25+0.15*D$21+60%*(25+6*D$32)*(1+H$28)/H$27</f>
        <v>0.922</v>
      </c>
      <c r="Q9" s="21">
        <f ca="1">INDEX(V2:V17,MATCH(1:1,U2:U17,))</f>
        <v>751</v>
      </c>
      <c r="R9" s="13">
        <f ca="1">INDEX(V2:V17,MATCH(1:1,U2:U17,))</f>
        <v>0</v>
      </c>
      <c r="S9" s="13">
        <f ca="1">INDEX(V2:V17,MATCH(1:1,U2:U17,))</f>
        <v>0</v>
      </c>
      <c r="T9" s="20">
        <f>1.5-Q24/16</f>
        <v>1.375</v>
      </c>
      <c r="U9" s="20" t="str">
        <f t="shared" si="0"/>
        <v>破防值</v>
      </c>
      <c r="V9" s="20">
        <f ca="1">Z9</f>
        <v>13855.6989</v>
      </c>
      <c r="W9" s="17" t="str">
        <f>属性!H13</f>
        <v>破防值</v>
      </c>
      <c r="X9" s="17">
        <f>属性!I13</f>
        <v>7718.1326</v>
      </c>
      <c r="Y9" s="17" t="s">
        <v>206</v>
      </c>
      <c r="Z9" s="17">
        <f ca="1">Z10*(1+O23)</f>
        <v>13855.6989</v>
      </c>
      <c r="AA9" s="23"/>
    </row>
    <row r="10" customHeight="1" spans="1:27">
      <c r="A10" s="12" t="str">
        <f>木桩!A10</f>
        <v>劫刀</v>
      </c>
      <c r="B10" s="11">
        <f>木桩!B10</f>
        <v>-5</v>
      </c>
      <c r="C10" s="11">
        <f>木桩!C10</f>
        <v>1.1</v>
      </c>
      <c r="D10" s="11">
        <f>木桩!D10</f>
        <v>124.5</v>
      </c>
      <c r="E10" s="13">
        <f>木桩!E10</f>
        <v>1</v>
      </c>
      <c r="F10" s="13">
        <f ca="1">木桩!F10+Q$23</f>
        <v>0.230133333333333</v>
      </c>
      <c r="G10" s="13">
        <f>木桩!G10</f>
        <v>0.15</v>
      </c>
      <c r="H10" s="13">
        <f>木桩!H10</f>
        <v>0.15</v>
      </c>
      <c r="I10" s="21">
        <f ca="1" t="shared" si="4"/>
        <v>84341.9988716536</v>
      </c>
      <c r="J10" s="13">
        <f ca="1" t="shared" si="1"/>
        <v>0.5836697879329</v>
      </c>
      <c r="K10" s="15">
        <f ca="1" t="shared" si="5"/>
        <v>0.632110725452127</v>
      </c>
      <c r="L10" s="13">
        <f ca="1">INDEX(V2:V17,MATCH(1:1,U2:U17,))</f>
        <v>1.9433</v>
      </c>
      <c r="M10" s="13">
        <f ca="1">INDEX(V2:V17,MATCH(1:1,U2:U17,))</f>
        <v>0.902992590034019</v>
      </c>
      <c r="N10" s="21">
        <f ca="1">INDEX(V2:V17,MATCH(1:1,U2:U17,))+O:O*P:P</f>
        <v>19094.4164</v>
      </c>
      <c r="O10" s="21">
        <f ca="1">INDEX(V2:V17,MATCH(1:1,U2:U17,))</f>
        <v>7522.72307692308</v>
      </c>
      <c r="P10" s="40">
        <f t="shared" si="6"/>
        <v>0.922</v>
      </c>
      <c r="Q10" s="21">
        <f ca="1">INDEX(V2:V17,MATCH(1:1,U2:U17,))</f>
        <v>751</v>
      </c>
      <c r="R10" s="13">
        <f ca="1">INDEX(V2:V17,MATCH(1:1,U2:U17,))</f>
        <v>0</v>
      </c>
      <c r="S10" s="13">
        <f ca="1">INDEX(V2:V17,MATCH(1:1,U2:U17,))</f>
        <v>0</v>
      </c>
      <c r="T10" s="20">
        <f>1.5-Q24/16</f>
        <v>1.375</v>
      </c>
      <c r="U10" s="20" t="str">
        <f t="shared" si="0"/>
        <v>基础破防</v>
      </c>
      <c r="V10" s="20">
        <f ca="1">Z10</f>
        <v>9237.1326</v>
      </c>
      <c r="W10" s="17" t="str">
        <f>属性!H14</f>
        <v>基础破防</v>
      </c>
      <c r="X10" s="17">
        <f>属性!I14</f>
        <v>7718.1326</v>
      </c>
      <c r="Y10" s="17" t="s">
        <v>47</v>
      </c>
      <c r="Z10" s="17">
        <f ca="1">X10+O21+(Z4-X4)*L27</f>
        <v>9237.1326</v>
      </c>
      <c r="AA10" s="23"/>
    </row>
    <row r="11" customHeight="1" spans="1:27">
      <c r="A11" s="12" t="str">
        <f>木桩!A11</f>
        <v>斩刀</v>
      </c>
      <c r="B11" s="11">
        <f>木桩!B11</f>
        <v>-15</v>
      </c>
      <c r="C11" s="11">
        <f>木桩!C11</f>
        <v>1.193</v>
      </c>
      <c r="D11" s="11">
        <f>木桩!D11</f>
        <v>233</v>
      </c>
      <c r="E11" s="13">
        <f>木桩!E11</f>
        <v>1</v>
      </c>
      <c r="F11" s="13">
        <f ca="1">木桩!F11+Q$23</f>
        <v>0.180133333333333</v>
      </c>
      <c r="G11" s="13">
        <f>木桩!G11</f>
        <v>0.04</v>
      </c>
      <c r="H11" s="13">
        <f>木桩!H11</f>
        <v>0</v>
      </c>
      <c r="I11" s="21">
        <f ca="1" t="shared" si="4"/>
        <v>77562.4777740909</v>
      </c>
      <c r="J11" s="13">
        <f ca="1" t="shared" si="1"/>
        <v>0.4736697879329</v>
      </c>
      <c r="K11" s="15">
        <f ca="1" t="shared" si="5"/>
        <v>0.522110725452127</v>
      </c>
      <c r="L11" s="13">
        <f ca="1">INDEX(V2:V17,MATCH(1:1,U2:U17,))</f>
        <v>1.9433</v>
      </c>
      <c r="M11" s="13">
        <f ca="1">INDEX(V2:V17,MATCH(1:1,U2:U17,))</f>
        <v>0.902992590034019</v>
      </c>
      <c r="N11" s="21">
        <f ca="1">INDEX(V2:V17,MATCH(1:1,U2:U17,))+O:O*P:P</f>
        <v>19094.4164</v>
      </c>
      <c r="O11" s="21">
        <f ca="1">INDEX(V2:V17,MATCH(1:1,U2:U17,))</f>
        <v>7522.72307692308</v>
      </c>
      <c r="P11" s="40">
        <f t="shared" si="6"/>
        <v>0.922</v>
      </c>
      <c r="Q11" s="21">
        <f ca="1">INDEX(V2:V17,MATCH(1:1,U2:U17,))</f>
        <v>751</v>
      </c>
      <c r="R11" s="13">
        <f ca="1">INDEX(V2:V17,MATCH(1:1,U2:U17,))</f>
        <v>0</v>
      </c>
      <c r="S11" s="13">
        <f ca="1">INDEX(V2:V17,MATCH(1:1,U2:U17,))</f>
        <v>0</v>
      </c>
      <c r="T11" s="20">
        <f>1.5-Q24/16</f>
        <v>1.375</v>
      </c>
      <c r="U11" s="20" t="str">
        <f t="shared" si="0"/>
        <v>破防</v>
      </c>
      <c r="V11" s="20">
        <f ca="1" t="shared" si="0"/>
        <v>0.902992590034019</v>
      </c>
      <c r="W11" s="17" t="str">
        <f>属性!H15</f>
        <v>破防</v>
      </c>
      <c r="X11" s="17">
        <f>属性!I15</f>
        <v>0.503</v>
      </c>
      <c r="Y11" s="17" t="s">
        <v>205</v>
      </c>
      <c r="Z11" s="17">
        <f ca="1">Z9/J30</f>
        <v>0.902992590034019</v>
      </c>
      <c r="AA11" s="23"/>
    </row>
    <row r="12" customHeight="1" spans="1:27">
      <c r="A12" s="12" t="str">
        <f>木桩!A12</f>
        <v>闪刀</v>
      </c>
      <c r="B12" s="11">
        <f>木桩!B12</f>
        <v>-15</v>
      </c>
      <c r="C12" s="11">
        <f>木桩!C12</f>
        <v>0.9</v>
      </c>
      <c r="D12" s="11">
        <f>木桩!D12</f>
        <v>157.5</v>
      </c>
      <c r="E12" s="13">
        <f>木桩!E12</f>
        <v>1</v>
      </c>
      <c r="F12" s="13">
        <f ca="1">木桩!F12+Q$23</f>
        <v>0.0101333333333333</v>
      </c>
      <c r="G12" s="13">
        <f>木桩!G12</f>
        <v>0</v>
      </c>
      <c r="H12" s="13">
        <f>木桩!H12</f>
        <v>0</v>
      </c>
      <c r="I12" s="21">
        <f ca="1" t="shared" si="4"/>
        <v>49270.5930170769</v>
      </c>
      <c r="J12" s="13">
        <f ca="1" t="shared" si="1"/>
        <v>0.4336697879329</v>
      </c>
      <c r="K12" s="15">
        <f ca="1" t="shared" si="5"/>
        <v>0.482110725452127</v>
      </c>
      <c r="L12" s="13">
        <f ca="1">INDEX(V2:V17,MATCH(1:1,U2:U17,))</f>
        <v>1.9433</v>
      </c>
      <c r="M12" s="13">
        <f ca="1">INDEX(V2:V17,MATCH(1:1,U2:U17,))</f>
        <v>0.902992590034019</v>
      </c>
      <c r="N12" s="21">
        <f ca="1">INDEX(V2:V17,MATCH(1:1,U2:U17,))+O:O*P:P</f>
        <v>19094.4164</v>
      </c>
      <c r="O12" s="21">
        <f ca="1">INDEX(V2:V17,MATCH(1:1,U2:U17,))</f>
        <v>7522.72307692308</v>
      </c>
      <c r="P12" s="40">
        <f t="shared" si="6"/>
        <v>0.922</v>
      </c>
      <c r="Q12" s="21">
        <f ca="1">INDEX(V2:V17,MATCH(1:1,U2:U17,))</f>
        <v>751</v>
      </c>
      <c r="R12" s="13">
        <f ca="1">INDEX(V2:V17,MATCH(1:1,U2:U17,))</f>
        <v>0</v>
      </c>
      <c r="S12" s="13">
        <f ca="1">INDEX(V2:V17,MATCH(1:1,U2:U17,))</f>
        <v>0</v>
      </c>
      <c r="T12" s="20">
        <f>1.5-Q24/16</f>
        <v>1.375</v>
      </c>
      <c r="U12" s="20" t="str">
        <f t="shared" si="0"/>
        <v>加速</v>
      </c>
      <c r="V12" s="20">
        <f t="shared" si="0"/>
        <v>828</v>
      </c>
      <c r="W12" s="17" t="str">
        <f>属性!H16</f>
        <v>加速</v>
      </c>
      <c r="X12" s="17">
        <f>属性!I16</f>
        <v>828</v>
      </c>
      <c r="Y12" s="17" t="s">
        <v>83</v>
      </c>
      <c r="Z12" s="17">
        <f>X12</f>
        <v>828</v>
      </c>
      <c r="AA12" s="23"/>
    </row>
    <row r="13" customHeight="1" spans="1:27">
      <c r="A13" s="12" t="str">
        <f>木桩!A13</f>
        <v>绝刀</v>
      </c>
      <c r="B13" s="11">
        <f>木桩!B13</f>
        <v>0</v>
      </c>
      <c r="C13" s="11">
        <f>木桩!C13</f>
        <v>1.211</v>
      </c>
      <c r="D13" s="11">
        <f>木桩!D13</f>
        <v>186</v>
      </c>
      <c r="E13" s="13">
        <f>木桩!E13</f>
        <v>1</v>
      </c>
      <c r="F13" s="13">
        <f ca="1">木桩!F13+Q$23</f>
        <v>0.500133333333333</v>
      </c>
      <c r="G13" s="13">
        <f>木桩!G13</f>
        <v>0.04</v>
      </c>
      <c r="H13" s="13">
        <f>木桩!H13</f>
        <v>0</v>
      </c>
      <c r="I13" s="21">
        <f ca="1" t="shared" si="4"/>
        <v>99824.9830391473</v>
      </c>
      <c r="J13" s="13">
        <f ca="1" t="shared" si="1"/>
        <v>0.4736697879329</v>
      </c>
      <c r="K13" s="15">
        <f ca="1" t="shared" si="5"/>
        <v>0.522110725452127</v>
      </c>
      <c r="L13" s="13">
        <f ca="1">INDEX(V2:V17,MATCH(1:1,U2:U17,))</f>
        <v>1.9433</v>
      </c>
      <c r="M13" s="13">
        <f ca="1">INDEX(V2:V17,MATCH(1:1,U2:U17,))</f>
        <v>0.902992590034019</v>
      </c>
      <c r="N13" s="21">
        <f ca="1">INDEX(V2:V17,MATCH(1:1,U2:U17,))+O:O*P:P</f>
        <v>19094.4164</v>
      </c>
      <c r="O13" s="21">
        <f ca="1">INDEX(V2:V17,MATCH(1:1,U2:U17,))</f>
        <v>7522.72307692308</v>
      </c>
      <c r="P13" s="40">
        <f t="shared" si="6"/>
        <v>0.922</v>
      </c>
      <c r="Q13" s="21">
        <f ca="1">INDEX(V2:V17,MATCH(1:1,U2:U17,))</f>
        <v>751</v>
      </c>
      <c r="R13" s="13">
        <f ca="1">INDEX(V2:V17,MATCH(1:1,U2:U17,))</f>
        <v>0</v>
      </c>
      <c r="S13" s="13">
        <f ca="1">INDEX(V2:V17,MATCH(1:1,U2:U17,))</f>
        <v>0</v>
      </c>
      <c r="T13" s="20">
        <f>1.5-Q24/16</f>
        <v>1.375</v>
      </c>
      <c r="U13" s="20" t="str">
        <f t="shared" si="0"/>
        <v>命中</v>
      </c>
      <c r="V13" s="20">
        <f ca="1" t="shared" si="0"/>
        <v>1.13257753521884</v>
      </c>
      <c r="W13" s="17" t="str">
        <f>属性!H17</f>
        <v>命中</v>
      </c>
      <c r="X13" s="17">
        <f>属性!I17</f>
        <v>1.0715</v>
      </c>
      <c r="Y13" s="17" t="s">
        <v>56</v>
      </c>
      <c r="Z13" s="17">
        <f ca="1">X13+J23+J21/J27</f>
        <v>1.13257753521884</v>
      </c>
      <c r="AA13" s="23"/>
    </row>
    <row r="14" customHeight="1" spans="1:27">
      <c r="A14" s="11" t="str">
        <f>木桩!A14</f>
        <v>流血</v>
      </c>
      <c r="B14" s="11">
        <f>木桩!B14</f>
        <v>0</v>
      </c>
      <c r="C14" s="14">
        <f>木桩!C14</f>
        <v>0.34375</v>
      </c>
      <c r="D14" s="11">
        <f>木桩!D14</f>
        <v>47</v>
      </c>
      <c r="E14" s="13">
        <f>木桩!E14</f>
        <v>0</v>
      </c>
      <c r="F14" s="13">
        <f ca="1">木桩!F14+Q$23</f>
        <v>0.0101333333333333</v>
      </c>
      <c r="G14" s="13">
        <f>木桩!G14</f>
        <v>0</v>
      </c>
      <c r="H14" s="13">
        <f>木桩!H14</f>
        <v>0</v>
      </c>
      <c r="I14" s="21">
        <f ca="1" t="shared" si="4"/>
        <v>18001.7045559997</v>
      </c>
      <c r="J14" s="13">
        <f ca="1" t="shared" si="1"/>
        <v>0.4336697879329</v>
      </c>
      <c r="K14" s="15">
        <f ca="1" t="shared" si="5"/>
        <v>0.482110725452127</v>
      </c>
      <c r="L14" s="13">
        <f ca="1">INDEX(V2:V17,MATCH(1:1,U2:U17,))</f>
        <v>1.9433</v>
      </c>
      <c r="M14" s="13">
        <f ca="1">INDEX(V2:V17,MATCH(1:1,U2:U17,))</f>
        <v>0.902992590034019</v>
      </c>
      <c r="N14" s="21">
        <f ca="1">INDEX(V2:V17,MATCH(1:1,U2:U17,))+O:O*P:P</f>
        <v>19094.4164</v>
      </c>
      <c r="O14" s="21">
        <f ca="1">INDEX(V2:V17,MATCH(1:1,U2:U17,))</f>
        <v>7522.72307692308</v>
      </c>
      <c r="P14" s="40">
        <f t="shared" si="6"/>
        <v>0.922</v>
      </c>
      <c r="Q14" s="21">
        <f ca="1">INDEX(V2:V17,MATCH(1:1,U2:U17,))</f>
        <v>751</v>
      </c>
      <c r="R14" s="13">
        <f ca="1">INDEX(V2:V17,MATCH(1:1,U2:U17,))</f>
        <v>0</v>
      </c>
      <c r="S14" s="13">
        <f ca="1">INDEX(V2:V17,MATCH(1:1,U2:U17,))</f>
        <v>0</v>
      </c>
      <c r="T14" s="20">
        <f>(2-Q26/16)*NOT(D22)+(1-Q25/16)*D22</f>
        <v>0.9375</v>
      </c>
      <c r="U14" s="20" t="str">
        <f t="shared" si="0"/>
        <v>无双</v>
      </c>
      <c r="V14" s="20">
        <f ca="1" t="shared" si="0"/>
        <v>0.273371047077177</v>
      </c>
      <c r="W14" s="17" t="str">
        <f>属性!H18</f>
        <v>无双</v>
      </c>
      <c r="X14" s="17">
        <f>属性!I18</f>
        <v>0.2319</v>
      </c>
      <c r="Y14" s="17" t="s">
        <v>66</v>
      </c>
      <c r="Z14" s="17">
        <f ca="1">X14+N23+N21/J28</f>
        <v>0.273371047077177</v>
      </c>
      <c r="AA14" s="23"/>
    </row>
    <row r="15" customHeight="1" spans="1:27">
      <c r="A15" s="11" t="str">
        <f>木桩!A15</f>
        <v>卷雪刀</v>
      </c>
      <c r="B15" s="11">
        <f>木桩!B15</f>
        <v>0</v>
      </c>
      <c r="C15" s="11">
        <f>木桩!C15</f>
        <v>0.1375</v>
      </c>
      <c r="D15" s="11">
        <f>木桩!D15</f>
        <v>0</v>
      </c>
      <c r="E15" s="13">
        <f>木桩!E15</f>
        <v>1</v>
      </c>
      <c r="F15" s="13">
        <f ca="1">木桩!F15+Q$23</f>
        <v>0.0101333333333333</v>
      </c>
      <c r="G15" s="13">
        <f>木桩!G15</f>
        <v>0</v>
      </c>
      <c r="H15" s="13">
        <f>木桩!H15</f>
        <v>0</v>
      </c>
      <c r="I15" s="21">
        <f ca="1" t="shared" si="4"/>
        <v>8804.45084658459</v>
      </c>
      <c r="J15" s="13">
        <f ca="1" t="shared" si="1"/>
        <v>0.4336697879329</v>
      </c>
      <c r="K15" s="15">
        <f ca="1">J:J+(0.211855500496661*J:J^6-0.937563819411654*J:J^5+1.77483619127542*J:J^4-1.89647323402313*J:J^3+1.2737744963305*J:J^2-0.565275505039552*J:J+0.164596522595162)*$D$28</f>
        <v>0.487809266169638</v>
      </c>
      <c r="L15" s="13">
        <f ca="1">INDEX(V2:V17,MATCH(1:1,U2:U17,))</f>
        <v>1.9433</v>
      </c>
      <c r="M15" s="13">
        <f ca="1">INDEX(V2:V17,MATCH(1:1,U2:U17,))</f>
        <v>0.902992590034019</v>
      </c>
      <c r="N15" s="21">
        <f ca="1">INDEX(V2:V17,MATCH(1:1,U2:U17,))+O:O*P:P</f>
        <v>17966.0079384615</v>
      </c>
      <c r="O15" s="21">
        <f ca="1">INDEX(V2:V17,MATCH(1:1,U2:U17,))</f>
        <v>7522.72307692308</v>
      </c>
      <c r="P15" s="40">
        <f>60%+D$32*0.2*6/25+60%*(25+6*D$32)*(1+H$28)/H$27</f>
        <v>0.772</v>
      </c>
      <c r="Q15" s="21">
        <f ca="1">INDEX(V2:V17,MATCH(1:1,U2:U17,))</f>
        <v>751</v>
      </c>
      <c r="R15" s="13">
        <f ca="1">INDEX(V2:V17,MATCH(1:1,U2:U17,))</f>
        <v>0</v>
      </c>
      <c r="S15" s="13">
        <f ca="1">INDEX(V2:V17,MATCH(1:1,U2:U17,))</f>
        <v>0</v>
      </c>
      <c r="T15" s="20">
        <f>1.5-Q24/16</f>
        <v>1.375</v>
      </c>
      <c r="U15" s="20" t="str">
        <f t="shared" si="0"/>
        <v>武器伤害</v>
      </c>
      <c r="V15" s="20">
        <f ca="1" t="shared" si="0"/>
        <v>751</v>
      </c>
      <c r="W15" s="17" t="str">
        <f>属性!H19</f>
        <v>武器伤害</v>
      </c>
      <c r="X15" s="17">
        <f ca="1">属性!I19+P21</f>
        <v>751</v>
      </c>
      <c r="Y15" s="17" t="s">
        <v>75</v>
      </c>
      <c r="Z15" s="17">
        <f ca="1">X15</f>
        <v>751</v>
      </c>
      <c r="AA15" s="23"/>
    </row>
    <row r="16" customHeight="1" spans="1:27">
      <c r="A16" s="7" t="str">
        <f>木桩!A16</f>
        <v>卷雪刀1</v>
      </c>
      <c r="B16" s="7">
        <f>木桩!B16</f>
        <v>0</v>
      </c>
      <c r="C16" s="7">
        <f>木桩!C16</f>
        <v>0.1375</v>
      </c>
      <c r="D16" s="7">
        <f>木桩!D16</f>
        <v>0</v>
      </c>
      <c r="E16" s="16">
        <f>木桩!E16</f>
        <v>1</v>
      </c>
      <c r="F16" s="13">
        <f ca="1">木桩!F16+Q$23</f>
        <v>0.0101333333333333</v>
      </c>
      <c r="G16" s="16">
        <f>木桩!G16</f>
        <v>0</v>
      </c>
      <c r="H16" s="16">
        <f>木桩!H16</f>
        <v>0</v>
      </c>
      <c r="I16" s="21">
        <f ca="1" t="shared" si="4"/>
        <v>9194.54583611926</v>
      </c>
      <c r="J16" s="13">
        <f ca="1" t="shared" si="1"/>
        <v>0.4336697879329</v>
      </c>
      <c r="K16" s="15">
        <f ca="1">J:J+K$19</f>
        <v>0.482110725452127</v>
      </c>
      <c r="L16" s="16">
        <f ca="1">INDEX(V2:V17,MATCH(1:1,U2:U17,))</f>
        <v>1.9433</v>
      </c>
      <c r="M16" s="16">
        <f ca="1">INDEX(V2:V17,MATCH(1:1,U2:U17,))</f>
        <v>0.902992590034019</v>
      </c>
      <c r="N16" s="23">
        <f ca="1">INDEX(V2:V17,MATCH(1:1,U2:U17,))+O:O*P:P</f>
        <v>19094.4164</v>
      </c>
      <c r="O16" s="23">
        <f ca="1">INDEX(V2:V17,MATCH(1:1,U2:U17,))</f>
        <v>7522.72307692308</v>
      </c>
      <c r="P16" s="16">
        <f>P12</f>
        <v>0.922</v>
      </c>
      <c r="Q16" s="23">
        <f ca="1">INDEX(V2:V17,MATCH(1:1,U2:U17,))</f>
        <v>751</v>
      </c>
      <c r="R16" s="16">
        <f ca="1">INDEX(V2:V17,MATCH(1:1,U2:U17,))</f>
        <v>0</v>
      </c>
      <c r="S16" s="16">
        <f ca="1">INDEX(V2:V17,MATCH(1:1,U2:U17,))</f>
        <v>0</v>
      </c>
      <c r="T16" s="20">
        <f>1.5-Q24/16</f>
        <v>1.375</v>
      </c>
      <c r="U16" s="17" t="str">
        <f t="shared" si="0"/>
        <v>偏离率</v>
      </c>
      <c r="V16" s="30">
        <f ca="1" t="shared" si="0"/>
        <v>0</v>
      </c>
      <c r="W16" s="17" t="str">
        <f>属性!H20</f>
        <v>偏离率</v>
      </c>
      <c r="X16" s="16">
        <f>属性!I20</f>
        <v>0</v>
      </c>
      <c r="Y16" s="17" t="s">
        <v>212</v>
      </c>
      <c r="Z16" s="17">
        <f ca="1">IF(X16-Z13+X13&gt;0,X16-Z13+X13,0)</f>
        <v>0</v>
      </c>
      <c r="AA16" s="23"/>
    </row>
    <row r="17" customHeight="1" spans="1:27">
      <c r="A17" s="11" t="str">
        <f>木桩!A17</f>
        <v>绝刀1</v>
      </c>
      <c r="B17" s="11">
        <f>木桩!B17</f>
        <v>0</v>
      </c>
      <c r="C17" s="11">
        <f>木桩!C17</f>
        <v>1.211</v>
      </c>
      <c r="D17" s="11">
        <f>木桩!D17</f>
        <v>186</v>
      </c>
      <c r="E17" s="13">
        <f>木桩!E17</f>
        <v>1</v>
      </c>
      <c r="F17" s="13">
        <f ca="1">木桩!F17+Q$23</f>
        <v>0.500133333333333</v>
      </c>
      <c r="G17" s="13">
        <f>木桩!G17</f>
        <v>0.07</v>
      </c>
      <c r="H17" s="13">
        <f>木桩!H17</f>
        <v>0</v>
      </c>
      <c r="I17" s="21">
        <f ca="1" t="shared" si="4"/>
        <v>101689.346179695</v>
      </c>
      <c r="J17" s="13">
        <f ca="1" t="shared" si="1"/>
        <v>0.5036697879329</v>
      </c>
      <c r="K17" s="15">
        <f ca="1">J:J+(0.211855500496661*J:J^6-0.937563819411654*J:J^5+1.77483619127542*J:J^4-1.89647323402313*J:J^3+1.2737744963305*J:J^2-0.565275505039552*J:J+0.164596522595162)*$D$28</f>
        <v>0.55166074816685</v>
      </c>
      <c r="L17" s="13">
        <f ca="1">INDEX(V2:V17,MATCH(1:1,U2:U17,))</f>
        <v>1.9433</v>
      </c>
      <c r="M17" s="13">
        <f ca="1">INDEX(V2:V17,MATCH(1:1,U2:U17,))</f>
        <v>0.902992590034019</v>
      </c>
      <c r="N17" s="21">
        <f ca="1">INDEX(V2:V17,MATCH(1:1,U2:U17,))+O:O*P:P</f>
        <v>19094.4164</v>
      </c>
      <c r="O17" s="21">
        <f ca="1">INDEX(V2:V17,MATCH(1:1,U2:U17,))</f>
        <v>7522.72307692308</v>
      </c>
      <c r="P17" s="16">
        <f>P13</f>
        <v>0.922</v>
      </c>
      <c r="Q17" s="21">
        <f ca="1">INDEX(V2:V17,MATCH(1:1,U2:U17,))</f>
        <v>751</v>
      </c>
      <c r="R17" s="13">
        <f ca="1">INDEX(V2:V17,MATCH(1:1,U2:U17,))</f>
        <v>0</v>
      </c>
      <c r="S17" s="13">
        <f ca="1">INDEX(V2:V17,MATCH(1:1,U2:U17,))</f>
        <v>0</v>
      </c>
      <c r="T17" s="7">
        <v>0</v>
      </c>
      <c r="U17" s="20" t="str">
        <f t="shared" si="0"/>
        <v>识破率</v>
      </c>
      <c r="V17" s="20">
        <f ca="1" t="shared" si="0"/>
        <v>0</v>
      </c>
      <c r="W17" s="17" t="str">
        <f>属性!H21</f>
        <v>识破率</v>
      </c>
      <c r="X17" s="17">
        <f>属性!I21</f>
        <v>0</v>
      </c>
      <c r="Y17" s="17" t="s">
        <v>213</v>
      </c>
      <c r="Z17" s="17">
        <f ca="1">IF(X17-Z14+X14&gt;0,X17-Z14+X14,0)</f>
        <v>0</v>
      </c>
      <c r="AA17" s="23"/>
    </row>
    <row r="18" customHeight="1" spans="1:27">
      <c r="A18" s="11" t="str">
        <f>木桩!A18</f>
        <v>绝刀2</v>
      </c>
      <c r="B18" s="11">
        <f>木桩!B18</f>
        <v>0</v>
      </c>
      <c r="C18" s="11">
        <f>木桩!C18</f>
        <v>1.211</v>
      </c>
      <c r="D18" s="11">
        <f>木桩!D18</f>
        <v>186</v>
      </c>
      <c r="E18" s="13">
        <f>木桩!E18</f>
        <v>1</v>
      </c>
      <c r="F18" s="13">
        <f ca="1">木桩!F18+Q$23</f>
        <v>0.700133333333333</v>
      </c>
      <c r="G18" s="13">
        <f>木桩!G18</f>
        <v>0.04</v>
      </c>
      <c r="H18" s="13">
        <f>木桩!H18</f>
        <v>0</v>
      </c>
      <c r="I18" s="21">
        <f ca="1" t="shared" si="4"/>
        <v>113133.797771946</v>
      </c>
      <c r="J18" s="13">
        <f ca="1" t="shared" si="1"/>
        <v>0.4736697879329</v>
      </c>
      <c r="K18" s="15">
        <f ca="1">J:J+K$19</f>
        <v>0.522110725452127</v>
      </c>
      <c r="L18" s="13">
        <f ca="1">INDEX(V2:V17,MATCH(1:1,U2:U17,))</f>
        <v>1.9433</v>
      </c>
      <c r="M18" s="13">
        <f ca="1">INDEX(V2:V17,MATCH(1:1,U2:U17,))</f>
        <v>0.902992590034019</v>
      </c>
      <c r="N18" s="21">
        <f ca="1">INDEX(V2:V17,MATCH(1:1,U2:U17,))+O:O*P:P</f>
        <v>19094.4164</v>
      </c>
      <c r="O18" s="21">
        <f ca="1">INDEX(V2:V17,MATCH(1:1,U2:U17,))</f>
        <v>7522.72307692308</v>
      </c>
      <c r="P18" s="16">
        <f>P13</f>
        <v>0.922</v>
      </c>
      <c r="Q18" s="21">
        <f ca="1">INDEX(V2:V17,MATCH(1:1,U2:U17,))</f>
        <v>751</v>
      </c>
      <c r="R18" s="13">
        <f ca="1">INDEX(V2:V17,MATCH(1:1,U2:U17,))</f>
        <v>0</v>
      </c>
      <c r="S18" s="13">
        <f ca="1">INDEX(V2:V17,MATCH(1:1,U2:U17,))</f>
        <v>0</v>
      </c>
      <c r="T18" s="7">
        <v>0</v>
      </c>
      <c r="AA18" s="23"/>
    </row>
    <row r="19" customHeight="1" spans="5:27">
      <c r="E19" s="16"/>
      <c r="F19" s="16"/>
      <c r="G19" s="16"/>
      <c r="H19" s="16"/>
      <c r="I19" s="13" t="s">
        <v>291</v>
      </c>
      <c r="J19" s="24">
        <f ca="1">(0.75*J11+0.75*J12+8.5*J10+15*J9)/25</f>
        <v>0.5158697879329</v>
      </c>
      <c r="K19" s="7">
        <f ca="1">(0.450269547036277*J:J^6-1.63135022943507*J:J^5+2.53454201422095*J:J^4-2.30008535755169*J:J^3+1.39860127189957*J:J^2-0.596843023464342*J:J+0.171517229012336)*D28</f>
        <v>0.0484409375192273</v>
      </c>
      <c r="L19" s="16"/>
      <c r="M19" s="16"/>
      <c r="N19" s="23"/>
      <c r="O19" s="23"/>
      <c r="P19" s="16"/>
      <c r="Q19" s="23"/>
      <c r="R19" s="16"/>
      <c r="S19" s="16"/>
      <c r="V19" s="29"/>
      <c r="AA19" s="23"/>
    </row>
    <row r="20" customHeight="1" spans="5:27">
      <c r="E20" s="16"/>
      <c r="F20" s="16"/>
      <c r="G20" s="37" t="str">
        <f>属性!H1</f>
        <v>身法</v>
      </c>
      <c r="H20" s="37" t="str">
        <f>属性!I1</f>
        <v>力道</v>
      </c>
      <c r="I20" s="37" t="str">
        <f>属性!J1</f>
        <v>基础攻击</v>
      </c>
      <c r="J20" s="37" t="str">
        <f>属性!K1</f>
        <v>命中</v>
      </c>
      <c r="K20" s="41" t="str">
        <f>属性!L1</f>
        <v>会心</v>
      </c>
      <c r="L20" s="37" t="str">
        <f>属性!M1</f>
        <v>会效</v>
      </c>
      <c r="M20" s="37" t="str">
        <f>属性!N1</f>
        <v>加速</v>
      </c>
      <c r="N20" s="37" t="str">
        <f>属性!O1</f>
        <v>无双</v>
      </c>
      <c r="O20" s="37" t="str">
        <f>属性!P1</f>
        <v>基础破防</v>
      </c>
      <c r="P20" s="42" t="str">
        <f>属性!Q1</f>
        <v>武器伤害</v>
      </c>
      <c r="Q20" s="42" t="str">
        <f>属性!R1</f>
        <v>减防</v>
      </c>
      <c r="R20" s="16"/>
      <c r="S20" s="16"/>
      <c r="AA20" s="23"/>
    </row>
    <row r="21" customHeight="1" spans="1:27">
      <c r="A21" s="20" t="str">
        <f>属性!D1</f>
        <v>第一重</v>
      </c>
      <c r="B21" s="20" t="str">
        <f>属性!E1</f>
        <v>刀魂</v>
      </c>
      <c r="C21" s="11" t="s">
        <v>13</v>
      </c>
      <c r="D21" s="11" t="b">
        <f t="shared" ref="D21:D32" si="7">C21=B21</f>
        <v>1</v>
      </c>
      <c r="E21" s="11" t="s">
        <v>292</v>
      </c>
      <c r="F21" s="11" t="b">
        <f t="shared" ref="F21:F31" si="8">E21=B21</f>
        <v>0</v>
      </c>
      <c r="G21" s="20">
        <f ca="1">属性!H2+0.1</f>
        <v>201.1</v>
      </c>
      <c r="H21" s="20">
        <f ca="1">属性!I2</f>
        <v>52</v>
      </c>
      <c r="I21" s="17">
        <f ca="1">属性!J2</f>
        <v>199</v>
      </c>
      <c r="J21" s="17">
        <f ca="1">属性!K2</f>
        <v>294</v>
      </c>
      <c r="K21" s="20">
        <f ca="1">属性!L2</f>
        <v>194</v>
      </c>
      <c r="L21" s="43">
        <f ca="1">属性!M2</f>
        <v>0</v>
      </c>
      <c r="M21" s="20">
        <f ca="1">属性!N2</f>
        <v>0</v>
      </c>
      <c r="N21" s="20">
        <f ca="1">属性!O2</f>
        <v>100</v>
      </c>
      <c r="O21" s="20">
        <f ca="1">属性!P2</f>
        <v>1506</v>
      </c>
      <c r="P21" s="32">
        <f ca="1">属性!Q2</f>
        <v>0</v>
      </c>
      <c r="Q21" s="34">
        <f ca="1">属性!R2</f>
        <v>200</v>
      </c>
      <c r="R21" s="16"/>
      <c r="S21" s="16"/>
      <c r="AA21" s="23"/>
    </row>
    <row r="22" customHeight="1" spans="1:27">
      <c r="A22" s="20" t="str">
        <f>属性!D2</f>
        <v>第二重</v>
      </c>
      <c r="B22" s="20" t="str">
        <f>属性!E2</f>
        <v>炼狱</v>
      </c>
      <c r="C22" s="11" t="s">
        <v>24</v>
      </c>
      <c r="D22" s="11" t="b">
        <f t="shared" si="7"/>
        <v>1</v>
      </c>
      <c r="E22" s="11"/>
      <c r="F22" s="11"/>
      <c r="G22" s="38" t="str">
        <f>属性!H3</f>
        <v>身法</v>
      </c>
      <c r="H22" s="39" t="str">
        <f>属性!I3</f>
        <v>力道</v>
      </c>
      <c r="I22" s="39" t="str">
        <f>属性!J3</f>
        <v>面板攻击</v>
      </c>
      <c r="J22" s="39" t="str">
        <f>属性!K3</f>
        <v>命中</v>
      </c>
      <c r="K22" s="39" t="str">
        <f>属性!L3</f>
        <v>会心</v>
      </c>
      <c r="L22" s="39" t="str">
        <f>属性!M3</f>
        <v>会效</v>
      </c>
      <c r="M22" s="39" t="str">
        <f>属性!N3</f>
        <v>加速</v>
      </c>
      <c r="N22" s="39" t="str">
        <f>属性!O3</f>
        <v>无双</v>
      </c>
      <c r="O22" s="39" t="str">
        <f>属性!P3</f>
        <v>面板破防</v>
      </c>
      <c r="P22" s="44" t="str">
        <f>属性!Q3</f>
        <v>易伤</v>
      </c>
      <c r="Q22" s="44" t="str">
        <f>属性!R3</f>
        <v>伤害加成</v>
      </c>
      <c r="R22" s="16"/>
      <c r="S22" s="16"/>
      <c r="X22" s="23"/>
      <c r="AA22" s="23"/>
    </row>
    <row r="23" customHeight="1" spans="1:27">
      <c r="A23" s="20" t="str">
        <f>属性!D3</f>
        <v>第三重</v>
      </c>
      <c r="B23" s="20" t="str">
        <f>属性!E3</f>
        <v>飞瀑</v>
      </c>
      <c r="C23" s="11" t="s">
        <v>34</v>
      </c>
      <c r="D23" s="11" t="b">
        <f t="shared" si="7"/>
        <v>1</v>
      </c>
      <c r="E23" s="7"/>
      <c r="F23" s="7"/>
      <c r="G23" s="17">
        <f ca="1">属性!H4</f>
        <v>0.1</v>
      </c>
      <c r="H23" s="20">
        <f ca="1">属性!I4</f>
        <v>0</v>
      </c>
      <c r="I23" s="20">
        <f ca="1">属性!J4</f>
        <v>0.171</v>
      </c>
      <c r="J23" s="20">
        <f ca="1">属性!K4</f>
        <v>0.04</v>
      </c>
      <c r="K23" s="20">
        <f ca="1">属性!L4</f>
        <v>0.145</v>
      </c>
      <c r="L23" s="20">
        <f ca="1">属性!M4</f>
        <v>0.09</v>
      </c>
      <c r="M23" s="20">
        <f ca="1">属性!N4</f>
        <v>0</v>
      </c>
      <c r="N23" s="20">
        <f ca="1">属性!O4</f>
        <v>0.03</v>
      </c>
      <c r="O23" s="13">
        <f ca="1">属性!P4</f>
        <v>0.5</v>
      </c>
      <c r="P23" s="45">
        <f ca="1">属性!Q4</f>
        <v>0</v>
      </c>
      <c r="Q23" s="34">
        <f ca="1">属性!R4</f>
        <v>0.0101333333333333</v>
      </c>
      <c r="R23" s="16"/>
      <c r="S23" s="16"/>
      <c r="X23" s="23"/>
      <c r="AA23" s="23"/>
    </row>
    <row r="24" customHeight="1" spans="1:27">
      <c r="A24" s="20" t="str">
        <f>属性!D4</f>
        <v>第四重</v>
      </c>
      <c r="B24" s="20" t="str">
        <f>属性!E4</f>
        <v>劫生</v>
      </c>
      <c r="C24" s="11" t="s">
        <v>44</v>
      </c>
      <c r="D24" s="11" t="b">
        <f t="shared" si="7"/>
        <v>1</v>
      </c>
      <c r="E24" s="11"/>
      <c r="F24" s="11"/>
      <c r="H24" s="36"/>
      <c r="I24" s="46" t="s">
        <v>198</v>
      </c>
      <c r="J24" s="46"/>
      <c r="K24" s="46"/>
      <c r="L24" s="46"/>
      <c r="M24" s="47" t="s">
        <v>215</v>
      </c>
      <c r="N24" s="47" t="str">
        <f>属性!H29</f>
        <v>实战</v>
      </c>
      <c r="O24" s="43" t="str">
        <f>属性!I29</f>
        <v>实战盾击</v>
      </c>
      <c r="P24" s="26" t="s">
        <v>295</v>
      </c>
      <c r="Q24" s="11">
        <f>IF($V$12&gt;18,1)+IF($V$12&gt;827,1)+IF($V$12&gt;1728,1)+IF($V$12&gt;2703,1)</f>
        <v>2</v>
      </c>
      <c r="R24" s="16"/>
      <c r="S24" s="16"/>
      <c r="V24" s="32"/>
      <c r="X24" s="23"/>
      <c r="AA24" s="23"/>
    </row>
    <row r="25" spans="1:27">
      <c r="A25" s="20" t="str">
        <f>属性!D5</f>
        <v>第五重</v>
      </c>
      <c r="B25" s="20" t="str">
        <f>属性!E5</f>
        <v>锋鸣</v>
      </c>
      <c r="C25" s="11" t="s">
        <v>293</v>
      </c>
      <c r="D25" s="11" t="b">
        <f t="shared" si="7"/>
        <v>0</v>
      </c>
      <c r="E25" s="11" t="s">
        <v>54</v>
      </c>
      <c r="F25" s="11" t="b">
        <f t="shared" si="8"/>
        <v>1</v>
      </c>
      <c r="I25" s="20" t="s">
        <v>26</v>
      </c>
      <c r="J25" s="20">
        <v>15344.2</v>
      </c>
      <c r="K25" s="20" t="s">
        <v>200</v>
      </c>
      <c r="L25" s="20"/>
      <c r="M25" s="11" t="s">
        <v>93</v>
      </c>
      <c r="N25" s="15">
        <f ca="1">属性!H30</f>
        <v>0.948871388530846</v>
      </c>
      <c r="O25" s="15">
        <f ca="1">属性!I30</f>
        <v>0.973765015090248</v>
      </c>
      <c r="P25" s="26" t="s">
        <v>296</v>
      </c>
      <c r="Q25" s="30">
        <f>IF($V$12&gt;18,1)+IF($V$12&gt;1268,1)+IF($V$12&gt;2703,1)</f>
        <v>1</v>
      </c>
      <c r="R25" s="16"/>
      <c r="S25" s="16"/>
      <c r="V25" s="32"/>
      <c r="X25" s="23"/>
      <c r="AA25" s="23"/>
    </row>
    <row r="26" spans="1:27">
      <c r="A26" s="20" t="str">
        <f>属性!D6</f>
        <v>第六重</v>
      </c>
      <c r="B26" s="20" t="str">
        <f>属性!E6</f>
        <v>割裂</v>
      </c>
      <c r="C26" s="11" t="s">
        <v>64</v>
      </c>
      <c r="D26" s="11" t="b">
        <f t="shared" si="7"/>
        <v>1</v>
      </c>
      <c r="E26" s="11" t="s">
        <v>294</v>
      </c>
      <c r="F26" s="11" t="b">
        <f t="shared" si="8"/>
        <v>0</v>
      </c>
      <c r="I26" s="20" t="s">
        <v>36</v>
      </c>
      <c r="J26" s="20">
        <v>5370.3</v>
      </c>
      <c r="K26" s="20"/>
      <c r="L26" s="20">
        <v>1.7</v>
      </c>
      <c r="M26" s="11" t="s">
        <v>229</v>
      </c>
      <c r="N26" s="15">
        <f ca="1">属性!H31</f>
        <v>0.91750264956783</v>
      </c>
      <c r="O26" s="15">
        <f ca="1">属性!I31</f>
        <v>0.956976669392992</v>
      </c>
      <c r="P26" s="26" t="s">
        <v>297</v>
      </c>
      <c r="Q26" s="30">
        <f>IF($V$12&gt;18,1)+IF($V$12&gt;625,1)+IF($V$12&gt;1268,1)+IF($V$12&gt;1949,1)+IF($V$12&gt;2703,1)</f>
        <v>2</v>
      </c>
      <c r="R26" s="16"/>
      <c r="S26" s="16"/>
      <c r="V26" s="32"/>
      <c r="X26" s="23"/>
      <c r="AA26" s="23"/>
    </row>
    <row r="27" spans="1:27">
      <c r="A27" s="20" t="str">
        <f>属性!D7</f>
        <v>第七重</v>
      </c>
      <c r="B27" s="20" t="str">
        <f>属性!E7</f>
        <v>活脉</v>
      </c>
      <c r="C27" s="11" t="s">
        <v>72</v>
      </c>
      <c r="D27" s="11" t="b">
        <f t="shared" si="7"/>
        <v>1</v>
      </c>
      <c r="E27" s="11"/>
      <c r="F27" s="11" t="b">
        <f t="shared" si="8"/>
        <v>0</v>
      </c>
      <c r="G27" s="17" t="str">
        <f>木桩!G27</f>
        <v>战斗时间</v>
      </c>
      <c r="H27" s="30">
        <f>木桩!H27</f>
        <v>300</v>
      </c>
      <c r="I27" s="20" t="s">
        <v>56</v>
      </c>
      <c r="J27" s="20">
        <v>13948.5</v>
      </c>
      <c r="K27" s="20" t="s">
        <v>203</v>
      </c>
      <c r="L27" s="20">
        <v>0.25</v>
      </c>
      <c r="M27" s="11" t="s">
        <v>299</v>
      </c>
      <c r="N27" s="15">
        <f ca="1">属性!H32</f>
        <v>0.898870262292047</v>
      </c>
      <c r="O27" s="15">
        <f ca="1">属性!I32</f>
        <v>0.946742155208707</v>
      </c>
      <c r="P27" s="47" t="s">
        <v>92</v>
      </c>
      <c r="Q27" s="20" t="str">
        <f>苍云!C11</f>
        <v>102级</v>
      </c>
      <c r="V27" s="32"/>
      <c r="X27" s="23"/>
      <c r="AA27" s="23"/>
    </row>
    <row r="28" spans="1:27">
      <c r="A28" s="20" t="str">
        <f>属性!D8</f>
        <v>第八重</v>
      </c>
      <c r="B28" s="20" t="str">
        <f>属性!E8</f>
        <v>恋战</v>
      </c>
      <c r="C28" s="11" t="s">
        <v>81</v>
      </c>
      <c r="D28" s="11" t="b">
        <f t="shared" si="7"/>
        <v>1</v>
      </c>
      <c r="E28" s="11" t="s">
        <v>269</v>
      </c>
      <c r="F28" s="11" t="b">
        <f t="shared" si="8"/>
        <v>0</v>
      </c>
      <c r="G28" s="17" t="str">
        <f>木桩!G28</f>
        <v>竞技场套装</v>
      </c>
      <c r="H28" s="16" t="b">
        <f>木桩!H28</f>
        <v>1</v>
      </c>
      <c r="I28" s="20" t="s">
        <v>66</v>
      </c>
      <c r="J28" s="20">
        <v>8717.6</v>
      </c>
      <c r="K28" s="20"/>
      <c r="L28" s="20">
        <v>0.15</v>
      </c>
      <c r="M28" s="17" t="s">
        <v>179</v>
      </c>
      <c r="N28" s="15">
        <f ca="1">属性!H33</f>
        <v>0.91750264956783</v>
      </c>
      <c r="O28" s="15">
        <f ca="1">属性!I33</f>
        <v>0.956976669392992</v>
      </c>
      <c r="P28" s="47" t="s">
        <v>100</v>
      </c>
      <c r="Q28" s="20" t="str">
        <f>LEFT(苍云!$C$12,1)</f>
        <v>5</v>
      </c>
      <c r="V28" s="32"/>
      <c r="X28" s="23"/>
      <c r="AA28" s="23"/>
    </row>
    <row r="29" spans="1:24">
      <c r="A29" s="20" t="str">
        <f>属性!D9</f>
        <v>第九重</v>
      </c>
      <c r="B29" s="20" t="str">
        <f>属性!E9</f>
        <v>从容</v>
      </c>
      <c r="C29" s="11" t="s">
        <v>99</v>
      </c>
      <c r="D29" s="11" t="b">
        <f t="shared" si="7"/>
        <v>0</v>
      </c>
      <c r="E29" s="11"/>
      <c r="F29" s="11" t="b">
        <f t="shared" si="8"/>
        <v>0</v>
      </c>
      <c r="G29" s="20" t="str">
        <f>木桩!G29</f>
        <v>套装特效</v>
      </c>
      <c r="H29" s="20" t="b">
        <f>木桩!H29</f>
        <v>1</v>
      </c>
      <c r="I29" s="20" t="s">
        <v>83</v>
      </c>
      <c r="J29" s="20">
        <v>18830.9</v>
      </c>
      <c r="K29" s="20" t="s">
        <v>204</v>
      </c>
      <c r="L29" s="20">
        <v>0.64</v>
      </c>
      <c r="M29" s="20" t="s">
        <v>180</v>
      </c>
      <c r="N29" s="15">
        <f ca="1">属性!H34</f>
        <v>0.91750264956783</v>
      </c>
      <c r="O29" s="15">
        <f ca="1">属性!I34</f>
        <v>0.956976669392992</v>
      </c>
      <c r="P29" s="20" t="str">
        <f>属性!F5</f>
        <v>战斗时间</v>
      </c>
      <c r="Q29" s="20">
        <f>属性!G5</f>
        <v>300</v>
      </c>
      <c r="X29" s="23"/>
    </row>
    <row r="30" spans="1:24">
      <c r="A30" s="20" t="str">
        <f>属性!D10</f>
        <v>第十重</v>
      </c>
      <c r="B30" s="20" t="str">
        <f>属性!E10</f>
        <v>愤恨</v>
      </c>
      <c r="C30" s="11" t="s">
        <v>91</v>
      </c>
      <c r="D30" s="11" t="b">
        <f t="shared" si="7"/>
        <v>0</v>
      </c>
      <c r="E30" s="11"/>
      <c r="F30" s="11" t="b">
        <f t="shared" si="8"/>
        <v>0</v>
      </c>
      <c r="G30" s="20" t="str">
        <f>木桩!G30</f>
        <v>橙武</v>
      </c>
      <c r="H30" s="20" t="b">
        <f>木桩!H30</f>
        <v>1</v>
      </c>
      <c r="I30" s="20" t="s">
        <v>205</v>
      </c>
      <c r="J30" s="20">
        <v>15344.2</v>
      </c>
      <c r="K30" s="20"/>
      <c r="L30" s="20">
        <v>0</v>
      </c>
      <c r="N30" s="15"/>
      <c r="O30" s="15"/>
      <c r="P30" s="17" t="s">
        <v>302</v>
      </c>
      <c r="Q30" s="11">
        <f ca="1">$I$14/$T$14</f>
        <v>19201.8181930664</v>
      </c>
      <c r="X30" s="23"/>
    </row>
    <row r="31" spans="1:24">
      <c r="A31" s="20" t="str">
        <f>属性!D11</f>
        <v>第十一重</v>
      </c>
      <c r="B31" s="20" t="str">
        <f>属性!E11</f>
        <v>蔑视</v>
      </c>
      <c r="C31" s="11" t="s">
        <v>107</v>
      </c>
      <c r="D31" s="11" t="b">
        <f t="shared" si="7"/>
        <v>1</v>
      </c>
      <c r="E31" s="11"/>
      <c r="F31" s="11" t="b">
        <f t="shared" si="8"/>
        <v>0</v>
      </c>
      <c r="G31" s="20" t="str">
        <f>木桩!G31</f>
        <v>小橙武</v>
      </c>
      <c r="H31" s="20" t="b">
        <f>木桩!H31</f>
        <v>0</v>
      </c>
      <c r="N31" s="7"/>
      <c r="O31" s="7"/>
      <c r="P31" s="17" t="s">
        <v>303</v>
      </c>
      <c r="Q31" s="17">
        <f ca="1">(I13-I10)*5/60*H30</f>
        <v>1290.24868062448</v>
      </c>
      <c r="X31" s="23"/>
    </row>
    <row r="32" spans="1:24">
      <c r="A32" s="20" t="str">
        <f>属性!D12</f>
        <v>第十二重</v>
      </c>
      <c r="B32" s="20" t="str">
        <f>属性!E12</f>
        <v>骇日</v>
      </c>
      <c r="C32" s="11" t="s">
        <v>116</v>
      </c>
      <c r="D32" s="11" t="b">
        <f t="shared" si="7"/>
        <v>1</v>
      </c>
      <c r="E32" s="11"/>
      <c r="F32" s="11"/>
      <c r="P32" s="11" t="s">
        <v>305</v>
      </c>
      <c r="Q32" s="20">
        <f ca="1">$I$2/$T$2</f>
        <v>931.889733396526</v>
      </c>
      <c r="X32" s="23"/>
    </row>
    <row r="33" spans="16:22">
      <c r="P33" s="17" t="s">
        <v>306</v>
      </c>
      <c r="Q33" s="20">
        <f ca="1">$I$3/$T$3</f>
        <v>829.861993264705</v>
      </c>
      <c r="U33" s="20"/>
      <c r="V33" s="32"/>
    </row>
    <row r="34" spans="22:22">
      <c r="V34" s="32"/>
    </row>
    <row r="35" spans="1:23">
      <c r="A35" s="11" t="s">
        <v>271</v>
      </c>
      <c r="B35" s="20" t="s">
        <v>272</v>
      </c>
      <c r="C35" s="20" t="s">
        <v>304</v>
      </c>
      <c r="D35" s="20" t="s">
        <v>281</v>
      </c>
      <c r="E35" s="20" t="s">
        <v>278</v>
      </c>
      <c r="H35" s="20"/>
      <c r="I35" s="20"/>
      <c r="J35" s="20"/>
      <c r="K35" s="20"/>
      <c r="L35" s="20"/>
      <c r="M35" s="20"/>
      <c r="N35" s="20"/>
      <c r="O35" s="11"/>
      <c r="P35" s="11"/>
      <c r="Q35" s="11"/>
      <c r="R35" s="11"/>
      <c r="S35" s="11"/>
      <c r="T35" s="7"/>
      <c r="U35" s="7"/>
      <c r="V35" s="32"/>
      <c r="W35" s="34"/>
    </row>
    <row r="36" spans="1:23">
      <c r="A36" s="11" t="s">
        <v>55</v>
      </c>
      <c r="B36" s="20">
        <f ca="1" t="shared" ref="B36:B48" si="9">IFERROR(VLOOKUP(A36,实战技能表,MATCH("怒气",$A$1:$T$1,0),0),0)*C36</f>
        <v>15</v>
      </c>
      <c r="C36" s="20">
        <v>1</v>
      </c>
      <c r="D36" s="20">
        <f ca="1" t="shared" ref="D36:D48" si="10">IFERROR(VLOOKUP(A36,实战技能表,MATCH("时间",$A$1:$T$1,0),0),0)*C36</f>
        <v>1.375</v>
      </c>
      <c r="E36" s="20">
        <f ca="1" t="shared" ref="E36:E48" si="11">IFERROR(VLOOKUP(A36,实战技能表,MATCH("dmg",$A$1:$T$1,0),0),0)*C36</f>
        <v>135608.962244704</v>
      </c>
      <c r="H36" s="20"/>
      <c r="I36" s="20"/>
      <c r="J36" s="20"/>
      <c r="K36" s="20"/>
      <c r="L36" s="20"/>
      <c r="M36" s="20"/>
      <c r="N36" s="20"/>
      <c r="O36" s="11"/>
      <c r="P36" s="11"/>
      <c r="Q36" s="11"/>
      <c r="R36" s="11"/>
      <c r="S36" s="11"/>
      <c r="T36" s="11"/>
      <c r="U36" s="20"/>
      <c r="V36" s="32"/>
      <c r="W36" s="32"/>
    </row>
    <row r="37" spans="1:23">
      <c r="A37" s="11" t="s">
        <v>82</v>
      </c>
      <c r="B37" s="20">
        <f ca="1" t="shared" si="9"/>
        <v>4.5</v>
      </c>
      <c r="C37" s="20">
        <v>0.3</v>
      </c>
      <c r="D37" s="20">
        <f ca="1" t="shared" si="10"/>
        <v>0.4125</v>
      </c>
      <c r="E37" s="20">
        <f ca="1" t="shared" si="11"/>
        <v>23628.3822655678</v>
      </c>
      <c r="H37" s="20"/>
      <c r="I37" s="20"/>
      <c r="J37" s="20"/>
      <c r="K37" s="20"/>
      <c r="L37" s="20"/>
      <c r="M37" s="20"/>
      <c r="N37" s="20"/>
      <c r="O37" s="11"/>
      <c r="P37" s="11"/>
      <c r="Q37" s="11"/>
      <c r="R37" s="11"/>
      <c r="S37" s="11"/>
      <c r="T37" s="11"/>
      <c r="U37" s="20"/>
      <c r="V37" s="32"/>
      <c r="W37" s="32"/>
    </row>
    <row r="38" spans="1:23">
      <c r="A38" s="11" t="s">
        <v>65</v>
      </c>
      <c r="B38" s="20">
        <f ca="1" t="shared" si="9"/>
        <v>-11.25</v>
      </c>
      <c r="C38" s="20">
        <v>0.75</v>
      </c>
      <c r="D38" s="20">
        <f ca="1" t="shared" si="10"/>
        <v>1.03125</v>
      </c>
      <c r="E38" s="20">
        <f ca="1" t="shared" si="11"/>
        <v>58171.8583305682</v>
      </c>
      <c r="H38" s="20"/>
      <c r="I38" s="20"/>
      <c r="J38" s="20"/>
      <c r="K38" s="20"/>
      <c r="L38" s="20"/>
      <c r="M38" s="20"/>
      <c r="N38" s="20"/>
      <c r="O38" s="11"/>
      <c r="P38" s="11"/>
      <c r="Q38" s="11"/>
      <c r="R38" s="11"/>
      <c r="S38" s="11"/>
      <c r="T38" s="11"/>
      <c r="U38" s="20"/>
      <c r="V38" s="32"/>
      <c r="W38" s="32"/>
    </row>
    <row r="39" spans="1:23">
      <c r="A39" s="20" t="s">
        <v>73</v>
      </c>
      <c r="B39" s="20">
        <f ca="1" t="shared" si="9"/>
        <v>-11.25</v>
      </c>
      <c r="C39" s="20">
        <v>0.75</v>
      </c>
      <c r="D39" s="20">
        <f ca="1" t="shared" si="10"/>
        <v>1.03125</v>
      </c>
      <c r="E39" s="20">
        <f ca="1" t="shared" si="11"/>
        <v>36952.9447628077</v>
      </c>
      <c r="H39" s="20"/>
      <c r="I39" s="20"/>
      <c r="J39" s="20"/>
      <c r="K39" s="20"/>
      <c r="L39" s="20"/>
      <c r="M39" s="20"/>
      <c r="N39" s="20"/>
      <c r="O39" s="11"/>
      <c r="P39" s="11"/>
      <c r="Q39" s="11"/>
      <c r="R39" s="11"/>
      <c r="S39" s="11"/>
      <c r="T39" s="11"/>
      <c r="U39" s="20"/>
      <c r="V39" s="32"/>
      <c r="W39" s="32"/>
    </row>
    <row r="40" spans="1:23">
      <c r="A40" s="11" t="s">
        <v>14</v>
      </c>
      <c r="B40" s="20">
        <f ca="1" t="shared" si="9"/>
        <v>-2.5</v>
      </c>
      <c r="C40" s="20">
        <v>0.5</v>
      </c>
      <c r="D40" s="20">
        <f ca="1" t="shared" si="10"/>
        <v>0.6875</v>
      </c>
      <c r="E40" s="20">
        <f ca="1">IFERROR(VLOOKUP(A40,实战技能表,MATCH("dmg",$A$1:$T$1,0),0),0)*C40</f>
        <v>42170.9994358268</v>
      </c>
      <c r="H40" s="20"/>
      <c r="I40" s="20"/>
      <c r="J40" s="20"/>
      <c r="K40" s="20"/>
      <c r="L40" s="20"/>
      <c r="M40" s="20"/>
      <c r="N40" s="20"/>
      <c r="O40" s="11"/>
      <c r="P40" s="11"/>
      <c r="Q40" s="11"/>
      <c r="R40" s="11"/>
      <c r="S40" s="11"/>
      <c r="T40" s="11"/>
      <c r="U40" s="20"/>
      <c r="V40" s="32"/>
      <c r="W40" s="32"/>
    </row>
    <row r="41" spans="1:23">
      <c r="A41" s="11" t="s">
        <v>14</v>
      </c>
      <c r="B41" s="20">
        <f ca="1" t="shared" si="9"/>
        <v>-5</v>
      </c>
      <c r="C41" s="20">
        <v>1</v>
      </c>
      <c r="D41" s="20">
        <f ca="1" t="shared" si="10"/>
        <v>1.375</v>
      </c>
      <c r="E41" s="20">
        <f ca="1" t="shared" si="11"/>
        <v>84341.9988716536</v>
      </c>
      <c r="H41" s="20"/>
      <c r="I41" s="20"/>
      <c r="J41" s="20"/>
      <c r="K41" s="20"/>
      <c r="L41" s="20"/>
      <c r="M41" s="20"/>
      <c r="N41" s="20"/>
      <c r="O41" s="11"/>
      <c r="P41" s="11"/>
      <c r="Q41" s="11"/>
      <c r="R41" s="11"/>
      <c r="S41" s="11"/>
      <c r="T41" s="11"/>
      <c r="U41" s="20"/>
      <c r="V41" s="32"/>
      <c r="W41" s="32"/>
    </row>
    <row r="42" spans="1:23">
      <c r="A42" s="11" t="s">
        <v>14</v>
      </c>
      <c r="B42" s="20">
        <f ca="1" t="shared" si="9"/>
        <v>-5</v>
      </c>
      <c r="C42" s="20">
        <v>1</v>
      </c>
      <c r="D42" s="20">
        <f ca="1" t="shared" si="10"/>
        <v>1.375</v>
      </c>
      <c r="E42" s="20">
        <f ca="1" t="shared" si="11"/>
        <v>84341.9988716536</v>
      </c>
      <c r="H42" s="20"/>
      <c r="I42" s="20"/>
      <c r="J42" s="20"/>
      <c r="K42" s="20"/>
      <c r="L42" s="20"/>
      <c r="M42" s="20"/>
      <c r="N42" s="20"/>
      <c r="O42" s="11"/>
      <c r="P42" s="11"/>
      <c r="Q42" s="11"/>
      <c r="R42" s="11"/>
      <c r="S42" s="11"/>
      <c r="T42" s="11"/>
      <c r="U42" s="20"/>
      <c r="V42" s="32"/>
      <c r="W42" s="32"/>
    </row>
    <row r="43" spans="1:23">
      <c r="A43" s="11" t="s">
        <v>14</v>
      </c>
      <c r="B43" s="20">
        <f ca="1" t="shared" si="9"/>
        <v>-5</v>
      </c>
      <c r="C43" s="20">
        <v>1</v>
      </c>
      <c r="D43" s="20">
        <f ca="1" t="shared" si="10"/>
        <v>1.375</v>
      </c>
      <c r="E43" s="20">
        <f ca="1" t="shared" si="11"/>
        <v>84341.9988716536</v>
      </c>
      <c r="H43" s="20"/>
      <c r="I43" s="20"/>
      <c r="J43" s="20"/>
      <c r="K43" s="20"/>
      <c r="L43" s="20"/>
      <c r="M43" s="20"/>
      <c r="N43" s="20"/>
      <c r="O43" s="11"/>
      <c r="P43" s="11"/>
      <c r="Q43" s="11"/>
      <c r="R43" s="11"/>
      <c r="S43" s="11"/>
      <c r="T43" s="11"/>
      <c r="U43" s="20"/>
      <c r="V43" s="32"/>
      <c r="W43" s="32"/>
    </row>
    <row r="44" spans="1:23">
      <c r="A44" s="11" t="s">
        <v>14</v>
      </c>
      <c r="B44" s="20">
        <f ca="1" t="shared" si="9"/>
        <v>-5</v>
      </c>
      <c r="C44" s="20">
        <v>1</v>
      </c>
      <c r="D44" s="20">
        <f ca="1" t="shared" si="10"/>
        <v>1.375</v>
      </c>
      <c r="E44" s="20">
        <f ca="1" t="shared" si="11"/>
        <v>84341.9988716536</v>
      </c>
      <c r="H44" s="20"/>
      <c r="I44" s="20"/>
      <c r="J44" s="20"/>
      <c r="K44" s="20"/>
      <c r="L44" s="20"/>
      <c r="M44" s="20"/>
      <c r="N44" s="20"/>
      <c r="O44" s="11"/>
      <c r="P44" s="11"/>
      <c r="Q44" s="11"/>
      <c r="R44" s="11"/>
      <c r="S44" s="11"/>
      <c r="T44" s="11"/>
      <c r="U44" s="20"/>
      <c r="V44" s="32"/>
      <c r="W44" s="32"/>
    </row>
    <row r="45" spans="1:23">
      <c r="A45" s="11" t="s">
        <v>14</v>
      </c>
      <c r="B45" s="20">
        <f ca="1" t="shared" si="9"/>
        <v>-5</v>
      </c>
      <c r="C45" s="20">
        <v>1</v>
      </c>
      <c r="D45" s="20">
        <f ca="1">IFERROR(VLOOKUP(A45,实战技能表,MATCH("时间",$A$1:$T$1,0),0),0)*C45</f>
        <v>1.375</v>
      </c>
      <c r="E45" s="20">
        <f ca="1" t="shared" si="11"/>
        <v>84341.9988716536</v>
      </c>
      <c r="H45" s="20"/>
      <c r="I45" s="20"/>
      <c r="J45" s="20"/>
      <c r="K45" s="20"/>
      <c r="L45" s="20"/>
      <c r="M45" s="20"/>
      <c r="N45" s="20"/>
      <c r="O45" s="11"/>
      <c r="P45" s="11"/>
      <c r="Q45" s="11"/>
      <c r="R45" s="11"/>
      <c r="S45" s="11"/>
      <c r="T45" s="11"/>
      <c r="U45" s="20"/>
      <c r="V45" s="32"/>
      <c r="W45" s="32"/>
    </row>
    <row r="46" spans="1:23">
      <c r="A46" s="11" t="s">
        <v>14</v>
      </c>
      <c r="B46" s="20">
        <f ca="1" t="shared" si="9"/>
        <v>-5</v>
      </c>
      <c r="C46" s="20">
        <v>1</v>
      </c>
      <c r="D46" s="20">
        <f ca="1" t="shared" si="10"/>
        <v>1.375</v>
      </c>
      <c r="E46" s="20">
        <f ca="1" t="shared" si="11"/>
        <v>84341.9988716536</v>
      </c>
      <c r="H46" s="20"/>
      <c r="I46" s="20"/>
      <c r="J46" s="20"/>
      <c r="K46" s="20"/>
      <c r="L46" s="20"/>
      <c r="M46" s="20"/>
      <c r="N46" s="20"/>
      <c r="O46" s="11"/>
      <c r="P46" s="11"/>
      <c r="Q46" s="11"/>
      <c r="R46" s="11"/>
      <c r="S46" s="11"/>
      <c r="T46" s="11"/>
      <c r="U46" s="20"/>
      <c r="V46" s="32"/>
      <c r="W46" s="32"/>
    </row>
    <row r="47" spans="1:23">
      <c r="A47" s="11" t="s">
        <v>14</v>
      </c>
      <c r="B47" s="20">
        <f ca="1" t="shared" si="9"/>
        <v>-5</v>
      </c>
      <c r="C47" s="20">
        <v>1</v>
      </c>
      <c r="D47" s="20">
        <f ca="1" t="shared" si="10"/>
        <v>1.375</v>
      </c>
      <c r="E47" s="20">
        <f ca="1" t="shared" si="11"/>
        <v>84341.9988716536</v>
      </c>
      <c r="H47" s="20"/>
      <c r="I47" s="20"/>
      <c r="J47" s="20"/>
      <c r="K47" s="20"/>
      <c r="L47" s="20"/>
      <c r="M47" s="7"/>
      <c r="N47" s="7"/>
      <c r="O47" s="11"/>
      <c r="P47" s="11"/>
      <c r="Q47" s="11"/>
      <c r="R47" s="11"/>
      <c r="S47" s="11"/>
      <c r="T47" s="11"/>
      <c r="U47" s="20"/>
      <c r="V47" s="32"/>
      <c r="W47" s="32"/>
    </row>
    <row r="48" spans="1:23">
      <c r="A48" s="11" t="s">
        <v>14</v>
      </c>
      <c r="B48" s="20">
        <f ca="1" t="shared" si="9"/>
        <v>-5</v>
      </c>
      <c r="C48" s="20">
        <v>1</v>
      </c>
      <c r="D48" s="20">
        <f ca="1" t="shared" si="10"/>
        <v>1.375</v>
      </c>
      <c r="E48" s="20">
        <f ca="1" t="shared" si="11"/>
        <v>84341.9988716536</v>
      </c>
      <c r="H48" s="20"/>
      <c r="I48" s="20"/>
      <c r="J48" s="20"/>
      <c r="K48" s="20"/>
      <c r="L48" s="20"/>
      <c r="M48" s="7"/>
      <c r="N48" s="7"/>
      <c r="O48" s="11"/>
      <c r="P48" s="11"/>
      <c r="Q48" s="11"/>
      <c r="R48" s="11"/>
      <c r="S48" s="11"/>
      <c r="T48" s="11"/>
      <c r="U48" s="20"/>
      <c r="V48" s="32"/>
      <c r="W48" s="32"/>
    </row>
    <row r="49" spans="1:23">
      <c r="A49" s="11"/>
      <c r="B49" s="7"/>
      <c r="C49" s="11">
        <f>SUM(C38:C48)</f>
        <v>10</v>
      </c>
      <c r="D49" s="11">
        <f ca="1">SUM(D39:D48)+C49/16</f>
        <v>13.34375</v>
      </c>
      <c r="E49" s="7">
        <f ca="1">INT(D49+1)*$I$9</f>
        <v>175430.807960593</v>
      </c>
      <c r="F49" s="11">
        <f ca="1">D49*$I$16/$T$15+(D50-D49)*$I$15/$T$15</f>
        <v>103275.989123936</v>
      </c>
      <c r="H49" s="20"/>
      <c r="I49" s="20"/>
      <c r="J49" s="20"/>
      <c r="K49" s="20"/>
      <c r="L49" s="20"/>
      <c r="O49" s="11"/>
      <c r="P49" s="11"/>
      <c r="Q49" s="11"/>
      <c r="R49" s="11"/>
      <c r="S49" s="11"/>
      <c r="T49" s="11"/>
      <c r="U49" s="20"/>
      <c r="V49" s="32"/>
      <c r="W49" s="32"/>
    </row>
    <row r="50" spans="1:23">
      <c r="A50" s="11"/>
      <c r="B50" s="11">
        <f ca="1">SUM(B36:B48)</f>
        <v>-45.5</v>
      </c>
      <c r="C50" s="11">
        <f>SUM(C36:C48)</f>
        <v>11.3</v>
      </c>
      <c r="D50" s="11">
        <f ca="1">SUM(D36:D48)</f>
        <v>15.5375</v>
      </c>
      <c r="E50" s="11">
        <f ca="1">SUM(E36:E49)</f>
        <v>1146699.9459733</v>
      </c>
      <c r="H50" s="20"/>
      <c r="I50" s="20"/>
      <c r="J50" s="20"/>
      <c r="K50" s="20"/>
      <c r="L50" s="20"/>
      <c r="O50" s="11"/>
      <c r="P50" s="11"/>
      <c r="Q50" s="11"/>
      <c r="R50" s="11"/>
      <c r="S50" s="11"/>
      <c r="T50" s="7"/>
      <c r="U50" s="20"/>
      <c r="V50" s="32"/>
      <c r="W50" s="32"/>
    </row>
    <row r="51" spans="1:23">
      <c r="A51" s="11"/>
      <c r="B51" s="11">
        <v>0</v>
      </c>
      <c r="C51" s="11">
        <f>C50*B51</f>
        <v>0</v>
      </c>
      <c r="D51" s="11">
        <f ca="1">D50+C51/16</f>
        <v>15.5375</v>
      </c>
      <c r="E51" s="11">
        <f ca="1">E50/D51</f>
        <v>73802.0882364149</v>
      </c>
      <c r="F51" s="11">
        <f ca="1">F49/D51</f>
        <v>6646.88586477461</v>
      </c>
      <c r="G51" s="11">
        <f ca="1" t="shared" ref="G51:G55" si="12">(E51+F51+$Q$30+$Q$31+$Q$32+$Q$33)*(1+$P$23)</f>
        <v>102702.792701542</v>
      </c>
      <c r="H51" s="20"/>
      <c r="I51" s="20"/>
      <c r="J51" s="20"/>
      <c r="K51" s="20"/>
      <c r="L51" s="20"/>
      <c r="O51" s="11"/>
      <c r="P51" s="11"/>
      <c r="Q51" s="11"/>
      <c r="R51" s="11"/>
      <c r="S51" s="11"/>
      <c r="T51" s="11"/>
      <c r="U51" s="20"/>
      <c r="V51" s="32"/>
      <c r="W51" s="32"/>
    </row>
    <row r="52" spans="1:23">
      <c r="A52" s="11"/>
      <c r="B52" s="11">
        <v>1</v>
      </c>
      <c r="C52" s="11">
        <f>C50*B52</f>
        <v>11.3</v>
      </c>
      <c r="D52" s="11">
        <f ca="1">D50+C52/16</f>
        <v>16.24375</v>
      </c>
      <c r="E52" s="11">
        <f ca="1">E50/D52</f>
        <v>70593.3017913534</v>
      </c>
      <c r="F52" s="11">
        <f ca="1">F49/D52</f>
        <v>6357.89082717571</v>
      </c>
      <c r="G52" s="11">
        <f ca="1" t="shared" si="12"/>
        <v>99205.0112188812</v>
      </c>
      <c r="H52" s="20">
        <f ca="1">(G52-实战!G52)*10</f>
        <v>11.9027115053905</v>
      </c>
      <c r="I52" s="20"/>
      <c r="J52" s="20"/>
      <c r="K52" s="20"/>
      <c r="L52" s="20"/>
      <c r="O52" s="11"/>
      <c r="P52" s="11"/>
      <c r="Q52" s="7"/>
      <c r="R52" s="11"/>
      <c r="S52" s="11"/>
      <c r="T52" s="11"/>
      <c r="U52" s="20"/>
      <c r="V52" s="32"/>
      <c r="W52" s="32"/>
    </row>
    <row r="53" spans="1:23">
      <c r="A53" s="11"/>
      <c r="B53" s="11">
        <v>3</v>
      </c>
      <c r="C53" s="11">
        <f>C50*B53</f>
        <v>33.9</v>
      </c>
      <c r="D53" s="11">
        <f ca="1">D50+C53/16</f>
        <v>17.65625</v>
      </c>
      <c r="E53" s="11">
        <f ca="1">E50/D53</f>
        <v>64945.8376480451</v>
      </c>
      <c r="F53" s="20">
        <f ca="1">F49/D53</f>
        <v>5849.25956100166</v>
      </c>
      <c r="G53" s="11">
        <f ca="1" t="shared" si="12"/>
        <v>93048.9158093989</v>
      </c>
      <c r="H53" s="20"/>
      <c r="I53" s="20"/>
      <c r="J53" s="20"/>
      <c r="K53" s="20"/>
      <c r="L53" s="20"/>
      <c r="O53" s="7"/>
      <c r="P53" s="11"/>
      <c r="Q53" s="7"/>
      <c r="R53" s="11"/>
      <c r="S53" s="11"/>
      <c r="T53" s="11"/>
      <c r="U53" s="20"/>
      <c r="V53" s="32"/>
      <c r="W53" s="32"/>
    </row>
    <row r="54" spans="1:23">
      <c r="A54" s="11"/>
      <c r="B54" s="11">
        <v>5</v>
      </c>
      <c r="C54" s="11">
        <f>C50*B54</f>
        <v>56.5</v>
      </c>
      <c r="D54" s="11">
        <f ca="1">D50+C54/16</f>
        <v>19.06875</v>
      </c>
      <c r="E54" s="11">
        <f ca="1">E50/D54</f>
        <v>60135.034859301</v>
      </c>
      <c r="F54" s="20">
        <f ca="1">F49/D54</f>
        <v>5415.98107500153</v>
      </c>
      <c r="G54" s="11">
        <f ca="1" t="shared" si="12"/>
        <v>87804.8345346547</v>
      </c>
      <c r="H54" s="11"/>
      <c r="I54" s="20"/>
      <c r="J54" s="20"/>
      <c r="K54" s="20"/>
      <c r="L54" s="20"/>
      <c r="O54" s="11"/>
      <c r="P54" s="11"/>
      <c r="Q54" s="7"/>
      <c r="R54" s="11"/>
      <c r="S54" s="11"/>
      <c r="T54" s="11"/>
      <c r="U54" s="20"/>
      <c r="V54" s="32"/>
      <c r="W54" s="32"/>
    </row>
    <row r="55" spans="1:23">
      <c r="A55" s="11"/>
      <c r="B55" s="11">
        <v>7</v>
      </c>
      <c r="C55" s="11">
        <f>C50*B55</f>
        <v>79.1</v>
      </c>
      <c r="D55" s="11">
        <f ca="1">D50+C55/16</f>
        <v>20.48125</v>
      </c>
      <c r="E55" s="11">
        <f ca="1">E50/D55</f>
        <v>55987.791075901</v>
      </c>
      <c r="F55" s="20">
        <f ca="1">F49/D55</f>
        <v>5042.46513879453</v>
      </c>
      <c r="G55" s="11">
        <f ca="1" t="shared" si="12"/>
        <v>83284.0748150476</v>
      </c>
      <c r="H55" s="11"/>
      <c r="I55" s="20"/>
      <c r="J55" s="20"/>
      <c r="K55" s="20"/>
      <c r="L55" s="20"/>
      <c r="O55" s="11"/>
      <c r="P55" s="11"/>
      <c r="Q55" s="7"/>
      <c r="R55" s="11"/>
      <c r="S55" s="11"/>
      <c r="T55" s="11"/>
      <c r="U55" s="20"/>
      <c r="V55" s="32"/>
      <c r="W55" s="32"/>
    </row>
    <row r="56" spans="8:23">
      <c r="H56" s="20"/>
      <c r="I56" s="20"/>
      <c r="J56" s="20"/>
      <c r="K56" s="20"/>
      <c r="L56" s="20"/>
      <c r="M56" s="20"/>
      <c r="N56" s="20"/>
      <c r="O56" s="11"/>
      <c r="P56" s="11"/>
      <c r="Q56" s="7"/>
      <c r="R56" s="11"/>
      <c r="S56" s="11"/>
      <c r="T56" s="11"/>
      <c r="U56" s="20"/>
      <c r="V56" s="32"/>
      <c r="W56" s="32"/>
    </row>
    <row r="57" spans="8:24">
      <c r="H57" s="20"/>
      <c r="I57" s="20"/>
      <c r="J57" s="20"/>
      <c r="K57" s="20"/>
      <c r="L57" s="20"/>
      <c r="M57" s="20"/>
      <c r="N57" s="20"/>
      <c r="O57" s="11"/>
      <c r="P57" s="11"/>
      <c r="Q57" s="7"/>
      <c r="R57" s="11"/>
      <c r="S57" s="11"/>
      <c r="T57" s="11"/>
      <c r="U57" s="20"/>
      <c r="V57" s="32"/>
      <c r="W57" s="32"/>
      <c r="X57" s="32"/>
    </row>
    <row r="58" spans="1:23">
      <c r="A58" s="20"/>
      <c r="B58" s="20"/>
      <c r="C58" s="20"/>
      <c r="D58" s="20"/>
      <c r="E58" s="20"/>
      <c r="H58" s="20"/>
      <c r="I58" s="20"/>
      <c r="J58" s="20"/>
      <c r="K58" s="20"/>
      <c r="L58" s="20"/>
      <c r="M58" s="20"/>
      <c r="N58" s="20"/>
      <c r="O58" s="11"/>
      <c r="P58" s="11"/>
      <c r="Q58" s="7"/>
      <c r="R58" s="11"/>
      <c r="S58" s="11"/>
      <c r="T58" s="11"/>
      <c r="U58" s="20"/>
      <c r="V58" s="32"/>
      <c r="W58" s="34"/>
    </row>
    <row r="59" spans="1:23">
      <c r="A59" s="20"/>
      <c r="B59" s="20"/>
      <c r="C59" s="20"/>
      <c r="D59" s="20"/>
      <c r="E59" s="20"/>
      <c r="H59" s="20"/>
      <c r="I59" s="20"/>
      <c r="J59" s="20"/>
      <c r="K59" s="20"/>
      <c r="L59" s="20"/>
      <c r="M59" s="20"/>
      <c r="N59" s="20"/>
      <c r="O59" s="11"/>
      <c r="P59" s="11"/>
      <c r="Q59" s="7"/>
      <c r="R59" s="11"/>
      <c r="S59" s="11"/>
      <c r="T59" s="11"/>
      <c r="U59" s="20"/>
      <c r="V59" s="32"/>
      <c r="W59" s="34"/>
    </row>
    <row r="60" spans="1:23">
      <c r="A60" s="20"/>
      <c r="B60" s="20"/>
      <c r="C60" s="20"/>
      <c r="D60" s="20"/>
      <c r="E60" s="20"/>
      <c r="H60" s="20"/>
      <c r="I60" s="20"/>
      <c r="J60" s="20"/>
      <c r="K60" s="20"/>
      <c r="L60" s="20"/>
      <c r="M60" s="20"/>
      <c r="N60" s="20"/>
      <c r="O60" s="11"/>
      <c r="P60" s="11"/>
      <c r="Q60" s="7"/>
      <c r="R60" s="11"/>
      <c r="S60" s="11"/>
      <c r="T60" s="11"/>
      <c r="U60" s="20"/>
      <c r="V60" s="32"/>
      <c r="W60" s="34"/>
    </row>
    <row r="61" spans="1:23">
      <c r="A61" s="20"/>
      <c r="B61" s="20"/>
      <c r="C61" s="20"/>
      <c r="D61" s="20"/>
      <c r="E61" s="20"/>
      <c r="H61" s="20"/>
      <c r="I61" s="20"/>
      <c r="J61" s="20"/>
      <c r="K61" s="20"/>
      <c r="L61" s="20"/>
      <c r="M61" s="20"/>
      <c r="N61" s="20"/>
      <c r="O61" s="11"/>
      <c r="P61" s="11"/>
      <c r="Q61" s="7"/>
      <c r="R61" s="11"/>
      <c r="S61" s="11"/>
      <c r="T61" s="11"/>
      <c r="U61" s="20"/>
      <c r="V61" s="32"/>
      <c r="W61" s="34"/>
    </row>
    <row r="62" spans="1:23">
      <c r="A62" s="20"/>
      <c r="B62" s="20"/>
      <c r="C62" s="20"/>
      <c r="D62" s="20"/>
      <c r="E62" s="20"/>
      <c r="H62" s="20"/>
      <c r="I62" s="20"/>
      <c r="J62" s="20"/>
      <c r="K62" s="20"/>
      <c r="L62" s="20"/>
      <c r="M62" s="20"/>
      <c r="N62" s="20"/>
      <c r="O62" s="11"/>
      <c r="P62" s="11"/>
      <c r="Q62" s="7"/>
      <c r="R62" s="11"/>
      <c r="S62" s="11"/>
      <c r="T62" s="11"/>
      <c r="U62" s="20"/>
      <c r="V62" s="32"/>
      <c r="W62" s="34"/>
    </row>
    <row r="63" spans="1:23">
      <c r="A63" s="20"/>
      <c r="B63" s="20"/>
      <c r="C63" s="20"/>
      <c r="D63" s="20"/>
      <c r="E63" s="20"/>
      <c r="H63" s="20"/>
      <c r="I63" s="20"/>
      <c r="J63" s="20"/>
      <c r="K63" s="20"/>
      <c r="L63" s="20"/>
      <c r="M63" s="20"/>
      <c r="N63" s="20"/>
      <c r="O63" s="11"/>
      <c r="U63" s="20"/>
      <c r="V63" s="32"/>
      <c r="W63" s="34"/>
    </row>
    <row r="64" spans="1:23">
      <c r="A64" s="20"/>
      <c r="B64" s="20"/>
      <c r="C64" s="20"/>
      <c r="D64" s="20"/>
      <c r="E64" s="20"/>
      <c r="H64" s="20"/>
      <c r="I64" s="20"/>
      <c r="J64" s="20"/>
      <c r="K64" s="20"/>
      <c r="L64" s="20"/>
      <c r="M64" s="20"/>
      <c r="N64" s="20"/>
      <c r="P64" s="7"/>
      <c r="Q64" s="11"/>
      <c r="R64" s="11"/>
      <c r="S64" s="7"/>
      <c r="T64" s="11"/>
      <c r="U64" s="20"/>
      <c r="V64" s="32"/>
      <c r="W64" s="34"/>
    </row>
    <row r="65" spans="1:23">
      <c r="A65" s="20"/>
      <c r="B65" s="20"/>
      <c r="C65" s="20"/>
      <c r="D65" s="20"/>
      <c r="E65" s="20"/>
      <c r="H65" s="20"/>
      <c r="I65" s="20"/>
      <c r="J65" s="20"/>
      <c r="K65" s="20"/>
      <c r="L65" s="20"/>
      <c r="M65" s="20"/>
      <c r="N65" s="20"/>
      <c r="O65" s="11"/>
      <c r="P65" s="11"/>
      <c r="Q65" s="11"/>
      <c r="R65" s="11"/>
      <c r="S65" s="11"/>
      <c r="T65" s="11"/>
      <c r="U65" s="20"/>
      <c r="V65" s="32"/>
      <c r="W65" s="34"/>
    </row>
    <row r="66" spans="1:23">
      <c r="A66" s="20"/>
      <c r="B66" s="20"/>
      <c r="C66" s="20"/>
      <c r="D66" s="20"/>
      <c r="E66" s="20"/>
      <c r="H66" s="20"/>
      <c r="I66" s="20"/>
      <c r="J66" s="20"/>
      <c r="K66" s="20"/>
      <c r="L66" s="20"/>
      <c r="M66" s="20"/>
      <c r="N66" s="20"/>
      <c r="O66" s="11"/>
      <c r="P66" s="11"/>
      <c r="Q66" s="11"/>
      <c r="R66" s="11"/>
      <c r="S66" s="11"/>
      <c r="T66" s="11"/>
      <c r="U66" s="11"/>
      <c r="V66" s="32"/>
      <c r="W66" s="34"/>
    </row>
    <row r="67" spans="1:23">
      <c r="A67" s="20"/>
      <c r="B67" s="20"/>
      <c r="C67" s="20"/>
      <c r="D67" s="20"/>
      <c r="E67" s="20"/>
      <c r="H67" s="20"/>
      <c r="I67" s="20"/>
      <c r="J67" s="20"/>
      <c r="K67" s="20"/>
      <c r="L67" s="20"/>
      <c r="O67" s="11"/>
      <c r="P67" s="11"/>
      <c r="Q67" s="11"/>
      <c r="R67" s="11"/>
      <c r="S67" s="11"/>
      <c r="T67" s="11"/>
      <c r="U67" s="11"/>
      <c r="V67" s="32"/>
      <c r="W67" s="34"/>
    </row>
    <row r="68" spans="1:2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O68" s="11"/>
      <c r="P68" s="11"/>
      <c r="Q68" s="11"/>
      <c r="R68" s="11"/>
      <c r="S68" s="11"/>
      <c r="T68" s="20"/>
      <c r="U68" s="11"/>
      <c r="V68" s="32"/>
      <c r="W68" s="34"/>
    </row>
    <row r="69" spans="1:23">
      <c r="A69" s="20"/>
      <c r="B69" s="20"/>
      <c r="C69" s="20"/>
      <c r="D69" s="20"/>
      <c r="E69" s="20"/>
      <c r="F69" s="20"/>
      <c r="G69" s="20"/>
      <c r="H69" s="11"/>
      <c r="I69" s="20"/>
      <c r="J69" s="20"/>
      <c r="K69" s="20"/>
      <c r="L69" s="20"/>
      <c r="O69" s="11"/>
      <c r="P69" s="11"/>
      <c r="Q69" s="11"/>
      <c r="R69" s="11"/>
      <c r="S69" s="11"/>
      <c r="T69" s="20"/>
      <c r="U69" s="11"/>
      <c r="V69" s="32"/>
      <c r="W69" s="34"/>
    </row>
    <row r="70" spans="1:23">
      <c r="A70" s="20"/>
      <c r="B70" s="20"/>
      <c r="C70" s="20"/>
      <c r="D70" s="20"/>
      <c r="E70" s="20"/>
      <c r="F70" s="20"/>
      <c r="G70" s="20"/>
      <c r="H70" s="11"/>
      <c r="I70" s="20"/>
      <c r="J70" s="20"/>
      <c r="K70" s="20"/>
      <c r="L70" s="20"/>
      <c r="O70" s="11"/>
      <c r="P70" s="11"/>
      <c r="Q70" s="11"/>
      <c r="R70" s="11"/>
      <c r="S70" s="11"/>
      <c r="T70" s="20"/>
      <c r="U70" s="11"/>
      <c r="V70" s="32"/>
      <c r="W70" s="34"/>
    </row>
    <row r="71" spans="1:23">
      <c r="A71" s="11"/>
      <c r="B71" s="7"/>
      <c r="C71" s="11"/>
      <c r="D71" s="11"/>
      <c r="E71" s="7"/>
      <c r="F71" s="11"/>
      <c r="G71" s="11"/>
      <c r="H71" s="20"/>
      <c r="I71" s="7"/>
      <c r="J71" s="11"/>
      <c r="K71" s="11"/>
      <c r="L71" s="7"/>
      <c r="M71" s="11"/>
      <c r="N71" s="11"/>
      <c r="U71" s="20"/>
      <c r="V71" s="32"/>
      <c r="W71" s="34"/>
    </row>
    <row r="72" spans="1:23">
      <c r="A72" s="7"/>
      <c r="B72" s="11"/>
      <c r="C72" s="11"/>
      <c r="D72" s="11"/>
      <c r="E72" s="11"/>
      <c r="F72" s="11"/>
      <c r="G72" s="11"/>
      <c r="H72" s="20"/>
      <c r="I72" s="11"/>
      <c r="J72" s="11"/>
      <c r="K72" s="11"/>
      <c r="L72" s="11"/>
      <c r="N72" s="11"/>
      <c r="O72" s="20"/>
      <c r="U72" s="20"/>
      <c r="V72" s="32"/>
      <c r="W72" s="34"/>
    </row>
    <row r="73" spans="1:23">
      <c r="A73" s="11"/>
      <c r="B73" s="11"/>
      <c r="C73" s="11"/>
      <c r="D73" s="11"/>
      <c r="E73" s="11"/>
      <c r="F73" s="11"/>
      <c r="G73" s="11"/>
      <c r="H73" s="20"/>
      <c r="I73" s="11"/>
      <c r="J73" s="11"/>
      <c r="K73" s="11"/>
      <c r="L73" s="11"/>
      <c r="M73" s="11"/>
      <c r="N73" s="11"/>
      <c r="O73" s="20"/>
      <c r="U73" s="20"/>
      <c r="V73" s="32"/>
      <c r="W73" s="34"/>
    </row>
    <row r="74" spans="1:23">
      <c r="A74" s="11"/>
      <c r="B74" s="11"/>
      <c r="C74" s="11"/>
      <c r="D74" s="11"/>
      <c r="E74" s="11"/>
      <c r="F74" s="11"/>
      <c r="G74" s="11"/>
      <c r="H74" s="20"/>
      <c r="I74" s="11"/>
      <c r="J74" s="11"/>
      <c r="K74" s="11"/>
      <c r="L74" s="11"/>
      <c r="M74" s="11"/>
      <c r="N74" s="11"/>
      <c r="O74" s="20"/>
      <c r="U74" s="20"/>
      <c r="V74" s="32"/>
      <c r="W74" s="34"/>
    </row>
    <row r="75" spans="1:23">
      <c r="A75" s="11"/>
      <c r="B75" s="11"/>
      <c r="C75" s="11"/>
      <c r="D75" s="11"/>
      <c r="E75" s="11"/>
      <c r="F75" s="20"/>
      <c r="G75" s="11"/>
      <c r="H75" s="20"/>
      <c r="I75" s="11"/>
      <c r="J75" s="11"/>
      <c r="K75" s="11"/>
      <c r="L75" s="11"/>
      <c r="M75" s="20"/>
      <c r="N75" s="11"/>
      <c r="O75" s="20"/>
      <c r="U75" s="20"/>
      <c r="V75" s="32"/>
      <c r="W75" s="34"/>
    </row>
    <row r="76" spans="1:23">
      <c r="A76" s="11"/>
      <c r="B76" s="11"/>
      <c r="C76" s="11"/>
      <c r="D76" s="11"/>
      <c r="E76" s="11"/>
      <c r="F76" s="20"/>
      <c r="G76" s="11"/>
      <c r="H76" s="20"/>
      <c r="I76" s="11"/>
      <c r="J76" s="11"/>
      <c r="K76" s="11"/>
      <c r="L76" s="11"/>
      <c r="M76" s="20"/>
      <c r="N76" s="11"/>
      <c r="O76" s="20"/>
      <c r="U76" s="20"/>
      <c r="V76" s="32"/>
      <c r="W76" s="34"/>
    </row>
    <row r="77" spans="1:23">
      <c r="A77" s="11"/>
      <c r="B77" s="11"/>
      <c r="C77" s="11"/>
      <c r="D77" s="11"/>
      <c r="E77" s="11"/>
      <c r="F77" s="20"/>
      <c r="G77" s="11"/>
      <c r="H77" s="20"/>
      <c r="I77" s="11"/>
      <c r="J77" s="11"/>
      <c r="K77" s="11"/>
      <c r="L77" s="11"/>
      <c r="M77" s="20"/>
      <c r="N77" s="11"/>
      <c r="O77" s="20"/>
      <c r="U77" s="20"/>
      <c r="V77" s="32"/>
      <c r="W77" s="34"/>
    </row>
    <row r="78" spans="8:23">
      <c r="H78" s="11"/>
      <c r="I78" s="11"/>
      <c r="J78" s="1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32"/>
      <c r="W78" s="34"/>
    </row>
    <row r="79" spans="8:23">
      <c r="H79" s="11"/>
      <c r="I79" s="11"/>
      <c r="J79" s="1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32"/>
      <c r="W79" s="34"/>
    </row>
    <row r="80" spans="1:2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32"/>
      <c r="W80" s="34"/>
    </row>
    <row r="81" spans="1:2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32"/>
      <c r="W81" s="34"/>
    </row>
    <row r="82" spans="1:2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32"/>
      <c r="W82" s="34"/>
    </row>
    <row r="83" spans="1:2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32"/>
      <c r="W83" s="34"/>
    </row>
    <row r="84" spans="1:2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32"/>
      <c r="W84" s="34"/>
    </row>
    <row r="85" spans="1:2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32"/>
      <c r="W85" s="34"/>
    </row>
    <row r="86" spans="1:2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32"/>
      <c r="W86" s="34"/>
    </row>
    <row r="87" spans="1:2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32"/>
      <c r="W87" s="34"/>
    </row>
    <row r="88" spans="1:2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32"/>
      <c r="W88" s="34"/>
    </row>
    <row r="89" spans="1:2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32"/>
      <c r="W89" s="34"/>
    </row>
    <row r="90" spans="1:2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32"/>
      <c r="W90" s="34"/>
    </row>
    <row r="91" spans="1:2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32"/>
      <c r="W91" s="34"/>
    </row>
    <row r="92" spans="1:2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32"/>
      <c r="W92" s="34"/>
    </row>
    <row r="93" spans="1:23">
      <c r="A93" s="20"/>
      <c r="B93" s="20"/>
      <c r="C93" s="20"/>
      <c r="D93" s="20"/>
      <c r="E93" s="20"/>
      <c r="F93" s="11"/>
      <c r="G93" s="7"/>
      <c r="H93" s="20"/>
      <c r="I93" s="20"/>
      <c r="J93" s="20"/>
      <c r="K93" s="20"/>
      <c r="L93" s="20"/>
      <c r="M93" s="11"/>
      <c r="N93" s="7"/>
      <c r="O93" s="20"/>
      <c r="P93" s="20"/>
      <c r="Q93" s="20"/>
      <c r="R93" s="20"/>
      <c r="S93" s="20"/>
      <c r="T93" s="11"/>
      <c r="U93" s="7"/>
      <c r="V93" s="32"/>
      <c r="W93" s="34"/>
    </row>
    <row r="94" spans="1:23">
      <c r="A94" s="20"/>
      <c r="B94" s="20"/>
      <c r="C94" s="20"/>
      <c r="D94" s="20"/>
      <c r="E94" s="20"/>
      <c r="F94" s="7"/>
      <c r="G94" s="11"/>
      <c r="H94" s="20"/>
      <c r="I94" s="20"/>
      <c r="J94" s="20"/>
      <c r="K94" s="20"/>
      <c r="L94" s="20"/>
      <c r="M94" s="7"/>
      <c r="N94" s="11"/>
      <c r="O94" s="20"/>
      <c r="P94" s="20"/>
      <c r="Q94" s="20"/>
      <c r="R94" s="20"/>
      <c r="S94" s="20"/>
      <c r="T94" s="7"/>
      <c r="U94" s="11"/>
      <c r="V94" s="32"/>
      <c r="W94" s="34"/>
    </row>
    <row r="95" spans="1:23">
      <c r="A95" s="20"/>
      <c r="B95" s="20"/>
      <c r="C95" s="20"/>
      <c r="D95" s="20"/>
      <c r="E95" s="20"/>
      <c r="F95" s="11"/>
      <c r="G95" s="11"/>
      <c r="H95" s="20"/>
      <c r="I95" s="20"/>
      <c r="J95" s="20"/>
      <c r="K95" s="20"/>
      <c r="L95" s="20"/>
      <c r="M95" s="11"/>
      <c r="N95" s="11"/>
      <c r="O95" s="20"/>
      <c r="P95" s="20"/>
      <c r="Q95" s="20"/>
      <c r="R95" s="20"/>
      <c r="S95" s="20"/>
      <c r="T95" s="11"/>
      <c r="U95" s="11"/>
      <c r="V95" s="32"/>
      <c r="W95" s="34"/>
    </row>
    <row r="96" spans="1:23">
      <c r="A96" s="20"/>
      <c r="B96" s="7"/>
      <c r="C96" s="11"/>
      <c r="D96" s="11"/>
      <c r="E96" s="7"/>
      <c r="F96" s="11"/>
      <c r="G96" s="11"/>
      <c r="H96" s="20"/>
      <c r="I96" s="20"/>
      <c r="J96" s="20"/>
      <c r="K96" s="20"/>
      <c r="L96" s="20"/>
      <c r="O96" s="20"/>
      <c r="P96" s="20"/>
      <c r="Q96" s="20"/>
      <c r="R96" s="20"/>
      <c r="S96" s="20"/>
      <c r="V96" s="32"/>
      <c r="W96" s="34"/>
    </row>
    <row r="97" spans="1:23">
      <c r="A97" s="20"/>
      <c r="B97" s="11"/>
      <c r="C97" s="11"/>
      <c r="D97" s="11"/>
      <c r="E97" s="11"/>
      <c r="G97" s="11"/>
      <c r="H97" s="20"/>
      <c r="I97" s="7"/>
      <c r="J97" s="11"/>
      <c r="K97" s="11"/>
      <c r="L97" s="7"/>
      <c r="M97" s="11"/>
      <c r="N97" s="11"/>
      <c r="O97" s="20"/>
      <c r="P97" s="20"/>
      <c r="Q97" s="20"/>
      <c r="R97" s="20"/>
      <c r="S97" s="20"/>
      <c r="V97" s="32"/>
      <c r="W97" s="34"/>
    </row>
    <row r="98" spans="1:23">
      <c r="A98" s="20"/>
      <c r="B98" s="11"/>
      <c r="C98" s="11"/>
      <c r="D98" s="11"/>
      <c r="E98" s="11"/>
      <c r="F98" s="11"/>
      <c r="G98" s="11"/>
      <c r="H98" s="20"/>
      <c r="I98" s="11"/>
      <c r="J98" s="11"/>
      <c r="K98" s="11"/>
      <c r="L98" s="11"/>
      <c r="N98" s="11"/>
      <c r="O98" s="20"/>
      <c r="P98" s="7"/>
      <c r="Q98" s="11"/>
      <c r="R98" s="11"/>
      <c r="S98" s="7"/>
      <c r="T98" s="11"/>
      <c r="U98" s="11"/>
      <c r="V98" s="32"/>
      <c r="W98" s="34"/>
    </row>
    <row r="99" spans="1:23">
      <c r="A99" s="20"/>
      <c r="B99" s="11"/>
      <c r="C99" s="11"/>
      <c r="D99" s="11"/>
      <c r="E99" s="11"/>
      <c r="F99" s="11"/>
      <c r="G99" s="11"/>
      <c r="H99" s="20"/>
      <c r="I99" s="11"/>
      <c r="J99" s="11"/>
      <c r="K99" s="11"/>
      <c r="L99" s="11"/>
      <c r="M99" s="11"/>
      <c r="N99" s="11"/>
      <c r="O99" s="20"/>
      <c r="P99" s="11"/>
      <c r="Q99" s="11"/>
      <c r="R99" s="11"/>
      <c r="S99" s="11"/>
      <c r="U99" s="11"/>
      <c r="V99" s="32"/>
      <c r="W99" s="34"/>
    </row>
    <row r="100" spans="1:23">
      <c r="A100" s="20"/>
      <c r="B100" s="11"/>
      <c r="C100" s="11"/>
      <c r="D100" s="11"/>
      <c r="E100" s="11"/>
      <c r="F100" s="20"/>
      <c r="G100" s="11"/>
      <c r="H100" s="20"/>
      <c r="I100" s="11"/>
      <c r="J100" s="11"/>
      <c r="K100" s="11"/>
      <c r="L100" s="11"/>
      <c r="M100" s="11"/>
      <c r="N100" s="11"/>
      <c r="O100" s="20"/>
      <c r="P100" s="11"/>
      <c r="Q100" s="11"/>
      <c r="R100" s="11"/>
      <c r="S100" s="11"/>
      <c r="T100" s="11"/>
      <c r="U100" s="11"/>
      <c r="V100" s="32"/>
      <c r="W100" s="34"/>
    </row>
    <row r="101" spans="1:23">
      <c r="A101" s="20"/>
      <c r="B101" s="11"/>
      <c r="C101" s="11"/>
      <c r="D101" s="11"/>
      <c r="E101" s="11"/>
      <c r="F101" s="20"/>
      <c r="G101" s="11"/>
      <c r="H101" s="20"/>
      <c r="I101" s="11"/>
      <c r="J101" s="11"/>
      <c r="K101" s="11"/>
      <c r="L101" s="11"/>
      <c r="M101" s="20"/>
      <c r="N101" s="11"/>
      <c r="O101" s="20"/>
      <c r="P101" s="11"/>
      <c r="Q101" s="11"/>
      <c r="R101" s="11"/>
      <c r="S101" s="11"/>
      <c r="T101" s="11"/>
      <c r="U101" s="11"/>
      <c r="V101" s="32"/>
      <c r="W101" s="34"/>
    </row>
    <row r="102" spans="1:23">
      <c r="A102" s="20"/>
      <c r="B102" s="11"/>
      <c r="C102" s="11"/>
      <c r="D102" s="11"/>
      <c r="E102" s="11"/>
      <c r="F102" s="20"/>
      <c r="G102" s="11"/>
      <c r="H102" s="20"/>
      <c r="I102" s="11"/>
      <c r="J102" s="11"/>
      <c r="K102" s="11"/>
      <c r="L102" s="11"/>
      <c r="M102" s="20"/>
      <c r="N102" s="11"/>
      <c r="O102" s="20"/>
      <c r="P102" s="11"/>
      <c r="Q102" s="11"/>
      <c r="R102" s="11"/>
      <c r="S102" s="11"/>
      <c r="T102" s="20"/>
      <c r="U102" s="11"/>
      <c r="V102" s="32"/>
      <c r="W102" s="34"/>
    </row>
    <row r="103" spans="9:23">
      <c r="I103" s="11"/>
      <c r="J103" s="11"/>
      <c r="K103" s="11"/>
      <c r="L103" s="11"/>
      <c r="M103" s="20"/>
      <c r="N103" s="11"/>
      <c r="P103" s="11"/>
      <c r="Q103" s="11"/>
      <c r="R103" s="11"/>
      <c r="S103" s="11"/>
      <c r="T103" s="20"/>
      <c r="U103" s="11"/>
      <c r="V103" s="32"/>
      <c r="W103" s="34"/>
    </row>
    <row r="104" spans="16:23">
      <c r="P104" s="11"/>
      <c r="Q104" s="11"/>
      <c r="R104" s="11"/>
      <c r="S104" s="11"/>
      <c r="T104" s="20"/>
      <c r="U104" s="11"/>
      <c r="V104" s="32"/>
      <c r="W104" s="34"/>
    </row>
    <row r="105" spans="17:23">
      <c r="Q105" s="20"/>
      <c r="R105" s="20"/>
      <c r="S105" s="20"/>
      <c r="T105" s="20"/>
      <c r="U105" s="20"/>
      <c r="V105" s="32"/>
      <c r="W105" s="34"/>
    </row>
    <row r="106" spans="4:23">
      <c r="D106" s="20"/>
      <c r="E106" s="20"/>
      <c r="F106" s="20"/>
      <c r="G106" s="20"/>
      <c r="H106" s="20"/>
      <c r="I106" s="20"/>
      <c r="R106" s="20"/>
      <c r="V106" s="17"/>
      <c r="W106" s="17"/>
    </row>
    <row r="107" spans="18:23">
      <c r="R107" s="20"/>
      <c r="V107" s="17"/>
      <c r="W107" s="17"/>
    </row>
    <row r="108" spans="18:23">
      <c r="R108" s="20"/>
      <c r="V108" s="17"/>
      <c r="W108" s="17"/>
    </row>
    <row r="109" spans="18:23">
      <c r="R109" s="20"/>
      <c r="V109" s="17"/>
      <c r="W109" s="17"/>
    </row>
    <row r="110" spans="18:23">
      <c r="R110" s="20"/>
      <c r="V110" s="17"/>
      <c r="W110" s="17"/>
    </row>
    <row r="111" spans="18:23">
      <c r="R111" s="20"/>
      <c r="V111" s="17"/>
      <c r="W111" s="17"/>
    </row>
    <row r="112" spans="10:23">
      <c r="J112" s="20"/>
      <c r="R112" s="20"/>
      <c r="S112" s="20"/>
      <c r="T112" s="20"/>
      <c r="V112" s="17"/>
      <c r="W112" s="17"/>
    </row>
    <row r="113" spans="4:23">
      <c r="D113" s="16"/>
      <c r="E113" s="16"/>
      <c r="F113" s="16"/>
      <c r="G113" s="16"/>
      <c r="H113" s="16"/>
      <c r="I113" s="16"/>
      <c r="J113" s="13"/>
      <c r="K113" s="16"/>
      <c r="L113" s="16"/>
      <c r="M113" s="16"/>
      <c r="N113" s="16"/>
      <c r="O113" s="16"/>
      <c r="R113" s="20"/>
      <c r="S113" s="20"/>
      <c r="T113" s="20"/>
      <c r="U113" s="16"/>
      <c r="V113" s="17"/>
      <c r="W113" s="17"/>
    </row>
    <row r="114" spans="20:23">
      <c r="T114" s="20"/>
      <c r="V114" s="20"/>
      <c r="W114" s="17"/>
    </row>
    <row r="115" spans="20:23">
      <c r="T115" s="20"/>
      <c r="V115" s="20"/>
      <c r="W115" s="17"/>
    </row>
    <row r="116" spans="20:23">
      <c r="T116" s="20"/>
      <c r="V116" s="20"/>
      <c r="W116" s="17"/>
    </row>
    <row r="117" spans="20:23">
      <c r="T117" s="20"/>
      <c r="V117" s="20"/>
      <c r="W117" s="17"/>
    </row>
    <row r="118" spans="20:23">
      <c r="T118" s="20"/>
      <c r="V118" s="20"/>
      <c r="W118" s="17"/>
    </row>
    <row r="119" spans="18:23">
      <c r="R119" s="20"/>
      <c r="T119" s="20"/>
      <c r="V119" s="17"/>
      <c r="W119" s="17"/>
    </row>
    <row r="120" spans="4:23">
      <c r="D120" s="16"/>
      <c r="E120" s="16"/>
      <c r="F120" s="16"/>
      <c r="G120" s="16"/>
      <c r="H120" s="16"/>
      <c r="I120" s="16"/>
      <c r="J120" s="13"/>
      <c r="K120" s="16"/>
      <c r="L120" s="16"/>
      <c r="M120" s="16"/>
      <c r="N120" s="16"/>
      <c r="O120" s="16"/>
      <c r="R120" s="20"/>
      <c r="T120" s="20"/>
      <c r="U120" s="16"/>
      <c r="V120" s="17"/>
      <c r="W120" s="17"/>
    </row>
    <row r="121" spans="18:23">
      <c r="R121" s="20"/>
      <c r="T121" s="20"/>
      <c r="V121" s="20"/>
      <c r="W121" s="17"/>
    </row>
    <row r="122" spans="18:23">
      <c r="R122" s="20"/>
      <c r="T122" s="20"/>
      <c r="V122" s="20"/>
      <c r="W122" s="17"/>
    </row>
    <row r="123" spans="18:23">
      <c r="R123" s="20"/>
      <c r="T123" s="20"/>
      <c r="V123" s="20"/>
      <c r="W123" s="17"/>
    </row>
    <row r="124" spans="18:23">
      <c r="R124" s="20"/>
      <c r="T124" s="20"/>
      <c r="V124" s="20"/>
      <c r="W124" s="17"/>
    </row>
    <row r="125" spans="18:23">
      <c r="R125" s="20"/>
      <c r="T125" s="20"/>
      <c r="V125" s="20"/>
      <c r="W125" s="17"/>
    </row>
    <row r="126" spans="8:23">
      <c r="H126" s="11"/>
      <c r="R126" s="20"/>
      <c r="T126" s="20"/>
      <c r="V126" s="17"/>
      <c r="W126" s="17"/>
    </row>
    <row r="127" spans="4:23">
      <c r="D127" s="16"/>
      <c r="E127" s="16"/>
      <c r="F127" s="16"/>
      <c r="G127" s="16"/>
      <c r="H127" s="16"/>
      <c r="I127" s="16"/>
      <c r="J127" s="13"/>
      <c r="K127" s="16"/>
      <c r="L127" s="16"/>
      <c r="M127" s="16"/>
      <c r="N127" s="16"/>
      <c r="O127" s="16"/>
      <c r="R127" s="20"/>
      <c r="T127" s="20"/>
      <c r="U127" s="16"/>
      <c r="V127" s="17"/>
      <c r="W127" s="17"/>
    </row>
    <row r="128" spans="18:23">
      <c r="R128" s="20"/>
      <c r="T128" s="20"/>
      <c r="V128" s="20"/>
      <c r="W128" s="17"/>
    </row>
    <row r="129" spans="18:23">
      <c r="R129" s="20"/>
      <c r="T129" s="20"/>
      <c r="V129" s="20"/>
      <c r="W129" s="17"/>
    </row>
    <row r="130" spans="18:23">
      <c r="R130" s="20"/>
      <c r="T130" s="20"/>
      <c r="V130" s="20"/>
      <c r="W130" s="17"/>
    </row>
    <row r="131" spans="18:23">
      <c r="R131" s="20"/>
      <c r="T131" s="20"/>
      <c r="V131" s="20"/>
      <c r="W131" s="17"/>
    </row>
    <row r="132" spans="18:23">
      <c r="R132" s="20"/>
      <c r="T132" s="20"/>
      <c r="V132" s="20"/>
      <c r="W132" s="17"/>
    </row>
    <row r="133" spans="18:23">
      <c r="R133" s="20"/>
      <c r="T133" s="20"/>
      <c r="V133" s="17"/>
      <c r="W133" s="17"/>
    </row>
    <row r="134" spans="4:23">
      <c r="D134" s="16"/>
      <c r="E134" s="16"/>
      <c r="F134" s="16"/>
      <c r="G134" s="16"/>
      <c r="H134" s="16"/>
      <c r="I134" s="16"/>
      <c r="J134" s="13"/>
      <c r="K134" s="16"/>
      <c r="L134" s="16"/>
      <c r="M134" s="16"/>
      <c r="N134" s="16"/>
      <c r="O134" s="16"/>
      <c r="R134" s="20"/>
      <c r="T134" s="20"/>
      <c r="U134" s="16"/>
      <c r="V134" s="17"/>
      <c r="W134" s="17"/>
    </row>
    <row r="135" spans="18:23">
      <c r="R135" s="20"/>
      <c r="T135" s="20"/>
      <c r="V135" s="20"/>
      <c r="W135" s="17"/>
    </row>
    <row r="136" spans="18:23">
      <c r="R136" s="20"/>
      <c r="T136" s="20"/>
      <c r="V136" s="20"/>
      <c r="W136" s="17"/>
    </row>
    <row r="137" spans="18:23">
      <c r="R137" s="20"/>
      <c r="T137" s="20"/>
      <c r="V137" s="20"/>
      <c r="W137" s="17"/>
    </row>
    <row r="138" spans="22:23">
      <c r="V138" s="20"/>
      <c r="W138" s="17"/>
    </row>
    <row r="139" spans="22:23">
      <c r="V139" s="20"/>
      <c r="W139" s="17"/>
    </row>
    <row r="140" spans="22:23">
      <c r="V140" s="17"/>
      <c r="W140" s="20"/>
    </row>
    <row r="141" spans="4:23">
      <c r="D141" s="16"/>
      <c r="E141" s="16"/>
      <c r="F141" s="16"/>
      <c r="G141" s="16"/>
      <c r="H141" s="16"/>
      <c r="I141" s="16"/>
      <c r="J141" s="13"/>
      <c r="K141" s="16"/>
      <c r="L141" s="16"/>
      <c r="M141" s="16"/>
      <c r="N141" s="16"/>
      <c r="O141" s="16"/>
      <c r="V141" s="17"/>
      <c r="W141" s="17"/>
    </row>
    <row r="142" spans="22:23">
      <c r="V142" s="20"/>
      <c r="W142" s="17"/>
    </row>
    <row r="143" spans="22:23">
      <c r="V143" s="20"/>
      <c r="W143" s="17"/>
    </row>
    <row r="144" spans="22:23">
      <c r="V144" s="20"/>
      <c r="W144" s="17"/>
    </row>
    <row r="145" spans="22:23">
      <c r="V145" s="20"/>
      <c r="W145" s="17"/>
    </row>
    <row r="146" spans="1:2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17"/>
    </row>
    <row r="147" spans="1:2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spans="1:2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</row>
    <row r="149" spans="1:2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0" spans="1:2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</row>
    <row r="151" spans="1:2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spans="1:2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</row>
    <row r="153" spans="1:2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</row>
    <row r="154" spans="1:2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</row>
    <row r="155" spans="1:2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</row>
    <row r="156" spans="1:2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</row>
    <row r="157" spans="1:2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</row>
    <row r="158" spans="1:2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</row>
    <row r="159" spans="1:19">
      <c r="A159" s="20"/>
      <c r="B159" s="20"/>
      <c r="C159" s="20"/>
      <c r="D159" s="20"/>
      <c r="E159" s="20"/>
      <c r="H159" s="20"/>
      <c r="I159" s="20"/>
      <c r="J159" s="20"/>
      <c r="K159" s="20"/>
      <c r="L159" s="20"/>
      <c r="O159" s="20"/>
      <c r="P159" s="20"/>
      <c r="Q159" s="20"/>
      <c r="R159" s="20"/>
      <c r="S159" s="20"/>
    </row>
    <row r="160" spans="1:19">
      <c r="A160" s="20"/>
      <c r="B160" s="20"/>
      <c r="C160" s="20"/>
      <c r="D160" s="20"/>
      <c r="E160" s="20"/>
      <c r="H160" s="20"/>
      <c r="I160" s="20"/>
      <c r="J160" s="20"/>
      <c r="K160" s="20"/>
      <c r="L160" s="20"/>
      <c r="O160" s="20"/>
      <c r="P160" s="20"/>
      <c r="Q160" s="20"/>
      <c r="R160" s="20"/>
      <c r="S160" s="20"/>
    </row>
    <row r="161" spans="1:21">
      <c r="A161" s="20"/>
      <c r="B161" s="7"/>
      <c r="C161" s="11"/>
      <c r="D161" s="11"/>
      <c r="E161" s="7"/>
      <c r="F161" s="11"/>
      <c r="G161" s="11"/>
      <c r="H161" s="20"/>
      <c r="I161" s="7"/>
      <c r="J161" s="11"/>
      <c r="K161" s="11"/>
      <c r="L161" s="7"/>
      <c r="M161" s="11"/>
      <c r="N161" s="11"/>
      <c r="O161" s="20"/>
      <c r="P161" s="7"/>
      <c r="Q161" s="11"/>
      <c r="R161" s="11"/>
      <c r="S161" s="7"/>
      <c r="T161" s="11"/>
      <c r="U161" s="11"/>
    </row>
    <row r="162" spans="1:21">
      <c r="A162" s="20"/>
      <c r="B162" s="11"/>
      <c r="C162" s="11"/>
      <c r="D162" s="11"/>
      <c r="E162" s="11"/>
      <c r="F162" s="11"/>
      <c r="G162" s="11"/>
      <c r="H162" s="20"/>
      <c r="I162" s="11"/>
      <c r="J162" s="11"/>
      <c r="K162" s="11"/>
      <c r="L162" s="11"/>
      <c r="M162" s="11"/>
      <c r="N162" s="11"/>
      <c r="O162" s="20"/>
      <c r="P162" s="11"/>
      <c r="Q162" s="11"/>
      <c r="R162" s="11"/>
      <c r="S162" s="11"/>
      <c r="T162" s="11"/>
      <c r="U162" s="11"/>
    </row>
    <row r="163" spans="1:21">
      <c r="A163" s="20"/>
      <c r="B163" s="11"/>
      <c r="C163" s="11"/>
      <c r="D163" s="11"/>
      <c r="E163" s="11"/>
      <c r="F163" s="11"/>
      <c r="G163" s="11"/>
      <c r="H163" s="20"/>
      <c r="I163" s="11"/>
      <c r="J163" s="11"/>
      <c r="K163" s="11"/>
      <c r="L163" s="11"/>
      <c r="M163" s="11"/>
      <c r="N163" s="11"/>
      <c r="O163" s="20"/>
      <c r="P163" s="11"/>
      <c r="Q163" s="11"/>
      <c r="R163" s="11"/>
      <c r="S163" s="11"/>
      <c r="T163" s="11"/>
      <c r="U163" s="11"/>
    </row>
    <row r="164" spans="1:21">
      <c r="A164" s="20"/>
      <c r="B164" s="11"/>
      <c r="C164" s="11"/>
      <c r="D164" s="11"/>
      <c r="E164" s="11"/>
      <c r="F164" s="11"/>
      <c r="G164" s="11"/>
      <c r="H164" s="20"/>
      <c r="I164" s="11"/>
      <c r="J164" s="11"/>
      <c r="K164" s="11"/>
      <c r="L164" s="11"/>
      <c r="M164" s="11"/>
      <c r="N164" s="11"/>
      <c r="O164" s="20"/>
      <c r="P164" s="11"/>
      <c r="Q164" s="11"/>
      <c r="R164" s="11"/>
      <c r="S164" s="11"/>
      <c r="T164" s="11"/>
      <c r="U164" s="11"/>
    </row>
    <row r="165" spans="1:21">
      <c r="A165" s="20"/>
      <c r="B165" s="11"/>
      <c r="C165" s="11"/>
      <c r="D165" s="11"/>
      <c r="E165" s="11"/>
      <c r="F165" s="20"/>
      <c r="G165" s="11"/>
      <c r="H165" s="20"/>
      <c r="I165" s="11"/>
      <c r="J165" s="11"/>
      <c r="K165" s="11"/>
      <c r="L165" s="11"/>
      <c r="M165" s="20"/>
      <c r="N165" s="11"/>
      <c r="O165" s="20"/>
      <c r="P165" s="11"/>
      <c r="Q165" s="11"/>
      <c r="R165" s="11"/>
      <c r="S165" s="11"/>
      <c r="T165" s="20"/>
      <c r="U165" s="11"/>
    </row>
    <row r="166" spans="1:21">
      <c r="A166" s="20"/>
      <c r="B166" s="11"/>
      <c r="C166" s="11"/>
      <c r="D166" s="11"/>
      <c r="E166" s="11"/>
      <c r="F166" s="20"/>
      <c r="G166" s="11"/>
      <c r="H166" s="20"/>
      <c r="I166" s="11"/>
      <c r="J166" s="11"/>
      <c r="K166" s="11"/>
      <c r="L166" s="11"/>
      <c r="M166" s="20"/>
      <c r="N166" s="11"/>
      <c r="O166" s="20"/>
      <c r="P166" s="11"/>
      <c r="Q166" s="11"/>
      <c r="R166" s="11"/>
      <c r="S166" s="11"/>
      <c r="T166" s="20"/>
      <c r="U166" s="11"/>
    </row>
    <row r="167" spans="1:21">
      <c r="A167" s="20"/>
      <c r="B167" s="11"/>
      <c r="C167" s="11"/>
      <c r="D167" s="11"/>
      <c r="E167" s="11"/>
      <c r="F167" s="20"/>
      <c r="G167" s="11"/>
      <c r="H167" s="20"/>
      <c r="I167" s="11"/>
      <c r="J167" s="11"/>
      <c r="K167" s="11"/>
      <c r="L167" s="11"/>
      <c r="M167" s="20"/>
      <c r="N167" s="11"/>
      <c r="O167" s="20"/>
      <c r="P167" s="11"/>
      <c r="Q167" s="11"/>
      <c r="R167" s="11"/>
      <c r="S167" s="11"/>
      <c r="T167" s="20"/>
      <c r="U167" s="11"/>
    </row>
    <row r="168" spans="8:8">
      <c r="H168" s="11"/>
    </row>
    <row r="169" spans="8:8">
      <c r="H169" s="11"/>
    </row>
    <row r="170" spans="8:8">
      <c r="H170" s="11"/>
    </row>
    <row r="171" spans="1:22">
      <c r="A171" s="20"/>
      <c r="B171" s="20"/>
      <c r="C171" s="20"/>
      <c r="D171" s="20"/>
      <c r="E171" s="20"/>
      <c r="F171" s="20"/>
      <c r="G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>
      <c r="A172" s="20"/>
      <c r="B172" s="20"/>
      <c r="C172" s="20"/>
      <c r="D172" s="20"/>
      <c r="E172" s="20"/>
      <c r="F172" s="20"/>
      <c r="G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>
      <c r="A173" s="20"/>
      <c r="B173" s="20"/>
      <c r="C173" s="20"/>
      <c r="D173" s="20"/>
      <c r="E173" s="20"/>
      <c r="F173" s="20"/>
      <c r="G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>
      <c r="A174" s="20"/>
      <c r="B174" s="20"/>
      <c r="C174" s="20"/>
      <c r="D174" s="20"/>
      <c r="E174" s="20"/>
      <c r="F174" s="20"/>
      <c r="G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>
      <c r="A175" s="20"/>
      <c r="B175" s="20"/>
      <c r="C175" s="20"/>
      <c r="D175" s="20"/>
      <c r="E175" s="20"/>
      <c r="F175" s="20"/>
      <c r="G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>
      <c r="A176" s="20"/>
      <c r="B176" s="20"/>
      <c r="C176" s="20"/>
      <c r="D176" s="20"/>
      <c r="E176" s="20"/>
      <c r="F176" s="20"/>
      <c r="G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>
      <c r="A177" s="20"/>
      <c r="B177" s="20"/>
      <c r="C177" s="20"/>
      <c r="D177" s="20"/>
      <c r="E177" s="20"/>
      <c r="F177" s="20"/>
      <c r="G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>
      <c r="A178" s="20"/>
      <c r="B178" s="20"/>
      <c r="C178" s="20"/>
      <c r="D178" s="20"/>
      <c r="E178" s="20"/>
      <c r="F178" s="20"/>
      <c r="G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>
      <c r="A179" s="20"/>
      <c r="B179" s="20"/>
      <c r="C179" s="20"/>
      <c r="D179" s="20"/>
      <c r="E179" s="20"/>
      <c r="F179" s="20"/>
      <c r="G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>
      <c r="A180" s="20"/>
      <c r="B180" s="20"/>
      <c r="C180" s="20"/>
      <c r="D180" s="20"/>
      <c r="E180" s="20"/>
      <c r="F180" s="20"/>
      <c r="G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>
      <c r="A181" s="20"/>
      <c r="B181" s="20"/>
      <c r="C181" s="20"/>
      <c r="D181" s="20"/>
      <c r="E181" s="20"/>
      <c r="F181" s="7"/>
      <c r="G181" s="11"/>
      <c r="I181" s="20"/>
      <c r="J181" s="20"/>
      <c r="K181" s="20"/>
      <c r="L181" s="20"/>
      <c r="M181" s="20"/>
      <c r="N181" s="7"/>
      <c r="O181" s="11"/>
      <c r="P181" s="20"/>
      <c r="Q181" s="20"/>
      <c r="R181" s="20"/>
      <c r="S181" s="20"/>
      <c r="T181" s="20"/>
      <c r="U181" s="7"/>
      <c r="V181" s="11"/>
    </row>
    <row r="182" spans="1:22">
      <c r="A182" s="20"/>
      <c r="B182" s="20"/>
      <c r="C182" s="20"/>
      <c r="D182" s="20"/>
      <c r="E182" s="20"/>
      <c r="I182" s="20"/>
      <c r="J182" s="20"/>
      <c r="K182" s="20"/>
      <c r="L182" s="20"/>
      <c r="M182" s="20"/>
      <c r="P182" s="20"/>
      <c r="Q182" s="20"/>
      <c r="R182" s="20"/>
      <c r="S182" s="20"/>
      <c r="T182" s="20"/>
      <c r="V182" s="17"/>
    </row>
    <row r="183" spans="1:22">
      <c r="A183" s="20"/>
      <c r="B183" s="20"/>
      <c r="C183" s="20"/>
      <c r="D183" s="20"/>
      <c r="E183" s="20"/>
      <c r="I183" s="20"/>
      <c r="J183" s="20"/>
      <c r="K183" s="20"/>
      <c r="L183" s="20"/>
      <c r="M183" s="20"/>
      <c r="P183" s="20"/>
      <c r="Q183" s="20"/>
      <c r="R183" s="20"/>
      <c r="S183" s="20"/>
      <c r="T183" s="20"/>
      <c r="V183" s="17"/>
    </row>
    <row r="184" spans="1:22">
      <c r="A184" s="20"/>
      <c r="B184" s="20"/>
      <c r="C184" s="20"/>
      <c r="D184" s="20"/>
      <c r="E184" s="20"/>
      <c r="I184" s="20"/>
      <c r="J184" s="20"/>
      <c r="K184" s="20"/>
      <c r="L184" s="20"/>
      <c r="M184" s="20"/>
      <c r="P184" s="20"/>
      <c r="Q184" s="20"/>
      <c r="R184" s="20"/>
      <c r="S184" s="20"/>
      <c r="T184" s="20"/>
      <c r="V184" s="17"/>
    </row>
    <row r="185" spans="1:22">
      <c r="A185" s="20"/>
      <c r="B185" s="20"/>
      <c r="C185" s="11"/>
      <c r="D185" s="11"/>
      <c r="E185" s="7"/>
      <c r="F185" s="11"/>
      <c r="G185" s="11"/>
      <c r="I185" s="20"/>
      <c r="J185" s="20"/>
      <c r="K185" s="20"/>
      <c r="L185" s="20"/>
      <c r="M185" s="20"/>
      <c r="P185" s="20"/>
      <c r="Q185" s="20"/>
      <c r="R185" s="11"/>
      <c r="S185" s="11"/>
      <c r="T185" s="7"/>
      <c r="U185" s="11"/>
      <c r="V185" s="11"/>
    </row>
    <row r="186" spans="1:22">
      <c r="A186" s="20"/>
      <c r="B186" s="11"/>
      <c r="C186" s="11"/>
      <c r="D186" s="11"/>
      <c r="E186" s="11"/>
      <c r="F186" s="11"/>
      <c r="G186" s="11"/>
      <c r="I186" s="20"/>
      <c r="J186" s="20"/>
      <c r="K186" s="20"/>
      <c r="L186" s="20"/>
      <c r="M186" s="20"/>
      <c r="P186" s="20"/>
      <c r="Q186" s="11"/>
      <c r="R186" s="11"/>
      <c r="S186" s="11"/>
      <c r="T186" s="11"/>
      <c r="U186" s="11"/>
      <c r="V186" s="11"/>
    </row>
    <row r="187" spans="1:22">
      <c r="A187" s="20"/>
      <c r="B187" s="11"/>
      <c r="C187" s="11"/>
      <c r="D187" s="11"/>
      <c r="E187" s="11"/>
      <c r="F187" s="11"/>
      <c r="G187" s="11"/>
      <c r="I187" s="20"/>
      <c r="J187" s="20"/>
      <c r="K187" s="20"/>
      <c r="L187" s="20"/>
      <c r="M187" s="20"/>
      <c r="P187" s="20"/>
      <c r="Q187" s="11"/>
      <c r="R187" s="11"/>
      <c r="S187" s="11"/>
      <c r="T187" s="11"/>
      <c r="U187" s="11"/>
      <c r="V187" s="11"/>
    </row>
    <row r="188" spans="1:22">
      <c r="A188" s="20"/>
      <c r="B188" s="11"/>
      <c r="C188" s="11"/>
      <c r="D188" s="11"/>
      <c r="E188" s="11"/>
      <c r="F188" s="11"/>
      <c r="G188" s="11"/>
      <c r="I188" s="20"/>
      <c r="J188" s="20"/>
      <c r="K188" s="11"/>
      <c r="L188" s="11"/>
      <c r="M188" s="7"/>
      <c r="N188" s="11"/>
      <c r="O188" s="11"/>
      <c r="P188" s="20"/>
      <c r="Q188" s="11"/>
      <c r="R188" s="11"/>
      <c r="S188" s="11"/>
      <c r="T188" s="11"/>
      <c r="U188" s="11"/>
      <c r="V188" s="11"/>
    </row>
    <row r="189" spans="1:22">
      <c r="A189" s="20"/>
      <c r="B189" s="11"/>
      <c r="C189" s="11"/>
      <c r="D189" s="11"/>
      <c r="E189" s="11"/>
      <c r="F189" s="20"/>
      <c r="G189" s="11"/>
      <c r="J189" s="11"/>
      <c r="K189" s="11"/>
      <c r="L189" s="11"/>
      <c r="M189" s="11"/>
      <c r="N189" s="11"/>
      <c r="O189" s="11"/>
      <c r="P189" s="20"/>
      <c r="Q189" s="11"/>
      <c r="R189" s="11"/>
      <c r="S189" s="11"/>
      <c r="T189" s="11"/>
      <c r="U189" s="20"/>
      <c r="V189" s="11"/>
    </row>
    <row r="190" spans="1:22">
      <c r="A190" s="20"/>
      <c r="B190" s="11"/>
      <c r="C190" s="11"/>
      <c r="D190" s="11"/>
      <c r="E190" s="11"/>
      <c r="F190" s="20"/>
      <c r="G190" s="11"/>
      <c r="J190" s="11"/>
      <c r="K190" s="11"/>
      <c r="L190" s="11"/>
      <c r="M190" s="11"/>
      <c r="N190" s="11"/>
      <c r="O190" s="11"/>
      <c r="P190" s="20"/>
      <c r="Q190" s="11"/>
      <c r="R190" s="11"/>
      <c r="S190" s="11"/>
      <c r="T190" s="11"/>
      <c r="U190" s="20"/>
      <c r="V190" s="11"/>
    </row>
    <row r="191" spans="1:22">
      <c r="A191" s="20"/>
      <c r="B191" s="11"/>
      <c r="C191" s="11"/>
      <c r="D191" s="11"/>
      <c r="E191" s="11"/>
      <c r="F191" s="20"/>
      <c r="G191" s="11"/>
      <c r="J191" s="11"/>
      <c r="K191" s="11"/>
      <c r="L191" s="11"/>
      <c r="M191" s="11"/>
      <c r="N191" s="11"/>
      <c r="O191" s="11"/>
      <c r="P191" s="20"/>
      <c r="Q191" s="11"/>
      <c r="R191" s="11"/>
      <c r="S191" s="11"/>
      <c r="T191" s="11"/>
      <c r="U191" s="20"/>
      <c r="V191" s="11"/>
    </row>
    <row r="192" spans="10:15">
      <c r="J192" s="11"/>
      <c r="K192" s="11"/>
      <c r="L192" s="11"/>
      <c r="M192" s="11"/>
      <c r="N192" s="20"/>
      <c r="O192" s="11"/>
    </row>
    <row r="193" spans="10:15">
      <c r="J193" s="11"/>
      <c r="K193" s="11"/>
      <c r="L193" s="11"/>
      <c r="M193" s="11"/>
      <c r="N193" s="20"/>
      <c r="O193" s="11"/>
    </row>
    <row r="194" spans="10:15">
      <c r="J194" s="11"/>
      <c r="K194" s="11"/>
      <c r="L194" s="11"/>
      <c r="M194" s="11"/>
      <c r="N194" s="20"/>
      <c r="O194" s="11"/>
    </row>
    <row r="206" spans="1:2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</row>
    <row r="207" spans="1:2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</row>
    <row r="208" spans="1:2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</row>
    <row r="209" spans="1:2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</row>
    <row r="210" spans="1:2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</row>
    <row r="211" spans="1:2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</row>
    <row r="212" spans="1:2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</row>
    <row r="213" spans="1:2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</row>
    <row r="214" spans="1:2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</row>
    <row r="215" spans="1:2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</row>
    <row r="216" spans="1:2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</row>
    <row r="217" spans="1:21">
      <c r="A217" s="20"/>
      <c r="B217" s="20"/>
      <c r="C217" s="20"/>
      <c r="D217" s="20"/>
      <c r="E217" s="20"/>
      <c r="F217" s="7"/>
      <c r="G217" s="7"/>
      <c r="H217" s="20"/>
      <c r="I217" s="20"/>
      <c r="J217" s="20"/>
      <c r="K217" s="20"/>
      <c r="L217" s="20"/>
      <c r="M217" s="7"/>
      <c r="N217" s="7"/>
      <c r="O217" s="20"/>
      <c r="P217" s="20"/>
      <c r="Q217" s="20"/>
      <c r="R217" s="20"/>
      <c r="S217" s="20"/>
      <c r="T217" s="7"/>
      <c r="U217" s="7"/>
    </row>
    <row r="218" spans="1:21">
      <c r="A218" s="20"/>
      <c r="B218" s="20"/>
      <c r="C218" s="20"/>
      <c r="D218" s="20"/>
      <c r="E218" s="20"/>
      <c r="F218" s="7"/>
      <c r="G218" s="7"/>
      <c r="H218" s="20"/>
      <c r="I218" s="20"/>
      <c r="J218" s="20"/>
      <c r="K218" s="20"/>
      <c r="L218" s="20"/>
      <c r="M218" s="7"/>
      <c r="N218" s="7"/>
      <c r="O218" s="20"/>
      <c r="P218" s="20"/>
      <c r="Q218" s="20"/>
      <c r="R218" s="20"/>
      <c r="S218" s="20"/>
      <c r="T218" s="7"/>
      <c r="U218" s="7"/>
    </row>
    <row r="219" spans="1:21">
      <c r="A219" s="20"/>
      <c r="B219" s="7"/>
      <c r="C219" s="11"/>
      <c r="D219" s="11"/>
      <c r="E219" s="7"/>
      <c r="F219" s="11"/>
      <c r="G219" s="20"/>
      <c r="H219" s="20"/>
      <c r="I219" s="7"/>
      <c r="J219" s="11"/>
      <c r="K219" s="11"/>
      <c r="L219" s="7"/>
      <c r="M219" s="11"/>
      <c r="N219" s="20"/>
      <c r="O219" s="20"/>
      <c r="P219" s="7"/>
      <c r="Q219" s="11"/>
      <c r="R219" s="11"/>
      <c r="S219" s="7"/>
      <c r="T219" s="11"/>
      <c r="U219" s="20"/>
    </row>
    <row r="220" spans="1:21">
      <c r="A220" s="20"/>
      <c r="B220" s="11"/>
      <c r="C220" s="11"/>
      <c r="D220" s="11"/>
      <c r="E220" s="11"/>
      <c r="F220" s="20"/>
      <c r="G220" s="20"/>
      <c r="H220" s="20"/>
      <c r="I220" s="11"/>
      <c r="J220" s="11"/>
      <c r="K220" s="11"/>
      <c r="L220" s="11"/>
      <c r="M220" s="20"/>
      <c r="N220" s="20"/>
      <c r="O220" s="20"/>
      <c r="P220" s="11"/>
      <c r="Q220" s="11"/>
      <c r="R220" s="11"/>
      <c r="S220" s="11"/>
      <c r="T220" s="20"/>
      <c r="U220" s="20"/>
    </row>
    <row r="221" spans="1:21">
      <c r="A221" s="20"/>
      <c r="B221" s="11"/>
      <c r="C221" s="11"/>
      <c r="D221" s="11"/>
      <c r="E221" s="11"/>
      <c r="F221" s="11"/>
      <c r="G221" s="11"/>
      <c r="H221" s="20"/>
      <c r="I221" s="11"/>
      <c r="J221" s="11"/>
      <c r="K221" s="11"/>
      <c r="L221" s="11"/>
      <c r="M221" s="11"/>
      <c r="N221" s="11"/>
      <c r="O221" s="20"/>
      <c r="P221" s="11"/>
      <c r="Q221" s="11"/>
      <c r="R221" s="11"/>
      <c r="S221" s="11"/>
      <c r="T221" s="11"/>
      <c r="U221" s="11"/>
    </row>
    <row r="222" spans="1:21">
      <c r="A222" s="20"/>
      <c r="B222" s="11"/>
      <c r="C222" s="11"/>
      <c r="D222" s="11"/>
      <c r="E222" s="11"/>
      <c r="F222" s="11"/>
      <c r="G222" s="11"/>
      <c r="H222" s="20"/>
      <c r="I222" s="11"/>
      <c r="J222" s="11"/>
      <c r="K222" s="11"/>
      <c r="L222" s="11"/>
      <c r="M222" s="11"/>
      <c r="N222" s="11"/>
      <c r="O222" s="20"/>
      <c r="P222" s="11"/>
      <c r="Q222" s="11"/>
      <c r="R222" s="11"/>
      <c r="S222" s="11"/>
      <c r="T222" s="11"/>
      <c r="U222" s="11"/>
    </row>
    <row r="223" spans="1:21">
      <c r="A223" s="20"/>
      <c r="B223" s="11"/>
      <c r="C223" s="11"/>
      <c r="D223" s="11"/>
      <c r="E223" s="11"/>
      <c r="F223" s="20"/>
      <c r="G223" s="11"/>
      <c r="H223" s="20"/>
      <c r="I223" s="11"/>
      <c r="J223" s="11"/>
      <c r="K223" s="11"/>
      <c r="L223" s="11"/>
      <c r="M223" s="20"/>
      <c r="N223" s="11"/>
      <c r="O223" s="20"/>
      <c r="P223" s="11"/>
      <c r="Q223" s="11"/>
      <c r="R223" s="11"/>
      <c r="S223" s="11"/>
      <c r="T223" s="20"/>
      <c r="U223" s="11"/>
    </row>
    <row r="224" spans="1:21">
      <c r="A224" s="11"/>
      <c r="B224" s="11"/>
      <c r="C224" s="11"/>
      <c r="D224" s="11"/>
      <c r="E224" s="11"/>
      <c r="F224" s="20"/>
      <c r="G224" s="11"/>
      <c r="H224" s="11"/>
      <c r="I224" s="11"/>
      <c r="J224" s="11"/>
      <c r="K224" s="11"/>
      <c r="L224" s="11"/>
      <c r="M224" s="20"/>
      <c r="N224" s="11"/>
      <c r="O224" s="11"/>
      <c r="P224" s="11"/>
      <c r="Q224" s="11"/>
      <c r="R224" s="11"/>
      <c r="S224" s="11"/>
      <c r="T224" s="20"/>
      <c r="U224" s="11"/>
    </row>
    <row r="225" spans="1:21">
      <c r="A225" s="11"/>
      <c r="B225" s="11"/>
      <c r="C225" s="11"/>
      <c r="D225" s="11"/>
      <c r="E225" s="11"/>
      <c r="F225" s="20"/>
      <c r="G225" s="11"/>
      <c r="H225" s="11"/>
      <c r="I225" s="11"/>
      <c r="J225" s="11"/>
      <c r="K225" s="11"/>
      <c r="L225" s="11"/>
      <c r="M225" s="20"/>
      <c r="N225" s="11"/>
      <c r="O225" s="11"/>
      <c r="P225" s="11"/>
      <c r="Q225" s="11"/>
      <c r="R225" s="11"/>
      <c r="S225" s="11"/>
      <c r="T225" s="20"/>
      <c r="U225" s="11"/>
    </row>
    <row r="226" spans="8:8">
      <c r="H226" s="7"/>
    </row>
    <row r="227" spans="1:2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</row>
    <row r="228" spans="1:2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</row>
    <row r="229" spans="1:2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</row>
    <row r="230" spans="1:2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</row>
    <row r="231" spans="1:2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</row>
    <row r="232" spans="1:2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</row>
    <row r="233" spans="1:2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</row>
    <row r="234" spans="1:2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</row>
    <row r="235" spans="1:2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</row>
    <row r="236" spans="1:2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</row>
    <row r="237" spans="1:2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</row>
    <row r="238" spans="1:21">
      <c r="A238" s="20"/>
      <c r="B238" s="20"/>
      <c r="C238" s="20"/>
      <c r="D238" s="20"/>
      <c r="E238" s="20"/>
      <c r="F238" s="7"/>
      <c r="G238" s="7"/>
      <c r="H238" s="20"/>
      <c r="I238" s="20"/>
      <c r="J238" s="20"/>
      <c r="K238" s="20"/>
      <c r="L238" s="20"/>
      <c r="M238" s="7"/>
      <c r="N238" s="7"/>
      <c r="O238" s="20"/>
      <c r="P238" s="20"/>
      <c r="Q238" s="20"/>
      <c r="R238" s="20"/>
      <c r="S238" s="20"/>
      <c r="T238" s="7"/>
      <c r="U238" s="7"/>
    </row>
    <row r="239" spans="1:21">
      <c r="A239" s="20"/>
      <c r="B239" s="20"/>
      <c r="C239" s="20"/>
      <c r="D239" s="20"/>
      <c r="E239" s="20"/>
      <c r="F239" s="7"/>
      <c r="G239" s="7"/>
      <c r="H239" s="20"/>
      <c r="I239" s="20"/>
      <c r="J239" s="20"/>
      <c r="K239" s="20"/>
      <c r="L239" s="20"/>
      <c r="M239" s="7"/>
      <c r="N239" s="7"/>
      <c r="O239" s="20"/>
      <c r="P239" s="20"/>
      <c r="Q239" s="20"/>
      <c r="R239" s="20"/>
      <c r="S239" s="20"/>
      <c r="T239" s="7"/>
      <c r="U239" s="7"/>
    </row>
    <row r="240" spans="1:21">
      <c r="A240" s="20"/>
      <c r="B240" s="7"/>
      <c r="C240" s="11"/>
      <c r="D240" s="11"/>
      <c r="E240" s="7"/>
      <c r="F240" s="11"/>
      <c r="G240" s="20"/>
      <c r="H240" s="20"/>
      <c r="I240" s="7"/>
      <c r="J240" s="11"/>
      <c r="K240" s="11"/>
      <c r="L240" s="7"/>
      <c r="M240" s="11"/>
      <c r="N240" s="20"/>
      <c r="O240" s="20"/>
      <c r="P240" s="7"/>
      <c r="Q240" s="11"/>
      <c r="R240" s="11"/>
      <c r="S240" s="7"/>
      <c r="T240" s="11"/>
      <c r="U240" s="20"/>
    </row>
    <row r="241" spans="1:21">
      <c r="A241" s="20"/>
      <c r="B241" s="11"/>
      <c r="C241" s="11"/>
      <c r="D241" s="11"/>
      <c r="E241" s="11"/>
      <c r="F241" s="20"/>
      <c r="G241" s="20"/>
      <c r="H241" s="20"/>
      <c r="I241" s="11"/>
      <c r="J241" s="11"/>
      <c r="K241" s="11"/>
      <c r="L241" s="11"/>
      <c r="M241" s="20"/>
      <c r="N241" s="20"/>
      <c r="O241" s="20"/>
      <c r="P241" s="11"/>
      <c r="Q241" s="11"/>
      <c r="R241" s="11"/>
      <c r="S241" s="11"/>
      <c r="T241" s="20"/>
      <c r="U241" s="20"/>
    </row>
    <row r="242" spans="1:21">
      <c r="A242" s="20"/>
      <c r="B242" s="11"/>
      <c r="C242" s="11"/>
      <c r="D242" s="11"/>
      <c r="E242" s="11"/>
      <c r="F242" s="11"/>
      <c r="G242" s="11"/>
      <c r="H242" s="20"/>
      <c r="I242" s="11"/>
      <c r="J242" s="11"/>
      <c r="K242" s="11"/>
      <c r="L242" s="11"/>
      <c r="M242" s="11"/>
      <c r="N242" s="11"/>
      <c r="O242" s="20"/>
      <c r="P242" s="11"/>
      <c r="Q242" s="11"/>
      <c r="R242" s="11"/>
      <c r="S242" s="11"/>
      <c r="T242" s="11"/>
      <c r="U242" s="11"/>
    </row>
    <row r="243" spans="1:21">
      <c r="A243" s="20"/>
      <c r="B243" s="11"/>
      <c r="C243" s="11"/>
      <c r="D243" s="11"/>
      <c r="E243" s="11"/>
      <c r="F243" s="11"/>
      <c r="G243" s="11"/>
      <c r="H243" s="20"/>
      <c r="I243" s="11"/>
      <c r="J243" s="11"/>
      <c r="K243" s="11"/>
      <c r="L243" s="11"/>
      <c r="M243" s="11"/>
      <c r="N243" s="11"/>
      <c r="O243" s="20"/>
      <c r="P243" s="11"/>
      <c r="Q243" s="11"/>
      <c r="R243" s="11"/>
      <c r="S243" s="11"/>
      <c r="T243" s="11"/>
      <c r="U243" s="11"/>
    </row>
    <row r="244" spans="1:21">
      <c r="A244" s="20"/>
      <c r="B244" s="11"/>
      <c r="C244" s="11"/>
      <c r="D244" s="11"/>
      <c r="E244" s="11"/>
      <c r="F244" s="20"/>
      <c r="G244" s="11"/>
      <c r="H244" s="20"/>
      <c r="I244" s="11"/>
      <c r="J244" s="11"/>
      <c r="K244" s="11"/>
      <c r="L244" s="11"/>
      <c r="M244" s="20"/>
      <c r="N244" s="11"/>
      <c r="O244" s="20"/>
      <c r="P244" s="11"/>
      <c r="Q244" s="11"/>
      <c r="R244" s="11"/>
      <c r="S244" s="11"/>
      <c r="T244" s="20"/>
      <c r="U244" s="11"/>
    </row>
    <row r="245" spans="1:21">
      <c r="A245" s="11"/>
      <c r="B245" s="11"/>
      <c r="C245" s="11"/>
      <c r="D245" s="11"/>
      <c r="E245" s="11"/>
      <c r="F245" s="20"/>
      <c r="G245" s="11"/>
      <c r="H245" s="11"/>
      <c r="I245" s="11"/>
      <c r="J245" s="11"/>
      <c r="K245" s="11"/>
      <c r="L245" s="11"/>
      <c r="M245" s="20"/>
      <c r="N245" s="11"/>
      <c r="O245" s="11"/>
      <c r="P245" s="11"/>
      <c r="Q245" s="11"/>
      <c r="R245" s="11"/>
      <c r="S245" s="11"/>
      <c r="T245" s="20"/>
      <c r="U245" s="11"/>
    </row>
    <row r="246" spans="1:21">
      <c r="A246" s="11"/>
      <c r="B246" s="11"/>
      <c r="C246" s="11"/>
      <c r="D246" s="11"/>
      <c r="E246" s="11"/>
      <c r="F246" s="20"/>
      <c r="G246" s="11"/>
      <c r="H246" s="11"/>
      <c r="I246" s="11"/>
      <c r="J246" s="11"/>
      <c r="K246" s="11"/>
      <c r="L246" s="11"/>
      <c r="M246" s="20"/>
      <c r="N246" s="11"/>
      <c r="O246" s="11"/>
      <c r="P246" s="11"/>
      <c r="Q246" s="11"/>
      <c r="R246" s="11"/>
      <c r="S246" s="11"/>
      <c r="T246" s="20"/>
      <c r="U246" s="11"/>
    </row>
    <row r="248" spans="1:1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P248" s="36"/>
    </row>
    <row r="249" spans="1:1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P249" s="36"/>
    </row>
    <row r="250" spans="1:1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P250" s="36"/>
    </row>
    <row r="251" spans="1:1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P251" s="36"/>
    </row>
    <row r="252" spans="1:1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P252" s="36"/>
    </row>
    <row r="253" spans="1:1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P253" s="36"/>
    </row>
    <row r="254" spans="1:1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spans="1:14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</row>
    <row r="256" spans="1:14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</row>
    <row r="257" spans="1:14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</row>
    <row r="258" spans="1:14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</row>
    <row r="259" spans="1:14">
      <c r="A259" s="20"/>
      <c r="B259" s="20"/>
      <c r="C259" s="20"/>
      <c r="D259" s="20"/>
      <c r="E259" s="20"/>
      <c r="F259" s="7"/>
      <c r="G259" s="7"/>
      <c r="H259" s="20"/>
      <c r="I259" s="20"/>
      <c r="J259" s="20"/>
      <c r="K259" s="20"/>
      <c r="L259" s="20"/>
      <c r="M259" s="7"/>
      <c r="N259" s="7"/>
    </row>
    <row r="260" spans="2:14">
      <c r="B260" s="20"/>
      <c r="C260" s="20"/>
      <c r="D260" s="20"/>
      <c r="E260" s="20"/>
      <c r="F260" s="7"/>
      <c r="G260" s="7"/>
      <c r="I260" s="20"/>
      <c r="J260" s="20"/>
      <c r="K260" s="20"/>
      <c r="L260" s="20"/>
      <c r="M260" s="7"/>
      <c r="N260" s="7"/>
    </row>
    <row r="261" spans="1:12">
      <c r="A261" s="20"/>
      <c r="B261" s="20"/>
      <c r="C261" s="20"/>
      <c r="D261" s="20"/>
      <c r="E261" s="20"/>
      <c r="H261" s="20"/>
      <c r="I261" s="20"/>
      <c r="J261" s="20"/>
      <c r="K261" s="20"/>
      <c r="L261" s="20"/>
    </row>
    <row r="262" spans="1:8">
      <c r="A262" s="20"/>
      <c r="H262" s="20"/>
    </row>
    <row r="263" spans="1:14">
      <c r="A263" s="20"/>
      <c r="B263" s="7"/>
      <c r="C263" s="11"/>
      <c r="D263" s="11"/>
      <c r="E263" s="7"/>
      <c r="F263" s="11"/>
      <c r="G263" s="20"/>
      <c r="H263" s="20"/>
      <c r="I263" s="7"/>
      <c r="J263" s="11"/>
      <c r="K263" s="11"/>
      <c r="L263" s="7"/>
      <c r="M263" s="11"/>
      <c r="N263" s="20"/>
    </row>
    <row r="264" spans="1:14">
      <c r="A264" s="20"/>
      <c r="B264" s="11"/>
      <c r="C264" s="11"/>
      <c r="D264" s="11"/>
      <c r="E264" s="11"/>
      <c r="F264" s="20"/>
      <c r="G264" s="20"/>
      <c r="H264" s="20"/>
      <c r="I264" s="11"/>
      <c r="J264" s="11"/>
      <c r="K264" s="11"/>
      <c r="L264" s="11"/>
      <c r="M264" s="20"/>
      <c r="N264" s="20"/>
    </row>
    <row r="265" spans="1:14">
      <c r="A265" s="20"/>
      <c r="B265" s="11"/>
      <c r="C265" s="11"/>
      <c r="D265" s="11"/>
      <c r="E265" s="11"/>
      <c r="F265" s="11"/>
      <c r="G265" s="11"/>
      <c r="H265" s="20"/>
      <c r="I265" s="11"/>
      <c r="J265" s="11"/>
      <c r="K265" s="11"/>
      <c r="L265" s="11"/>
      <c r="M265" s="11"/>
      <c r="N265" s="11"/>
    </row>
    <row r="266" spans="1: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>
      <c r="A267" s="11"/>
      <c r="B267" s="11"/>
      <c r="C267" s="11"/>
      <c r="D267" s="11"/>
      <c r="E267" s="11"/>
      <c r="F267" s="20"/>
      <c r="G267" s="11"/>
      <c r="H267" s="11"/>
      <c r="I267" s="11"/>
      <c r="J267" s="11"/>
      <c r="K267" s="11"/>
      <c r="L267" s="11"/>
      <c r="M267" s="20"/>
      <c r="N267" s="11"/>
    </row>
    <row r="268" spans="2:14">
      <c r="B268" s="11"/>
      <c r="C268" s="11"/>
      <c r="D268" s="11"/>
      <c r="E268" s="11"/>
      <c r="F268" s="20"/>
      <c r="G268" s="11"/>
      <c r="I268" s="11"/>
      <c r="J268" s="11"/>
      <c r="K268" s="11"/>
      <c r="L268" s="11"/>
      <c r="M268" s="20"/>
      <c r="N268" s="11"/>
    </row>
    <row r="269" spans="2:14">
      <c r="B269" s="11"/>
      <c r="C269" s="11"/>
      <c r="D269" s="11"/>
      <c r="E269" s="11"/>
      <c r="F269" s="20"/>
      <c r="G269" s="11"/>
      <c r="I269" s="11"/>
      <c r="J269" s="11"/>
      <c r="K269" s="11"/>
      <c r="L269" s="11"/>
      <c r="M269" s="20"/>
      <c r="N269" s="11"/>
    </row>
    <row r="271" spans="1:2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</row>
    <row r="272" spans="1:2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</row>
    <row r="273" spans="1:2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</row>
    <row r="274" spans="1:2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</row>
    <row r="275" spans="1:2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</row>
    <row r="276" spans="1:2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</row>
    <row r="277" spans="1:2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</row>
    <row r="278" spans="1:2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</row>
    <row r="279" spans="1:2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</row>
    <row r="280" spans="1:2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</row>
    <row r="281" spans="1:2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</row>
    <row r="282" spans="1:2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</row>
    <row r="283" spans="1:2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11"/>
      <c r="U283" s="7"/>
    </row>
    <row r="284" spans="1:21">
      <c r="A284" s="20"/>
      <c r="B284" s="20"/>
      <c r="C284" s="20"/>
      <c r="D284" s="20"/>
      <c r="E284" s="20"/>
      <c r="F284" s="11"/>
      <c r="G284" s="7"/>
      <c r="H284" s="20"/>
      <c r="I284" s="20"/>
      <c r="J284" s="20"/>
      <c r="K284" s="20"/>
      <c r="L284" s="20"/>
      <c r="M284" s="11"/>
      <c r="N284" s="7"/>
      <c r="O284" s="20"/>
      <c r="P284" s="20"/>
      <c r="Q284" s="20"/>
      <c r="R284" s="20"/>
      <c r="S284" s="20"/>
      <c r="T284" s="7"/>
      <c r="U284" s="11"/>
    </row>
    <row r="285" spans="1:21">
      <c r="A285" s="20"/>
      <c r="B285" s="20"/>
      <c r="C285" s="20"/>
      <c r="D285" s="20"/>
      <c r="E285" s="20"/>
      <c r="F285" s="7"/>
      <c r="G285" s="11"/>
      <c r="H285" s="20"/>
      <c r="I285" s="20"/>
      <c r="J285" s="20"/>
      <c r="K285" s="20"/>
      <c r="L285" s="20"/>
      <c r="M285" s="7"/>
      <c r="N285" s="11"/>
      <c r="O285" s="20"/>
      <c r="P285" s="20"/>
      <c r="Q285" s="20"/>
      <c r="R285" s="20"/>
      <c r="S285" s="20"/>
      <c r="T285" s="11"/>
      <c r="U285" s="11"/>
    </row>
    <row r="286" spans="1:21">
      <c r="A286" s="20"/>
      <c r="B286" s="20"/>
      <c r="C286" s="20"/>
      <c r="D286" s="20"/>
      <c r="E286" s="20"/>
      <c r="F286" s="11"/>
      <c r="G286" s="11"/>
      <c r="H286" s="20"/>
      <c r="I286" s="20"/>
      <c r="J286" s="20"/>
      <c r="K286" s="20"/>
      <c r="L286" s="20"/>
      <c r="M286" s="11"/>
      <c r="N286" s="11"/>
      <c r="O286" s="20"/>
      <c r="P286" s="7"/>
      <c r="Q286" s="11"/>
      <c r="R286" s="11"/>
      <c r="S286" s="7"/>
      <c r="T286" s="11"/>
      <c r="U286" s="11"/>
    </row>
    <row r="287" spans="1:21">
      <c r="A287" s="20"/>
      <c r="B287" s="20"/>
      <c r="C287" s="20"/>
      <c r="D287" s="20"/>
      <c r="E287" s="20"/>
      <c r="H287" s="20"/>
      <c r="I287" s="20"/>
      <c r="J287" s="20"/>
      <c r="K287" s="20"/>
      <c r="L287" s="20"/>
      <c r="O287" s="20"/>
      <c r="P287" s="11"/>
      <c r="Q287" s="11"/>
      <c r="R287" s="11"/>
      <c r="S287" s="11"/>
      <c r="U287" s="11"/>
    </row>
    <row r="288" spans="1:21">
      <c r="A288" s="20"/>
      <c r="B288" s="7"/>
      <c r="C288" s="11"/>
      <c r="D288" s="11"/>
      <c r="E288" s="7"/>
      <c r="F288" s="11"/>
      <c r="G288" s="11"/>
      <c r="H288" s="20"/>
      <c r="I288" s="7"/>
      <c r="J288" s="11"/>
      <c r="K288" s="11"/>
      <c r="L288" s="7"/>
      <c r="M288" s="11"/>
      <c r="N288" s="11"/>
      <c r="O288" s="20"/>
      <c r="P288" s="11"/>
      <c r="Q288" s="11"/>
      <c r="R288" s="11"/>
      <c r="S288" s="11"/>
      <c r="T288" s="11"/>
      <c r="U288" s="11"/>
    </row>
    <row r="289" spans="1:21">
      <c r="A289" s="20"/>
      <c r="B289" s="11"/>
      <c r="C289" s="11"/>
      <c r="D289" s="11"/>
      <c r="E289" s="11"/>
      <c r="G289" s="11"/>
      <c r="H289" s="20"/>
      <c r="I289" s="11"/>
      <c r="J289" s="11"/>
      <c r="K289" s="11"/>
      <c r="L289" s="11"/>
      <c r="N289" s="11"/>
      <c r="O289" s="20"/>
      <c r="P289" s="11"/>
      <c r="Q289" s="11"/>
      <c r="R289" s="11"/>
      <c r="S289" s="11"/>
      <c r="T289" s="11"/>
      <c r="U289" s="11"/>
    </row>
    <row r="290" spans="1:21">
      <c r="A290" s="20"/>
      <c r="B290" s="11"/>
      <c r="C290" s="11"/>
      <c r="D290" s="11"/>
      <c r="E290" s="11"/>
      <c r="F290" s="11"/>
      <c r="G290" s="11"/>
      <c r="H290" s="20"/>
      <c r="I290" s="11"/>
      <c r="J290" s="11"/>
      <c r="K290" s="11"/>
      <c r="L290" s="11"/>
      <c r="M290" s="11"/>
      <c r="N290" s="11"/>
      <c r="O290" s="20"/>
      <c r="P290" s="11"/>
      <c r="Q290" s="11"/>
      <c r="R290" s="11"/>
      <c r="S290" s="11"/>
      <c r="T290" s="20"/>
      <c r="U290" s="11"/>
    </row>
    <row r="291" spans="1:21">
      <c r="A291" s="20"/>
      <c r="B291" s="11"/>
      <c r="C291" s="11"/>
      <c r="D291" s="11"/>
      <c r="E291" s="11"/>
      <c r="F291" s="11"/>
      <c r="G291" s="11"/>
      <c r="H291" s="20"/>
      <c r="I291" s="11"/>
      <c r="J291" s="11"/>
      <c r="K291" s="11"/>
      <c r="L291" s="11"/>
      <c r="M291" s="11"/>
      <c r="N291" s="11"/>
      <c r="O291" s="20"/>
      <c r="P291" s="11"/>
      <c r="Q291" s="11"/>
      <c r="R291" s="11"/>
      <c r="S291" s="11"/>
      <c r="T291" s="20"/>
      <c r="U291" s="11"/>
    </row>
    <row r="292" spans="1:21">
      <c r="A292" s="20"/>
      <c r="B292" s="11"/>
      <c r="C292" s="11"/>
      <c r="D292" s="11"/>
      <c r="E292" s="11"/>
      <c r="F292" s="20"/>
      <c r="G292" s="11"/>
      <c r="H292" s="20"/>
      <c r="I292" s="11"/>
      <c r="J292" s="11"/>
      <c r="K292" s="11"/>
      <c r="L292" s="11"/>
      <c r="M292" s="20"/>
      <c r="N292" s="11"/>
      <c r="O292" s="20"/>
      <c r="P292" s="11"/>
      <c r="Q292" s="11"/>
      <c r="R292" s="11"/>
      <c r="S292" s="11"/>
      <c r="T292" s="20"/>
      <c r="U292" s="11"/>
    </row>
    <row r="293" spans="1:14">
      <c r="A293" s="20"/>
      <c r="B293" s="11"/>
      <c r="C293" s="11"/>
      <c r="D293" s="11"/>
      <c r="E293" s="11"/>
      <c r="F293" s="20"/>
      <c r="G293" s="11"/>
      <c r="H293" s="20"/>
      <c r="I293" s="11"/>
      <c r="J293" s="11"/>
      <c r="K293" s="11"/>
      <c r="L293" s="11"/>
      <c r="M293" s="20"/>
      <c r="N293" s="11"/>
    </row>
    <row r="294" spans="1:14">
      <c r="A294" s="20"/>
      <c r="B294" s="11"/>
      <c r="C294" s="11"/>
      <c r="D294" s="11"/>
      <c r="E294" s="11"/>
      <c r="F294" s="20"/>
      <c r="G294" s="11"/>
      <c r="H294" s="20"/>
      <c r="I294" s="11"/>
      <c r="J294" s="11"/>
      <c r="K294" s="11"/>
      <c r="L294" s="11"/>
      <c r="M294" s="20"/>
      <c r="N294" s="11"/>
    </row>
  </sheetData>
  <mergeCells count="2">
    <mergeCell ref="I24:L24"/>
    <mergeCell ref="T35:U35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4"/>
  <sheetViews>
    <sheetView topLeftCell="A28" workbookViewId="0">
      <selection activeCell="V61" sqref="V61"/>
    </sheetView>
  </sheetViews>
  <sheetFormatPr defaultColWidth="7.625" defaultRowHeight="15"/>
  <cols>
    <col min="1" max="21" width="8.625" style="17" customWidth="1"/>
    <col min="22" max="22" width="8.625" style="30" customWidth="1"/>
    <col min="23" max="23" width="8.625" style="36" customWidth="1"/>
    <col min="24" max="28" width="8.625" style="17" customWidth="1"/>
    <col min="29" max="29" width="7.625" style="17"/>
    <col min="30" max="16384" width="7.625" style="14"/>
  </cols>
  <sheetData>
    <row r="1" customHeight="1" spans="1:26">
      <c r="A1" s="11" t="str">
        <f>木桩!A1</f>
        <v>技能</v>
      </c>
      <c r="B1" s="11" t="str">
        <f>木桩!B1</f>
        <v>怒气</v>
      </c>
      <c r="C1" s="11" t="str">
        <f>木桩!C1</f>
        <v>实际系数</v>
      </c>
      <c r="D1" s="11" t="str">
        <f>木桩!D1</f>
        <v>基础伤害</v>
      </c>
      <c r="E1" s="11" t="str">
        <f>木桩!E1</f>
        <v>武伤系数</v>
      </c>
      <c r="F1" s="11" t="str">
        <f>木桩!F1</f>
        <v>伤害加成</v>
      </c>
      <c r="G1" s="11" t="str">
        <f>木桩!G1</f>
        <v>会心加成</v>
      </c>
      <c r="H1" s="11" t="str">
        <f>木桩!H1</f>
        <v>会效加成</v>
      </c>
      <c r="I1" s="11" t="s">
        <v>278</v>
      </c>
      <c r="J1" s="11" t="s">
        <v>26</v>
      </c>
      <c r="K1" s="11" t="s">
        <v>279</v>
      </c>
      <c r="L1" s="11" t="s">
        <v>36</v>
      </c>
      <c r="M1" s="11" t="s">
        <v>205</v>
      </c>
      <c r="N1" s="11" t="s">
        <v>15</v>
      </c>
      <c r="O1" s="11" t="s">
        <v>16</v>
      </c>
      <c r="P1" s="7" t="s">
        <v>280</v>
      </c>
      <c r="Q1" s="11" t="s">
        <v>75</v>
      </c>
      <c r="R1" s="11" t="s">
        <v>212</v>
      </c>
      <c r="S1" s="11" t="s">
        <v>213</v>
      </c>
      <c r="T1" s="20" t="s">
        <v>281</v>
      </c>
      <c r="U1" s="37" t="str">
        <f t="shared" ref="U1:V17" si="0">Y1</f>
        <v>实战属性</v>
      </c>
      <c r="V1" s="20"/>
      <c r="W1" s="41" t="str">
        <f>属性!H5</f>
        <v>裸buff属性</v>
      </c>
      <c r="X1" s="46"/>
      <c r="Y1" s="41" t="s">
        <v>197</v>
      </c>
      <c r="Z1" s="46"/>
    </row>
    <row r="2" customHeight="1" spans="1:27">
      <c r="A2" s="12" t="str">
        <f>木桩!A2</f>
        <v>昆吾·弦刃</v>
      </c>
      <c r="B2" s="11">
        <f>木桩!B2</f>
        <v>0</v>
      </c>
      <c r="C2" s="11">
        <f>木桩!C2</f>
        <v>0.854</v>
      </c>
      <c r="D2" s="11">
        <f>木桩!D2</f>
        <v>0</v>
      </c>
      <c r="E2" s="13">
        <f>木桩!E2</f>
        <v>0</v>
      </c>
      <c r="F2" s="13">
        <f ca="1">木桩!F2+Q$23</f>
        <v>0.0101333333333333</v>
      </c>
      <c r="G2" s="13">
        <f>木桩!G2</f>
        <v>0</v>
      </c>
      <c r="H2" s="13">
        <f>木桩!H2</f>
        <v>0</v>
      </c>
      <c r="I2" s="21">
        <f ca="1">(N:N*C:C+D:D+E:E*Q:Q)*(1+F:F)*(K:K*(L:L+H:H-1)+1-R:R-0.75*S:S)*(1+M:M)*INDEX($O$25:$O$29,MATCH($Q$27,$M$25:$M$29,))</f>
        <v>41934.9428989224</v>
      </c>
      <c r="J2" s="13">
        <f ca="1" t="shared" ref="J2:J18" si="1">INDEX(V:V,MATCH($1:$1,$U:$U,))+$G:$G</f>
        <v>0.433665199880085</v>
      </c>
      <c r="K2" s="15">
        <f ca="1" t="shared" ref="K2:K8" si="2">J:J+(0.211855500496661*J:J^6-0.937563819411654*J:J^5+1.77483619127542*J:J^4-1.89647323402313*J:J^3+1.2737744963305*J:J^2-0.565275505039552*J:J+0.164596522595162)*$D$28</f>
        <v>0.487805126715561</v>
      </c>
      <c r="L2" s="13">
        <f ca="1">INDEX(V2:V17,MATCH(1:1,U2:U17,))</f>
        <v>1.9433</v>
      </c>
      <c r="M2" s="13">
        <f ca="1">INDEX(V2:V17,MATCH(1:1,U2:U17,))</f>
        <v>0.902992590034019</v>
      </c>
      <c r="N2" s="21">
        <f ca="1">INDEX(V2:V17,MATCH(1:1,U2:U17,))+O:O*P:P</f>
        <v>17966.0152384615</v>
      </c>
      <c r="O2" s="21">
        <f ca="1">INDEX(V2:V17,MATCH(1:1,U2:U17,))</f>
        <v>7522.82307692308</v>
      </c>
      <c r="P2" s="40">
        <f t="shared" ref="P2:P8" si="3">60%+D$32*0.2*6/25+60%*(25+6*D$32)*(1+H$28)/H$27</f>
        <v>0.772</v>
      </c>
      <c r="Q2" s="21">
        <f ca="1">INDEX(V2:V17,MATCH(1:1,U2:U17,))</f>
        <v>751</v>
      </c>
      <c r="R2" s="13">
        <f ca="1">INDEX(V2:V17,MATCH(1:1,U2:U17,))</f>
        <v>0</v>
      </c>
      <c r="S2" s="13">
        <f ca="1">INDEX(V2:V17,MATCH(1:1,U2:U17,))</f>
        <v>0</v>
      </c>
      <c r="T2" s="20">
        <f>实战!T2</f>
        <v>45</v>
      </c>
      <c r="U2" s="20" t="str">
        <f t="shared" si="0"/>
        <v>身法</v>
      </c>
      <c r="V2" s="20">
        <f ca="1" t="shared" si="0"/>
        <v>1970.1</v>
      </c>
      <c r="W2" s="17" t="str">
        <f>属性!H6</f>
        <v>身法</v>
      </c>
      <c r="X2" s="17">
        <f>属性!I6</f>
        <v>1749</v>
      </c>
      <c r="Y2" s="17" t="s">
        <v>6</v>
      </c>
      <c r="Z2" s="17">
        <f ca="1">Z3*(1+G23)</f>
        <v>1970.1</v>
      </c>
      <c r="AA2" s="23"/>
    </row>
    <row r="3" customHeight="1" spans="1:27">
      <c r="A3" s="12" t="str">
        <f>木桩!A3</f>
        <v>昆吾·折锋</v>
      </c>
      <c r="B3" s="11">
        <f>木桩!B3</f>
        <v>0</v>
      </c>
      <c r="C3" s="14">
        <f>木桩!C3</f>
        <v>0.338</v>
      </c>
      <c r="D3" s="11">
        <f>木桩!D3</f>
        <v>0</v>
      </c>
      <c r="E3" s="13">
        <f>木桩!E3</f>
        <v>0</v>
      </c>
      <c r="F3" s="13">
        <f ca="1">木桩!F3+Q$23</f>
        <v>0.0101333333333333</v>
      </c>
      <c r="G3" s="13">
        <f>木桩!G3</f>
        <v>0</v>
      </c>
      <c r="H3" s="13">
        <f>木桩!H3</f>
        <v>0</v>
      </c>
      <c r="I3" s="21">
        <f ca="1" t="shared" ref="I3:I18" si="4">(N:N*C:C+D:D+E:E*Q:Q)*(1+F:F)*(K:K*(L:L+H:H-1)+1-R:R-0.75*S:S)*(1+M:M)*INDEX($O$25:$O$29,MATCH($Q$27,$M$25:$M$29,))</f>
        <v>16597.202224632</v>
      </c>
      <c r="J3" s="13">
        <f ca="1" t="shared" si="1"/>
        <v>0.433665199880085</v>
      </c>
      <c r="K3" s="15">
        <f ca="1" t="shared" si="2"/>
        <v>0.487805126715561</v>
      </c>
      <c r="L3" s="13">
        <f ca="1">INDEX(V2:V17,MATCH(1:1,U2:U17,))</f>
        <v>1.9433</v>
      </c>
      <c r="M3" s="13">
        <f ca="1">INDEX(V2:V17,MATCH(1:1,U2:U17,))</f>
        <v>0.902992590034019</v>
      </c>
      <c r="N3" s="21">
        <f ca="1">INDEX(V2:V17,MATCH(1:1,U2:U17,))+O:O*P:P</f>
        <v>17966.0152384615</v>
      </c>
      <c r="O3" s="21">
        <f ca="1">INDEX(V2:V17,MATCH(1:1,U2:U17,))</f>
        <v>7522.82307692308</v>
      </c>
      <c r="P3" s="40">
        <f t="shared" si="3"/>
        <v>0.772</v>
      </c>
      <c r="Q3" s="21">
        <f ca="1">INDEX(V2:V17,MATCH(1:1,U2:U17,))</f>
        <v>751</v>
      </c>
      <c r="R3" s="13">
        <f ca="1">INDEX(V2:V17,MATCH(1:1,U2:U17,))</f>
        <v>0</v>
      </c>
      <c r="S3" s="13">
        <f ca="1">INDEX(V2:V17,MATCH(1:1,U2:U17,))</f>
        <v>0</v>
      </c>
      <c r="T3" s="20">
        <f>实战!T3</f>
        <v>20</v>
      </c>
      <c r="U3" s="20" t="str">
        <f t="shared" si="0"/>
        <v>基础身法</v>
      </c>
      <c r="V3" s="20">
        <f ca="1" t="shared" si="0"/>
        <v>1791</v>
      </c>
      <c r="W3" s="17" t="str">
        <f>属性!H7</f>
        <v>基础身法</v>
      </c>
      <c r="X3" s="17">
        <f>属性!I7</f>
        <v>1590</v>
      </c>
      <c r="Y3" s="17" t="s">
        <v>201</v>
      </c>
      <c r="Z3" s="17">
        <f ca="1">X3+G21</f>
        <v>1791</v>
      </c>
      <c r="AA3" s="23"/>
    </row>
    <row r="4" customHeight="1" spans="1:27">
      <c r="A4" s="12" t="str">
        <f>木桩!A4</f>
        <v>盾刀1</v>
      </c>
      <c r="B4" s="11">
        <f>木桩!B4</f>
        <v>5</v>
      </c>
      <c r="C4" s="11">
        <f>木桩!C4</f>
        <v>0.656</v>
      </c>
      <c r="D4" s="11">
        <f>木桩!D4</f>
        <v>137.5</v>
      </c>
      <c r="E4" s="13">
        <f>木桩!E4</f>
        <v>1</v>
      </c>
      <c r="F4" s="13">
        <f ca="1">木桩!F4+Q$23</f>
        <v>0.130133333333333</v>
      </c>
      <c r="G4" s="13">
        <f>木桩!G4</f>
        <v>0</v>
      </c>
      <c r="H4" s="13">
        <f>木桩!H4</f>
        <v>0</v>
      </c>
      <c r="I4" s="21">
        <f ca="1" t="shared" si="4"/>
        <v>38755.9302089252</v>
      </c>
      <c r="J4" s="13">
        <f ca="1" t="shared" si="1"/>
        <v>0.433665199880085</v>
      </c>
      <c r="K4" s="15">
        <f ca="1" t="shared" si="2"/>
        <v>0.487805126715561</v>
      </c>
      <c r="L4" s="13">
        <f ca="1">INDEX(V2:V17,MATCH(1:1,U2:U17,))</f>
        <v>1.9433</v>
      </c>
      <c r="M4" s="13">
        <f ca="1">INDEX(V2:V17,MATCH(1:1,U2:U17,))</f>
        <v>0.902992590034019</v>
      </c>
      <c r="N4" s="21">
        <f ca="1">INDEX(V2:V17,MATCH(1:1,U2:U17,))+O:O*P:P</f>
        <v>17966.0152384615</v>
      </c>
      <c r="O4" s="21">
        <f ca="1">INDEX(V2:V17,MATCH(1:1,U2:U17,))</f>
        <v>7522.82307692308</v>
      </c>
      <c r="P4" s="40">
        <f t="shared" si="3"/>
        <v>0.772</v>
      </c>
      <c r="Q4" s="21">
        <f ca="1">INDEX(V2:V17,MATCH(1:1,U2:U17,))</f>
        <v>751</v>
      </c>
      <c r="R4" s="13">
        <f ca="1">INDEX(V2:V17,MATCH(1:1,U2:U17,))</f>
        <v>0</v>
      </c>
      <c r="S4" s="13">
        <f ca="1">INDEX(V2:V17,MATCH(1:1,U2:U17,))</f>
        <v>0</v>
      </c>
      <c r="T4" s="20">
        <f>1-Q25/16</f>
        <v>0.9375</v>
      </c>
      <c r="U4" s="20" t="str">
        <f t="shared" si="0"/>
        <v>力道</v>
      </c>
      <c r="V4" s="20">
        <f ca="1" t="shared" si="0"/>
        <v>84</v>
      </c>
      <c r="W4" s="17" t="str">
        <f>属性!H8</f>
        <v>力道</v>
      </c>
      <c r="X4" s="17">
        <f>属性!I8</f>
        <v>32</v>
      </c>
      <c r="Y4" s="17" t="s">
        <v>191</v>
      </c>
      <c r="Z4" s="17">
        <f ca="1">(X4+H21)*(1+H23)</f>
        <v>84</v>
      </c>
      <c r="AA4" s="23"/>
    </row>
    <row r="5" customHeight="1" spans="1:27">
      <c r="A5" s="12" t="str">
        <f>木桩!A5</f>
        <v>废弃栏</v>
      </c>
      <c r="B5" s="11">
        <f>木桩!B5</f>
        <v>5</v>
      </c>
      <c r="C5" s="11">
        <f>木桩!C5</f>
        <v>0.9375</v>
      </c>
      <c r="D5" s="11">
        <f>木桩!D5</f>
        <v>137.5</v>
      </c>
      <c r="E5" s="13">
        <f>木桩!E5</f>
        <v>1</v>
      </c>
      <c r="F5" s="13">
        <f ca="1">木桩!F5+Q$23</f>
        <v>0.130133333333333</v>
      </c>
      <c r="G5" s="13">
        <f>木桩!G5</f>
        <v>0</v>
      </c>
      <c r="H5" s="13">
        <f>木桩!H5</f>
        <v>0</v>
      </c>
      <c r="I5" s="21">
        <f ca="1" t="shared" si="4"/>
        <v>54220.8462489733</v>
      </c>
      <c r="J5" s="13">
        <f ca="1" t="shared" si="1"/>
        <v>0.433665199880085</v>
      </c>
      <c r="K5" s="15">
        <f ca="1" t="shared" si="2"/>
        <v>0.487805126715561</v>
      </c>
      <c r="L5" s="13">
        <f ca="1">INDEX(V2:V17,MATCH(1:1,U2:U17,))</f>
        <v>1.9433</v>
      </c>
      <c r="M5" s="13">
        <f ca="1">INDEX(V2:V17,MATCH(1:1,U2:U17,))</f>
        <v>0.902992590034019</v>
      </c>
      <c r="N5" s="21">
        <f ca="1">INDEX(V2:V17,MATCH(1:1,U2:U17,))+O:O*P:P</f>
        <v>17966.0152384615</v>
      </c>
      <c r="O5" s="21">
        <f ca="1">INDEX(V2:V17,MATCH(1:1,U2:U17,))</f>
        <v>7522.82307692308</v>
      </c>
      <c r="P5" s="40">
        <f t="shared" si="3"/>
        <v>0.772</v>
      </c>
      <c r="Q5" s="21">
        <f ca="1">INDEX(V2:V17,MATCH(1:1,U2:U17,))</f>
        <v>751</v>
      </c>
      <c r="R5" s="13">
        <f ca="1">INDEX(V2:V17,MATCH(1:1,U2:U17,))</f>
        <v>0</v>
      </c>
      <c r="S5" s="13">
        <f ca="1">INDEX(V2:V17,MATCH(1:1,U2:U17,))</f>
        <v>0</v>
      </c>
      <c r="T5" s="20">
        <f>1-Q26/16</f>
        <v>0.875</v>
      </c>
      <c r="U5" s="20" t="str">
        <f t="shared" si="0"/>
        <v>面板攻击</v>
      </c>
      <c r="V5" s="20">
        <f ca="1" t="shared" si="0"/>
        <v>12158.3958230769</v>
      </c>
      <c r="W5" s="17" t="str">
        <f>属性!H9</f>
        <v>面板攻击</v>
      </c>
      <c r="X5" s="17">
        <f>属性!I9</f>
        <v>12484</v>
      </c>
      <c r="Y5" s="17" t="s">
        <v>15</v>
      </c>
      <c r="Z5" s="17">
        <f ca="1">Z6*(1+I23)+Z2*L26</f>
        <v>12158.3958230769</v>
      </c>
      <c r="AA5" s="23"/>
    </row>
    <row r="6" customHeight="1" spans="1:27">
      <c r="A6" s="12" t="str">
        <f>木桩!A6</f>
        <v>盾击</v>
      </c>
      <c r="B6" s="11">
        <f>木桩!B6</f>
        <v>5</v>
      </c>
      <c r="C6" s="11">
        <f>木桩!C6</f>
        <v>0.625</v>
      </c>
      <c r="D6" s="11">
        <f>木桩!D6</f>
        <v>109</v>
      </c>
      <c r="E6" s="13">
        <f>木桩!E6</f>
        <v>1</v>
      </c>
      <c r="F6" s="13">
        <f ca="1">木桩!F6+Q$23</f>
        <v>0.0101333333333333</v>
      </c>
      <c r="G6" s="13">
        <f>木桩!G6</f>
        <v>0</v>
      </c>
      <c r="H6" s="13">
        <f>木桩!H6</f>
        <v>0</v>
      </c>
      <c r="I6" s="21">
        <f ca="1" t="shared" si="4"/>
        <v>33040.6178610891</v>
      </c>
      <c r="J6" s="13">
        <f ca="1" t="shared" si="1"/>
        <v>0.433665199880085</v>
      </c>
      <c r="K6" s="15">
        <f ca="1" t="shared" si="2"/>
        <v>0.487805126715561</v>
      </c>
      <c r="L6" s="13">
        <f ca="1">INDEX(V2:V17,MATCH(1:1,U2:U17,))</f>
        <v>1.9433</v>
      </c>
      <c r="M6" s="13">
        <f ca="1">INDEX(V2:V17,MATCH(1:1,U2:U17,))</f>
        <v>0.902992590034019</v>
      </c>
      <c r="N6" s="21">
        <f ca="1">INDEX(V2:V17,MATCH(1:1,U2:U17,))+O:O*P:P</f>
        <v>17966.0152384615</v>
      </c>
      <c r="O6" s="21">
        <f ca="1">INDEX(V2:V17,MATCH(1:1,U2:U17,))</f>
        <v>7522.82307692308</v>
      </c>
      <c r="P6" s="40">
        <f t="shared" si="3"/>
        <v>0.772</v>
      </c>
      <c r="Q6" s="21">
        <f ca="1">INDEX(V2:V17,MATCH(1:1,U2:U17,))</f>
        <v>751</v>
      </c>
      <c r="R6" s="13">
        <f ca="1">INDEX(V2:V17,MATCH(1:1,U2:U17,))</f>
        <v>0</v>
      </c>
      <c r="S6" s="13">
        <f ca="1">INDEX(V2:V17,MATCH(1:1,U2:U17,))</f>
        <v>0</v>
      </c>
      <c r="T6" s="20">
        <f>1-Q25/16</f>
        <v>0.9375</v>
      </c>
      <c r="U6" s="20" t="str">
        <f t="shared" si="0"/>
        <v>基础攻击</v>
      </c>
      <c r="V6" s="20">
        <f ca="1" t="shared" si="0"/>
        <v>7522.82307692308</v>
      </c>
      <c r="W6" s="17" t="str">
        <f>属性!H10</f>
        <v>基础攻击</v>
      </c>
      <c r="X6" s="17">
        <f>属性!I10</f>
        <v>7315.92307692308</v>
      </c>
      <c r="Y6" s="17" t="s">
        <v>16</v>
      </c>
      <c r="Z6" s="17">
        <f ca="1">X6+I21+L28*(Z4-X4)</f>
        <v>7522.82307692308</v>
      </c>
      <c r="AA6" s="23"/>
    </row>
    <row r="7" customHeight="1" spans="1:27">
      <c r="A7" s="12" t="str">
        <f>木桩!A7</f>
        <v>盾压</v>
      </c>
      <c r="B7" s="11">
        <f>木桩!B7</f>
        <v>15</v>
      </c>
      <c r="C7" s="11">
        <f>木桩!C7</f>
        <v>1.243</v>
      </c>
      <c r="D7" s="11">
        <f>木桩!D7</f>
        <v>211</v>
      </c>
      <c r="E7" s="13">
        <f>木桩!E7</f>
        <v>1</v>
      </c>
      <c r="F7" s="13">
        <f ca="1">木桩!F7+Q$23</f>
        <v>0.200133333333333</v>
      </c>
      <c r="G7" s="13">
        <f>木桩!G7</f>
        <v>0.07</v>
      </c>
      <c r="H7" s="13">
        <f>木桩!H7</f>
        <v>0</v>
      </c>
      <c r="I7" s="21">
        <f ca="1" t="shared" si="4"/>
        <v>78761.0983749938</v>
      </c>
      <c r="J7" s="13">
        <f ca="1" t="shared" si="1"/>
        <v>0.503665199880085</v>
      </c>
      <c r="K7" s="15">
        <f ca="1" t="shared" si="2"/>
        <v>0.551656521857724</v>
      </c>
      <c r="L7" s="13">
        <f ca="1">INDEX(V2:V17,MATCH(1:1,U2:U17,))</f>
        <v>1.9433</v>
      </c>
      <c r="M7" s="13">
        <f ca="1">INDEX(V2:V17,MATCH(1:1,U2:U17,))</f>
        <v>0.902992590034019</v>
      </c>
      <c r="N7" s="21">
        <f ca="1">INDEX(V2:V17,MATCH(1:1,U2:U17,))+O:O*P:P</f>
        <v>17966.0152384615</v>
      </c>
      <c r="O7" s="21">
        <f ca="1">INDEX(V2:V17,MATCH(1:1,U2:U17,))</f>
        <v>7522.82307692308</v>
      </c>
      <c r="P7" s="40">
        <f t="shared" si="3"/>
        <v>0.772</v>
      </c>
      <c r="Q7" s="21">
        <f ca="1">INDEX(V2:V17,MATCH(1:1,U2:U17,))</f>
        <v>751</v>
      </c>
      <c r="R7" s="13">
        <f ca="1">INDEX(V2:V17,MATCH(1:1,U2:U17,))</f>
        <v>0</v>
      </c>
      <c r="S7" s="13">
        <f ca="1">INDEX(V2:V17,MATCH(1:1,U2:U17,))</f>
        <v>0</v>
      </c>
      <c r="T7" s="20">
        <f>1.5-Q24/16</f>
        <v>1.375</v>
      </c>
      <c r="U7" s="20" t="str">
        <f t="shared" si="0"/>
        <v>会心</v>
      </c>
      <c r="V7" s="20">
        <f ca="1" t="shared" si="0"/>
        <v>0.433665199880085</v>
      </c>
      <c r="W7" s="17" t="str">
        <f>属性!H11</f>
        <v>会心</v>
      </c>
      <c r="X7" s="17">
        <f>属性!I11</f>
        <v>0.2668</v>
      </c>
      <c r="Y7" s="17" t="s">
        <v>26</v>
      </c>
      <c r="Z7" s="17">
        <f ca="1">X7+K21/J25+(Z2-X2)*L29/J25+K23</f>
        <v>0.433665199880085</v>
      </c>
      <c r="AA7" s="23"/>
    </row>
    <row r="8" customHeight="1" spans="1:27">
      <c r="A8" s="12" t="str">
        <f>木桩!A8</f>
        <v>盾猛</v>
      </c>
      <c r="B8" s="11">
        <f>木桩!B8</f>
        <v>15</v>
      </c>
      <c r="C8" s="11">
        <f>木桩!C8</f>
        <v>2.4525</v>
      </c>
      <c r="D8" s="11">
        <f>木桩!D8</f>
        <v>340</v>
      </c>
      <c r="E8" s="13">
        <f>木桩!E8</f>
        <v>1</v>
      </c>
      <c r="F8" s="13">
        <f ca="1">木桩!F8+Q$23</f>
        <v>0.0101333333333333</v>
      </c>
      <c r="G8" s="13">
        <f>木桩!G8</f>
        <v>0.1</v>
      </c>
      <c r="H8" s="13">
        <f>木桩!H8</f>
        <v>0.1</v>
      </c>
      <c r="I8" s="21">
        <f ca="1" t="shared" si="4"/>
        <v>135608.640686982</v>
      </c>
      <c r="J8" s="13">
        <f ca="1" t="shared" si="1"/>
        <v>0.533665199880085</v>
      </c>
      <c r="K8" s="15">
        <f ca="1" t="shared" si="2"/>
        <v>0.579391677895563</v>
      </c>
      <c r="L8" s="13">
        <f ca="1">INDEX(V2:V17,MATCH(1:1,U2:U17,))</f>
        <v>1.9433</v>
      </c>
      <c r="M8" s="13">
        <f ca="1">INDEX(V2:V17,MATCH(1:1,U2:U17,))</f>
        <v>0.902992590034019</v>
      </c>
      <c r="N8" s="21">
        <f ca="1">INDEX(V2:V17,MATCH(1:1,U2:U17,))+O:O*P:P</f>
        <v>17966.0152384615</v>
      </c>
      <c r="O8" s="21">
        <f ca="1">INDEX(V2:V17,MATCH(1:1,U2:U17,))</f>
        <v>7522.82307692308</v>
      </c>
      <c r="P8" s="40">
        <f t="shared" si="3"/>
        <v>0.772</v>
      </c>
      <c r="Q8" s="21">
        <f ca="1">INDEX(V2:V17,MATCH(1:1,U2:U17,))</f>
        <v>751</v>
      </c>
      <c r="R8" s="13">
        <f ca="1">INDEX(V2:V17,MATCH(1:1,U2:U17,))</f>
        <v>0</v>
      </c>
      <c r="S8" s="13">
        <f ca="1">INDEX(V2:V17,MATCH(1:1,U2:U17,))</f>
        <v>0</v>
      </c>
      <c r="T8" s="20">
        <f>1.5-Q24/16</f>
        <v>1.375</v>
      </c>
      <c r="U8" s="20" t="str">
        <f t="shared" si="0"/>
        <v>会效</v>
      </c>
      <c r="V8" s="20">
        <f ca="1" t="shared" si="0"/>
        <v>1.9433</v>
      </c>
      <c r="W8" s="17" t="str">
        <f>属性!H12</f>
        <v>会效</v>
      </c>
      <c r="X8" s="17">
        <f>属性!I12</f>
        <v>1.8533</v>
      </c>
      <c r="Y8" s="17" t="s">
        <v>36</v>
      </c>
      <c r="Z8" s="17">
        <f ca="1">X8+(L21+(Z2-X2)*L30)/J26+L23</f>
        <v>1.9433</v>
      </c>
      <c r="AA8" s="23"/>
    </row>
    <row r="9" customHeight="1" spans="1:27">
      <c r="A9" s="12" t="str">
        <f>木桩!A9</f>
        <v>盾飞</v>
      </c>
      <c r="B9" s="11">
        <f>木桩!B9</f>
        <v>0</v>
      </c>
      <c r="C9" s="11">
        <f>木桩!C9</f>
        <v>0.168</v>
      </c>
      <c r="D9" s="11">
        <f>木桩!D9</f>
        <v>25</v>
      </c>
      <c r="E9" s="13">
        <f>木桩!E9</f>
        <v>1</v>
      </c>
      <c r="F9" s="13">
        <f ca="1">木桩!F9+Q$23</f>
        <v>0.130133333333333</v>
      </c>
      <c r="G9" s="13">
        <f>木桩!G9</f>
        <v>0.05</v>
      </c>
      <c r="H9" s="13">
        <f>木桩!H9</f>
        <v>0</v>
      </c>
      <c r="I9" s="21">
        <f ca="1" t="shared" si="4"/>
        <v>12530.7504646957</v>
      </c>
      <c r="J9" s="13">
        <f ca="1" t="shared" si="1"/>
        <v>0.483665199880085</v>
      </c>
      <c r="K9" s="15">
        <f ca="1" t="shared" ref="K9:K14" si="5">J:J+K$19</f>
        <v>0.532106492123557</v>
      </c>
      <c r="L9" s="13">
        <f ca="1">INDEX(V2:V17,MATCH(1:1,U2:U17,))</f>
        <v>1.9433</v>
      </c>
      <c r="M9" s="13">
        <f ca="1">INDEX(V2:V17,MATCH(1:1,U2:U17,))</f>
        <v>0.902992590034019</v>
      </c>
      <c r="N9" s="21">
        <f ca="1">INDEX(V2:V17,MATCH(1:1,U2:U17,))+O:O*P:P</f>
        <v>19094.4387</v>
      </c>
      <c r="O9" s="21">
        <f ca="1">INDEX(V2:V17,MATCH(1:1,U2:U17,))</f>
        <v>7522.82307692308</v>
      </c>
      <c r="P9" s="40">
        <f t="shared" ref="P9:P14" si="6">60%+D$32*0.2*6/25+0.15*D$21+60%*(25+6*D$32)*(1+H$28)/H$27</f>
        <v>0.922</v>
      </c>
      <c r="Q9" s="21">
        <f ca="1">INDEX(V2:V17,MATCH(1:1,U2:U17,))</f>
        <v>751</v>
      </c>
      <c r="R9" s="13">
        <f ca="1">INDEX(V2:V17,MATCH(1:1,U2:U17,))</f>
        <v>0</v>
      </c>
      <c r="S9" s="13">
        <f ca="1">INDEX(V2:V17,MATCH(1:1,U2:U17,))</f>
        <v>0</v>
      </c>
      <c r="T9" s="20">
        <f>1.5-Q24/16</f>
        <v>1.375</v>
      </c>
      <c r="U9" s="20" t="str">
        <f t="shared" si="0"/>
        <v>破防值</v>
      </c>
      <c r="V9" s="20">
        <f ca="1">Z9</f>
        <v>13855.6989</v>
      </c>
      <c r="W9" s="17" t="str">
        <f>属性!H13</f>
        <v>破防值</v>
      </c>
      <c r="X9" s="17">
        <f>属性!I13</f>
        <v>7718.1326</v>
      </c>
      <c r="Y9" s="17" t="s">
        <v>206</v>
      </c>
      <c r="Z9" s="17">
        <f ca="1">Z10*(1+O23)</f>
        <v>13855.6989</v>
      </c>
      <c r="AA9" s="23"/>
    </row>
    <row r="10" customHeight="1" spans="1:27">
      <c r="A10" s="12" t="str">
        <f>木桩!A10</f>
        <v>劫刀</v>
      </c>
      <c r="B10" s="11">
        <f>木桩!B10</f>
        <v>-5</v>
      </c>
      <c r="C10" s="11">
        <f>木桩!C10</f>
        <v>1.1</v>
      </c>
      <c r="D10" s="11">
        <f>木桩!D10</f>
        <v>124.5</v>
      </c>
      <c r="E10" s="13">
        <f>木桩!E10</f>
        <v>1</v>
      </c>
      <c r="F10" s="13">
        <f ca="1">木桩!F10+Q$23</f>
        <v>0.230133333333333</v>
      </c>
      <c r="G10" s="13">
        <f>木桩!G10</f>
        <v>0.15</v>
      </c>
      <c r="H10" s="13">
        <f>木桩!H10</f>
        <v>0.15</v>
      </c>
      <c r="I10" s="21">
        <f ca="1" t="shared" si="4"/>
        <v>84341.8625974897</v>
      </c>
      <c r="J10" s="13">
        <f ca="1" t="shared" si="1"/>
        <v>0.583665199880085</v>
      </c>
      <c r="K10" s="15">
        <f ca="1" t="shared" si="5"/>
        <v>0.632106492123557</v>
      </c>
      <c r="L10" s="13">
        <f ca="1">INDEX(V2:V17,MATCH(1:1,U2:U17,))</f>
        <v>1.9433</v>
      </c>
      <c r="M10" s="13">
        <f ca="1">INDEX(V2:V17,MATCH(1:1,U2:U17,))</f>
        <v>0.902992590034019</v>
      </c>
      <c r="N10" s="21">
        <f ca="1">INDEX(V2:V17,MATCH(1:1,U2:U17,))+O:O*P:P</f>
        <v>19094.4387</v>
      </c>
      <c r="O10" s="21">
        <f ca="1">INDEX(V2:V17,MATCH(1:1,U2:U17,))</f>
        <v>7522.82307692308</v>
      </c>
      <c r="P10" s="40">
        <f t="shared" si="6"/>
        <v>0.922</v>
      </c>
      <c r="Q10" s="21">
        <f ca="1">INDEX(V2:V17,MATCH(1:1,U2:U17,))</f>
        <v>751</v>
      </c>
      <c r="R10" s="13">
        <f ca="1">INDEX(V2:V17,MATCH(1:1,U2:U17,))</f>
        <v>0</v>
      </c>
      <c r="S10" s="13">
        <f ca="1">INDEX(V2:V17,MATCH(1:1,U2:U17,))</f>
        <v>0</v>
      </c>
      <c r="T10" s="20">
        <f>1.5-Q24/16</f>
        <v>1.375</v>
      </c>
      <c r="U10" s="20" t="str">
        <f t="shared" si="0"/>
        <v>基础破防</v>
      </c>
      <c r="V10" s="20">
        <f ca="1">Z10</f>
        <v>9237.1326</v>
      </c>
      <c r="W10" s="17" t="str">
        <f>属性!H14</f>
        <v>基础破防</v>
      </c>
      <c r="X10" s="17">
        <f>属性!I14</f>
        <v>7718.1326</v>
      </c>
      <c r="Y10" s="17" t="s">
        <v>47</v>
      </c>
      <c r="Z10" s="17">
        <f ca="1">X10+O21+(Z4-X4)*L27</f>
        <v>9237.1326</v>
      </c>
      <c r="AA10" s="23"/>
    </row>
    <row r="11" customHeight="1" spans="1:27">
      <c r="A11" s="12" t="str">
        <f>木桩!A11</f>
        <v>斩刀</v>
      </c>
      <c r="B11" s="11">
        <f>木桩!B11</f>
        <v>-15</v>
      </c>
      <c r="C11" s="11">
        <f>木桩!C11</f>
        <v>1.193</v>
      </c>
      <c r="D11" s="11">
        <f>木桩!D11</f>
        <v>233</v>
      </c>
      <c r="E11" s="13">
        <f>木桩!E11</f>
        <v>1</v>
      </c>
      <c r="F11" s="13">
        <f ca="1">木桩!F11+Q$23</f>
        <v>0.180133333333333</v>
      </c>
      <c r="G11" s="13">
        <f>木桩!G11</f>
        <v>0.04</v>
      </c>
      <c r="H11" s="13">
        <f>木桩!H11</f>
        <v>0</v>
      </c>
      <c r="I11" s="21">
        <f ca="1" t="shared" si="4"/>
        <v>77562.3570832949</v>
      </c>
      <c r="J11" s="13">
        <f ca="1" t="shared" si="1"/>
        <v>0.473665199880085</v>
      </c>
      <c r="K11" s="15">
        <f ca="1" t="shared" si="5"/>
        <v>0.522106492123557</v>
      </c>
      <c r="L11" s="13">
        <f ca="1">INDEX(V2:V17,MATCH(1:1,U2:U17,))</f>
        <v>1.9433</v>
      </c>
      <c r="M11" s="13">
        <f ca="1">INDEX(V2:V17,MATCH(1:1,U2:U17,))</f>
        <v>0.902992590034019</v>
      </c>
      <c r="N11" s="21">
        <f ca="1">INDEX(V2:V17,MATCH(1:1,U2:U17,))+O:O*P:P</f>
        <v>19094.4387</v>
      </c>
      <c r="O11" s="21">
        <f ca="1">INDEX(V2:V17,MATCH(1:1,U2:U17,))</f>
        <v>7522.82307692308</v>
      </c>
      <c r="P11" s="40">
        <f t="shared" si="6"/>
        <v>0.922</v>
      </c>
      <c r="Q11" s="21">
        <f ca="1">INDEX(V2:V17,MATCH(1:1,U2:U17,))</f>
        <v>751</v>
      </c>
      <c r="R11" s="13">
        <f ca="1">INDEX(V2:V17,MATCH(1:1,U2:U17,))</f>
        <v>0</v>
      </c>
      <c r="S11" s="13">
        <f ca="1">INDEX(V2:V17,MATCH(1:1,U2:U17,))</f>
        <v>0</v>
      </c>
      <c r="T11" s="20">
        <f>1.5-Q24/16</f>
        <v>1.375</v>
      </c>
      <c r="U11" s="20" t="str">
        <f t="shared" si="0"/>
        <v>破防</v>
      </c>
      <c r="V11" s="20">
        <f ca="1" t="shared" si="0"/>
        <v>0.902992590034019</v>
      </c>
      <c r="W11" s="17" t="str">
        <f>属性!H15</f>
        <v>破防</v>
      </c>
      <c r="X11" s="17">
        <f>属性!I15</f>
        <v>0.503</v>
      </c>
      <c r="Y11" s="17" t="s">
        <v>205</v>
      </c>
      <c r="Z11" s="17">
        <f ca="1">Z9/J30</f>
        <v>0.902992590034019</v>
      </c>
      <c r="AA11" s="23"/>
    </row>
    <row r="12" customHeight="1" spans="1:27">
      <c r="A12" s="12" t="str">
        <f>木桩!A12</f>
        <v>闪刀</v>
      </c>
      <c r="B12" s="11">
        <f>木桩!B12</f>
        <v>-15</v>
      </c>
      <c r="C12" s="11">
        <f>木桩!C12</f>
        <v>0.9</v>
      </c>
      <c r="D12" s="11">
        <f>木桩!D12</f>
        <v>157.5</v>
      </c>
      <c r="E12" s="13">
        <f>木桩!E12</f>
        <v>1</v>
      </c>
      <c r="F12" s="13">
        <f ca="1">木桩!F12+Q$23</f>
        <v>0.0101333333333333</v>
      </c>
      <c r="G12" s="13">
        <f>木桩!G12</f>
        <v>0</v>
      </c>
      <c r="H12" s="13">
        <f>木桩!H12</f>
        <v>0</v>
      </c>
      <c r="I12" s="21">
        <f ca="1" t="shared" si="4"/>
        <v>49270.5124240323</v>
      </c>
      <c r="J12" s="13">
        <f ca="1" t="shared" si="1"/>
        <v>0.433665199880085</v>
      </c>
      <c r="K12" s="15">
        <f ca="1" t="shared" si="5"/>
        <v>0.482106492123557</v>
      </c>
      <c r="L12" s="13">
        <f ca="1">INDEX(V2:V17,MATCH(1:1,U2:U17,))</f>
        <v>1.9433</v>
      </c>
      <c r="M12" s="13">
        <f ca="1">INDEX(V2:V17,MATCH(1:1,U2:U17,))</f>
        <v>0.902992590034019</v>
      </c>
      <c r="N12" s="21">
        <f ca="1">INDEX(V2:V17,MATCH(1:1,U2:U17,))+O:O*P:P</f>
        <v>19094.4387</v>
      </c>
      <c r="O12" s="21">
        <f ca="1">INDEX(V2:V17,MATCH(1:1,U2:U17,))</f>
        <v>7522.82307692308</v>
      </c>
      <c r="P12" s="40">
        <f t="shared" si="6"/>
        <v>0.922</v>
      </c>
      <c r="Q12" s="21">
        <f ca="1">INDEX(V2:V17,MATCH(1:1,U2:U17,))</f>
        <v>751</v>
      </c>
      <c r="R12" s="13">
        <f ca="1">INDEX(V2:V17,MATCH(1:1,U2:U17,))</f>
        <v>0</v>
      </c>
      <c r="S12" s="13">
        <f ca="1">INDEX(V2:V17,MATCH(1:1,U2:U17,))</f>
        <v>0</v>
      </c>
      <c r="T12" s="20">
        <f>1.5-Q24/16</f>
        <v>1.375</v>
      </c>
      <c r="U12" s="20" t="str">
        <f t="shared" si="0"/>
        <v>加速</v>
      </c>
      <c r="V12" s="20">
        <f t="shared" si="0"/>
        <v>828</v>
      </c>
      <c r="W12" s="17" t="str">
        <f>属性!H16</f>
        <v>加速</v>
      </c>
      <c r="X12" s="17">
        <f>属性!I16</f>
        <v>828</v>
      </c>
      <c r="Y12" s="17" t="s">
        <v>83</v>
      </c>
      <c r="Z12" s="17">
        <f>X12</f>
        <v>828</v>
      </c>
      <c r="AA12" s="23"/>
    </row>
    <row r="13" customHeight="1" spans="1:27">
      <c r="A13" s="12" t="str">
        <f>木桩!A13</f>
        <v>绝刀</v>
      </c>
      <c r="B13" s="11">
        <f>木桩!B13</f>
        <v>0</v>
      </c>
      <c r="C13" s="11">
        <f>木桩!C13</f>
        <v>1.211</v>
      </c>
      <c r="D13" s="11">
        <f>木桩!D13</f>
        <v>186</v>
      </c>
      <c r="E13" s="13">
        <f>木桩!E13</f>
        <v>1</v>
      </c>
      <c r="F13" s="13">
        <f ca="1">木桩!F13+Q$23</f>
        <v>0.500133333333333</v>
      </c>
      <c r="G13" s="13">
        <f>木桩!G13</f>
        <v>0.04</v>
      </c>
      <c r="H13" s="13">
        <f>木桩!H13</f>
        <v>0</v>
      </c>
      <c r="I13" s="21">
        <f ca="1" t="shared" si="4"/>
        <v>99824.8279941317</v>
      </c>
      <c r="J13" s="13">
        <f ca="1" t="shared" si="1"/>
        <v>0.473665199880085</v>
      </c>
      <c r="K13" s="15">
        <f ca="1" t="shared" si="5"/>
        <v>0.522106492123557</v>
      </c>
      <c r="L13" s="13">
        <f ca="1">INDEX(V2:V17,MATCH(1:1,U2:U17,))</f>
        <v>1.9433</v>
      </c>
      <c r="M13" s="13">
        <f ca="1">INDEX(V2:V17,MATCH(1:1,U2:U17,))</f>
        <v>0.902992590034019</v>
      </c>
      <c r="N13" s="21">
        <f ca="1">INDEX(V2:V17,MATCH(1:1,U2:U17,))+O:O*P:P</f>
        <v>19094.4387</v>
      </c>
      <c r="O13" s="21">
        <f ca="1">INDEX(V2:V17,MATCH(1:1,U2:U17,))</f>
        <v>7522.82307692308</v>
      </c>
      <c r="P13" s="40">
        <f t="shared" si="6"/>
        <v>0.922</v>
      </c>
      <c r="Q13" s="21">
        <f ca="1">INDEX(V2:V17,MATCH(1:1,U2:U17,))</f>
        <v>751</v>
      </c>
      <c r="R13" s="13">
        <f ca="1">INDEX(V2:V17,MATCH(1:1,U2:U17,))</f>
        <v>0</v>
      </c>
      <c r="S13" s="13">
        <f ca="1">INDEX(V2:V17,MATCH(1:1,U2:U17,))</f>
        <v>0</v>
      </c>
      <c r="T13" s="20">
        <f>1.5-Q24/16</f>
        <v>1.375</v>
      </c>
      <c r="U13" s="20" t="str">
        <f t="shared" si="0"/>
        <v>命中</v>
      </c>
      <c r="V13" s="20">
        <f ca="1" t="shared" si="0"/>
        <v>1.13257753521884</v>
      </c>
      <c r="W13" s="17" t="str">
        <f>属性!H17</f>
        <v>命中</v>
      </c>
      <c r="X13" s="17">
        <f>属性!I17</f>
        <v>1.0715</v>
      </c>
      <c r="Y13" s="17" t="s">
        <v>56</v>
      </c>
      <c r="Z13" s="17">
        <f ca="1">X13+J23+J21/J27</f>
        <v>1.13257753521884</v>
      </c>
      <c r="AA13" s="23"/>
    </row>
    <row r="14" customHeight="1" spans="1:27">
      <c r="A14" s="11" t="str">
        <f>木桩!A14</f>
        <v>流血</v>
      </c>
      <c r="B14" s="11">
        <f>木桩!B14</f>
        <v>0</v>
      </c>
      <c r="C14" s="14">
        <f>木桩!C14</f>
        <v>0.34375</v>
      </c>
      <c r="D14" s="11">
        <f>木桩!D14</f>
        <v>47</v>
      </c>
      <c r="E14" s="13">
        <f>木桩!E14</f>
        <v>0</v>
      </c>
      <c r="F14" s="13">
        <f ca="1">木桩!F14+Q$23</f>
        <v>0.0101333333333333</v>
      </c>
      <c r="G14" s="13">
        <f>木桩!G14</f>
        <v>0</v>
      </c>
      <c r="H14" s="13">
        <f>木桩!H14</f>
        <v>0</v>
      </c>
      <c r="I14" s="21">
        <f ca="1" t="shared" si="4"/>
        <v>18001.6760163595</v>
      </c>
      <c r="J14" s="13">
        <f ca="1" t="shared" si="1"/>
        <v>0.433665199880085</v>
      </c>
      <c r="K14" s="15">
        <f ca="1" t="shared" si="5"/>
        <v>0.482106492123557</v>
      </c>
      <c r="L14" s="13">
        <f ca="1">INDEX(V2:V17,MATCH(1:1,U2:U17,))</f>
        <v>1.9433</v>
      </c>
      <c r="M14" s="13">
        <f ca="1">INDEX(V2:V17,MATCH(1:1,U2:U17,))</f>
        <v>0.902992590034019</v>
      </c>
      <c r="N14" s="21">
        <f ca="1">INDEX(V2:V17,MATCH(1:1,U2:U17,))+O:O*P:P</f>
        <v>19094.4387</v>
      </c>
      <c r="O14" s="21">
        <f ca="1">INDEX(V2:V17,MATCH(1:1,U2:U17,))</f>
        <v>7522.82307692308</v>
      </c>
      <c r="P14" s="40">
        <f t="shared" si="6"/>
        <v>0.922</v>
      </c>
      <c r="Q14" s="21">
        <f ca="1">INDEX(V2:V17,MATCH(1:1,U2:U17,))</f>
        <v>751</v>
      </c>
      <c r="R14" s="13">
        <f ca="1">INDEX(V2:V17,MATCH(1:1,U2:U17,))</f>
        <v>0</v>
      </c>
      <c r="S14" s="13">
        <f ca="1">INDEX(V2:V17,MATCH(1:1,U2:U17,))</f>
        <v>0</v>
      </c>
      <c r="T14" s="20">
        <f>(2-Q26/16)*NOT(D22)+(1-Q25/16)*D22</f>
        <v>0.9375</v>
      </c>
      <c r="U14" s="20" t="str">
        <f t="shared" si="0"/>
        <v>无双</v>
      </c>
      <c r="V14" s="20">
        <f ca="1" t="shared" si="0"/>
        <v>0.273371047077177</v>
      </c>
      <c r="W14" s="17" t="str">
        <f>属性!H18</f>
        <v>无双</v>
      </c>
      <c r="X14" s="17">
        <f>属性!I18</f>
        <v>0.2319</v>
      </c>
      <c r="Y14" s="17" t="s">
        <v>66</v>
      </c>
      <c r="Z14" s="17">
        <f ca="1">X14+N23+N21/J28</f>
        <v>0.273371047077177</v>
      </c>
      <c r="AA14" s="23"/>
    </row>
    <row r="15" customHeight="1" spans="1:27">
      <c r="A15" s="11" t="str">
        <f>木桩!A15</f>
        <v>卷雪刀</v>
      </c>
      <c r="B15" s="11">
        <f>木桩!B15</f>
        <v>0</v>
      </c>
      <c r="C15" s="11">
        <f>木桩!C15</f>
        <v>0.1375</v>
      </c>
      <c r="D15" s="11">
        <f>木桩!D15</f>
        <v>0</v>
      </c>
      <c r="E15" s="13">
        <f>木桩!E15</f>
        <v>1</v>
      </c>
      <c r="F15" s="13">
        <f ca="1">木桩!F15+Q$23</f>
        <v>0.0101333333333333</v>
      </c>
      <c r="G15" s="13">
        <f>木桩!G15</f>
        <v>0</v>
      </c>
      <c r="H15" s="13">
        <f>木桩!H15</f>
        <v>0</v>
      </c>
      <c r="I15" s="21">
        <f ca="1" t="shared" si="4"/>
        <v>8804.43004506404</v>
      </c>
      <c r="J15" s="13">
        <f ca="1" t="shared" si="1"/>
        <v>0.433665199880085</v>
      </c>
      <c r="K15" s="15">
        <f ca="1">J:J+(0.211855500496661*J:J^6-0.937563819411654*J:J^5+1.77483619127542*J:J^4-1.89647323402313*J:J^3+1.2737744963305*J:J^2-0.565275505039552*J:J+0.164596522595162)*$D$28</f>
        <v>0.487805126715561</v>
      </c>
      <c r="L15" s="13">
        <f ca="1">INDEX(V2:V17,MATCH(1:1,U2:U17,))</f>
        <v>1.9433</v>
      </c>
      <c r="M15" s="13">
        <f ca="1">INDEX(V2:V17,MATCH(1:1,U2:U17,))</f>
        <v>0.902992590034019</v>
      </c>
      <c r="N15" s="21">
        <f ca="1">INDEX(V2:V17,MATCH(1:1,U2:U17,))+O:O*P:P</f>
        <v>17966.0152384615</v>
      </c>
      <c r="O15" s="21">
        <f ca="1">INDEX(V2:V17,MATCH(1:1,U2:U17,))</f>
        <v>7522.82307692308</v>
      </c>
      <c r="P15" s="40">
        <f>60%+D$32*0.2*6/25+60%*(25+6*D$32)*(1+H$28)/H$27</f>
        <v>0.772</v>
      </c>
      <c r="Q15" s="21">
        <f ca="1">INDEX(V2:V17,MATCH(1:1,U2:U17,))</f>
        <v>751</v>
      </c>
      <c r="R15" s="13">
        <f ca="1">INDEX(V2:V17,MATCH(1:1,U2:U17,))</f>
        <v>0</v>
      </c>
      <c r="S15" s="13">
        <f ca="1">INDEX(V2:V17,MATCH(1:1,U2:U17,))</f>
        <v>0</v>
      </c>
      <c r="T15" s="20">
        <f>1.5-Q24/16</f>
        <v>1.375</v>
      </c>
      <c r="U15" s="20" t="str">
        <f t="shared" si="0"/>
        <v>武器伤害</v>
      </c>
      <c r="V15" s="20">
        <f ca="1" t="shared" si="0"/>
        <v>751</v>
      </c>
      <c r="W15" s="17" t="str">
        <f>属性!H19</f>
        <v>武器伤害</v>
      </c>
      <c r="X15" s="17">
        <f ca="1">属性!I19+P21</f>
        <v>751</v>
      </c>
      <c r="Y15" s="17" t="s">
        <v>75</v>
      </c>
      <c r="Z15" s="17">
        <f ca="1">X15</f>
        <v>751</v>
      </c>
      <c r="AA15" s="23"/>
    </row>
    <row r="16" customHeight="1" spans="1:27">
      <c r="A16" s="7" t="str">
        <f>木桩!A16</f>
        <v>卷雪刀1</v>
      </c>
      <c r="B16" s="7">
        <f>木桩!B16</f>
        <v>0</v>
      </c>
      <c r="C16" s="7">
        <f>木桩!C16</f>
        <v>0.1375</v>
      </c>
      <c r="D16" s="7">
        <f>木桩!D16</f>
        <v>0</v>
      </c>
      <c r="E16" s="16">
        <f>木桩!E16</f>
        <v>1</v>
      </c>
      <c r="F16" s="13">
        <f ca="1">木桩!F16+Q$23</f>
        <v>0.0101333333333333</v>
      </c>
      <c r="G16" s="16">
        <f>木桩!G16</f>
        <v>0</v>
      </c>
      <c r="H16" s="16">
        <f>木桩!H16</f>
        <v>0</v>
      </c>
      <c r="I16" s="21">
        <f ca="1" t="shared" si="4"/>
        <v>9194.52894718687</v>
      </c>
      <c r="J16" s="13">
        <f ca="1" t="shared" si="1"/>
        <v>0.433665199880085</v>
      </c>
      <c r="K16" s="15">
        <f ca="1">J:J+K$19</f>
        <v>0.482106492123557</v>
      </c>
      <c r="L16" s="16">
        <f ca="1">INDEX(V2:V17,MATCH(1:1,U2:U17,))</f>
        <v>1.9433</v>
      </c>
      <c r="M16" s="16">
        <f ca="1">INDEX(V2:V17,MATCH(1:1,U2:U17,))</f>
        <v>0.902992590034019</v>
      </c>
      <c r="N16" s="23">
        <f ca="1">INDEX(V2:V17,MATCH(1:1,U2:U17,))+O:O*P:P</f>
        <v>19094.4387</v>
      </c>
      <c r="O16" s="23">
        <f ca="1">INDEX(V2:V17,MATCH(1:1,U2:U17,))</f>
        <v>7522.82307692308</v>
      </c>
      <c r="P16" s="16">
        <f>P12</f>
        <v>0.922</v>
      </c>
      <c r="Q16" s="23">
        <f ca="1">INDEX(V2:V17,MATCH(1:1,U2:U17,))</f>
        <v>751</v>
      </c>
      <c r="R16" s="16">
        <f ca="1">INDEX(V2:V17,MATCH(1:1,U2:U17,))</f>
        <v>0</v>
      </c>
      <c r="S16" s="16">
        <f ca="1">INDEX(V2:V17,MATCH(1:1,U2:U17,))</f>
        <v>0</v>
      </c>
      <c r="T16" s="20">
        <f>1.5-Q24/16</f>
        <v>1.375</v>
      </c>
      <c r="U16" s="17" t="str">
        <f t="shared" si="0"/>
        <v>偏离率</v>
      </c>
      <c r="V16" s="30">
        <f ca="1" t="shared" si="0"/>
        <v>0</v>
      </c>
      <c r="W16" s="17" t="str">
        <f>属性!H20</f>
        <v>偏离率</v>
      </c>
      <c r="X16" s="16">
        <f>属性!I20</f>
        <v>0</v>
      </c>
      <c r="Y16" s="17" t="s">
        <v>212</v>
      </c>
      <c r="Z16" s="17">
        <f ca="1">IF(X16-Z13+X13&gt;0,X16-Z13+X13,0)</f>
        <v>0</v>
      </c>
      <c r="AA16" s="23"/>
    </row>
    <row r="17" customHeight="1" spans="1:27">
      <c r="A17" s="11" t="str">
        <f>木桩!A17</f>
        <v>绝刀1</v>
      </c>
      <c r="B17" s="11">
        <f>木桩!B17</f>
        <v>0</v>
      </c>
      <c r="C17" s="11">
        <f>木桩!C17</f>
        <v>1.211</v>
      </c>
      <c r="D17" s="11">
        <f>木桩!D17</f>
        <v>186</v>
      </c>
      <c r="E17" s="13">
        <f>木桩!E17</f>
        <v>1</v>
      </c>
      <c r="F17" s="13">
        <f ca="1">木桩!F17+Q$23</f>
        <v>0.500133333333333</v>
      </c>
      <c r="G17" s="13">
        <f>木桩!G17</f>
        <v>0.07</v>
      </c>
      <c r="H17" s="13">
        <f>木桩!H17</f>
        <v>0</v>
      </c>
      <c r="I17" s="21">
        <f ca="1" t="shared" si="4"/>
        <v>101689.193670108</v>
      </c>
      <c r="J17" s="13">
        <f ca="1" t="shared" si="1"/>
        <v>0.503665199880085</v>
      </c>
      <c r="K17" s="15">
        <f ca="1">J:J+(0.211855500496661*J:J^6-0.937563819411654*J:J^5+1.77483619127542*J:J^4-1.89647323402313*J:J^3+1.2737744963305*J:J^2-0.565275505039552*J:J+0.164596522595162)*$D$28</f>
        <v>0.551656521857724</v>
      </c>
      <c r="L17" s="13">
        <f ca="1">INDEX(V2:V17,MATCH(1:1,U2:U17,))</f>
        <v>1.9433</v>
      </c>
      <c r="M17" s="13">
        <f ca="1">INDEX(V2:V17,MATCH(1:1,U2:U17,))</f>
        <v>0.902992590034019</v>
      </c>
      <c r="N17" s="21">
        <f ca="1">INDEX(V2:V17,MATCH(1:1,U2:U17,))+O:O*P:P</f>
        <v>19094.4387</v>
      </c>
      <c r="O17" s="21">
        <f ca="1">INDEX(V2:V17,MATCH(1:1,U2:U17,))</f>
        <v>7522.82307692308</v>
      </c>
      <c r="P17" s="16">
        <f>P13</f>
        <v>0.922</v>
      </c>
      <c r="Q17" s="21">
        <f ca="1">INDEX(V2:V17,MATCH(1:1,U2:U17,))</f>
        <v>751</v>
      </c>
      <c r="R17" s="13">
        <f ca="1">INDEX(V2:V17,MATCH(1:1,U2:U17,))</f>
        <v>0</v>
      </c>
      <c r="S17" s="13">
        <f ca="1">INDEX(V2:V17,MATCH(1:1,U2:U17,))</f>
        <v>0</v>
      </c>
      <c r="T17" s="7">
        <v>0</v>
      </c>
      <c r="U17" s="20" t="str">
        <f t="shared" si="0"/>
        <v>识破率</v>
      </c>
      <c r="V17" s="20">
        <f ca="1" t="shared" si="0"/>
        <v>0</v>
      </c>
      <c r="W17" s="17" t="str">
        <f>属性!H21</f>
        <v>识破率</v>
      </c>
      <c r="X17" s="17">
        <f>属性!I21</f>
        <v>0</v>
      </c>
      <c r="Y17" s="17" t="s">
        <v>213</v>
      </c>
      <c r="Z17" s="17">
        <f ca="1">IF(X17-Z14+X14&gt;0,X17-Z14+X14,0)</f>
        <v>0</v>
      </c>
      <c r="AA17" s="23"/>
    </row>
    <row r="18" customHeight="1" spans="1:27">
      <c r="A18" s="11" t="str">
        <f>木桩!A18</f>
        <v>绝刀2</v>
      </c>
      <c r="B18" s="11">
        <f>木桩!B18</f>
        <v>0</v>
      </c>
      <c r="C18" s="11">
        <f>木桩!C18</f>
        <v>1.211</v>
      </c>
      <c r="D18" s="11">
        <f>木桩!D18</f>
        <v>186</v>
      </c>
      <c r="E18" s="13">
        <f>木桩!E18</f>
        <v>1</v>
      </c>
      <c r="F18" s="13">
        <f ca="1">木桩!F18+Q$23</f>
        <v>0.700133333333333</v>
      </c>
      <c r="G18" s="13">
        <f>木桩!G18</f>
        <v>0.04</v>
      </c>
      <c r="H18" s="13">
        <f>木桩!H18</f>
        <v>0</v>
      </c>
      <c r="I18" s="21">
        <f ca="1" t="shared" si="4"/>
        <v>113133.622056099</v>
      </c>
      <c r="J18" s="13">
        <f ca="1" t="shared" si="1"/>
        <v>0.473665199880085</v>
      </c>
      <c r="K18" s="15">
        <f ca="1">J:J+K$19</f>
        <v>0.522106492123557</v>
      </c>
      <c r="L18" s="13">
        <f ca="1">INDEX(V2:V17,MATCH(1:1,U2:U17,))</f>
        <v>1.9433</v>
      </c>
      <c r="M18" s="13">
        <f ca="1">INDEX(V2:V17,MATCH(1:1,U2:U17,))</f>
        <v>0.902992590034019</v>
      </c>
      <c r="N18" s="21">
        <f ca="1">INDEX(V2:V17,MATCH(1:1,U2:U17,))+O:O*P:P</f>
        <v>19094.4387</v>
      </c>
      <c r="O18" s="21">
        <f ca="1">INDEX(V2:V17,MATCH(1:1,U2:U17,))</f>
        <v>7522.82307692308</v>
      </c>
      <c r="P18" s="16">
        <f>P13</f>
        <v>0.922</v>
      </c>
      <c r="Q18" s="21">
        <f ca="1">INDEX(V2:V17,MATCH(1:1,U2:U17,))</f>
        <v>751</v>
      </c>
      <c r="R18" s="13">
        <f ca="1">INDEX(V2:V17,MATCH(1:1,U2:U17,))</f>
        <v>0</v>
      </c>
      <c r="S18" s="13">
        <f ca="1">INDEX(V2:V17,MATCH(1:1,U2:U17,))</f>
        <v>0</v>
      </c>
      <c r="T18" s="7">
        <v>0</v>
      </c>
      <c r="AA18" s="23"/>
    </row>
    <row r="19" customHeight="1" spans="5:27">
      <c r="E19" s="16"/>
      <c r="F19" s="16"/>
      <c r="G19" s="16"/>
      <c r="H19" s="16"/>
      <c r="I19" s="13" t="s">
        <v>291</v>
      </c>
      <c r="J19" s="24">
        <f ca="1">(0.75*J11+0.75*J12+8.5*J10+15*J9)/25</f>
        <v>0.515865199880085</v>
      </c>
      <c r="K19" s="7">
        <f ca="1">(0.450269547036277*J:J^6-1.63135022943507*J:J^5+2.53454201422095*J:J^4-2.30008535755169*J:J^3+1.39860127189957*J:J^2-0.596843023464342*J:J+0.171517229012336)*D28</f>
        <v>0.0484412922434724</v>
      </c>
      <c r="L19" s="16"/>
      <c r="M19" s="16"/>
      <c r="N19" s="23"/>
      <c r="O19" s="23"/>
      <c r="P19" s="16"/>
      <c r="Q19" s="23"/>
      <c r="R19" s="16"/>
      <c r="S19" s="16"/>
      <c r="V19" s="29"/>
      <c r="AA19" s="23"/>
    </row>
    <row r="20" customHeight="1" spans="5:27">
      <c r="E20" s="16"/>
      <c r="F20" s="16"/>
      <c r="G20" s="37" t="str">
        <f>属性!H1</f>
        <v>身法</v>
      </c>
      <c r="H20" s="37" t="str">
        <f>属性!I1</f>
        <v>力道</v>
      </c>
      <c r="I20" s="37" t="str">
        <f>属性!J1</f>
        <v>基础攻击</v>
      </c>
      <c r="J20" s="37" t="str">
        <f>属性!K1</f>
        <v>命中</v>
      </c>
      <c r="K20" s="41" t="str">
        <f>属性!L1</f>
        <v>会心</v>
      </c>
      <c r="L20" s="37" t="str">
        <f>属性!M1</f>
        <v>会效</v>
      </c>
      <c r="M20" s="37" t="str">
        <f>属性!N1</f>
        <v>加速</v>
      </c>
      <c r="N20" s="37" t="str">
        <f>属性!O1</f>
        <v>无双</v>
      </c>
      <c r="O20" s="37" t="str">
        <f>属性!P1</f>
        <v>基础破防</v>
      </c>
      <c r="P20" s="42" t="str">
        <f>属性!Q1</f>
        <v>武器伤害</v>
      </c>
      <c r="Q20" s="42" t="str">
        <f>属性!R1</f>
        <v>减防</v>
      </c>
      <c r="R20" s="16"/>
      <c r="S20" s="16"/>
      <c r="AA20" s="23"/>
    </row>
    <row r="21" customHeight="1" spans="1:27">
      <c r="A21" s="20" t="str">
        <f>属性!D1</f>
        <v>第一重</v>
      </c>
      <c r="B21" s="20" t="str">
        <f>属性!E1</f>
        <v>刀魂</v>
      </c>
      <c r="C21" s="11" t="s">
        <v>13</v>
      </c>
      <c r="D21" s="11" t="b">
        <f t="shared" ref="D21:D32" si="7">C21=B21</f>
        <v>1</v>
      </c>
      <c r="E21" s="11" t="s">
        <v>292</v>
      </c>
      <c r="F21" s="11" t="b">
        <f t="shared" ref="F21:F31" si="8">E21=B21</f>
        <v>0</v>
      </c>
      <c r="G21" s="20">
        <f ca="1">属性!H2</f>
        <v>201</v>
      </c>
      <c r="H21" s="20">
        <f ca="1">属性!I2</f>
        <v>52</v>
      </c>
      <c r="I21" s="17">
        <f ca="1">属性!J2+0.1</f>
        <v>199.1</v>
      </c>
      <c r="J21" s="17">
        <f ca="1">属性!K2</f>
        <v>294</v>
      </c>
      <c r="K21" s="20">
        <f ca="1">属性!L2</f>
        <v>194</v>
      </c>
      <c r="L21" s="43">
        <f ca="1">属性!M2</f>
        <v>0</v>
      </c>
      <c r="M21" s="20">
        <f ca="1">属性!N2</f>
        <v>0</v>
      </c>
      <c r="N21" s="20">
        <f ca="1">属性!O2</f>
        <v>100</v>
      </c>
      <c r="O21" s="20">
        <f ca="1">属性!P2</f>
        <v>1506</v>
      </c>
      <c r="P21" s="32">
        <f ca="1">属性!Q2</f>
        <v>0</v>
      </c>
      <c r="Q21" s="34">
        <f ca="1">属性!R2</f>
        <v>200</v>
      </c>
      <c r="R21" s="16"/>
      <c r="S21" s="16"/>
      <c r="AA21" s="23"/>
    </row>
    <row r="22" customHeight="1" spans="1:27">
      <c r="A22" s="20" t="str">
        <f>属性!D2</f>
        <v>第二重</v>
      </c>
      <c r="B22" s="20" t="str">
        <f>属性!E2</f>
        <v>炼狱</v>
      </c>
      <c r="C22" s="11" t="s">
        <v>24</v>
      </c>
      <c r="D22" s="11" t="b">
        <f t="shared" si="7"/>
        <v>1</v>
      </c>
      <c r="E22" s="11"/>
      <c r="F22" s="11"/>
      <c r="G22" s="38" t="str">
        <f>属性!H3</f>
        <v>身法</v>
      </c>
      <c r="H22" s="39" t="str">
        <f>属性!I3</f>
        <v>力道</v>
      </c>
      <c r="I22" s="39" t="str">
        <f>属性!J3</f>
        <v>面板攻击</v>
      </c>
      <c r="J22" s="39" t="str">
        <f>属性!K3</f>
        <v>命中</v>
      </c>
      <c r="K22" s="39" t="str">
        <f>属性!L3</f>
        <v>会心</v>
      </c>
      <c r="L22" s="39" t="str">
        <f>属性!M3</f>
        <v>会效</v>
      </c>
      <c r="M22" s="39" t="str">
        <f>属性!N3</f>
        <v>加速</v>
      </c>
      <c r="N22" s="39" t="str">
        <f>属性!O3</f>
        <v>无双</v>
      </c>
      <c r="O22" s="39" t="str">
        <f>属性!P3</f>
        <v>面板破防</v>
      </c>
      <c r="P22" s="44" t="str">
        <f>属性!Q3</f>
        <v>易伤</v>
      </c>
      <c r="Q22" s="44" t="str">
        <f>属性!R3</f>
        <v>伤害加成</v>
      </c>
      <c r="R22" s="16"/>
      <c r="S22" s="16"/>
      <c r="X22" s="23"/>
      <c r="AA22" s="23"/>
    </row>
    <row r="23" customHeight="1" spans="1:27">
      <c r="A23" s="20" t="str">
        <f>属性!D3</f>
        <v>第三重</v>
      </c>
      <c r="B23" s="20" t="str">
        <f>属性!E3</f>
        <v>飞瀑</v>
      </c>
      <c r="C23" s="11" t="s">
        <v>34</v>
      </c>
      <c r="D23" s="11" t="b">
        <f t="shared" si="7"/>
        <v>1</v>
      </c>
      <c r="E23" s="7"/>
      <c r="F23" s="7"/>
      <c r="G23" s="17">
        <f ca="1">属性!H4</f>
        <v>0.1</v>
      </c>
      <c r="H23" s="20">
        <f ca="1">属性!I4</f>
        <v>0</v>
      </c>
      <c r="I23" s="20">
        <f ca="1">属性!J4</f>
        <v>0.171</v>
      </c>
      <c r="J23" s="20">
        <f ca="1">属性!K4</f>
        <v>0.04</v>
      </c>
      <c r="K23" s="20">
        <f ca="1">属性!L4</f>
        <v>0.145</v>
      </c>
      <c r="L23" s="20">
        <f ca="1">属性!M4</f>
        <v>0.09</v>
      </c>
      <c r="M23" s="20">
        <f ca="1">属性!N4</f>
        <v>0</v>
      </c>
      <c r="N23" s="20">
        <f ca="1">属性!O4</f>
        <v>0.03</v>
      </c>
      <c r="O23" s="13">
        <f ca="1">属性!P4</f>
        <v>0.5</v>
      </c>
      <c r="P23" s="45">
        <f ca="1">属性!Q4</f>
        <v>0</v>
      </c>
      <c r="Q23" s="34">
        <f ca="1">属性!R4</f>
        <v>0.0101333333333333</v>
      </c>
      <c r="R23" s="16"/>
      <c r="S23" s="16"/>
      <c r="X23" s="23"/>
      <c r="AA23" s="23"/>
    </row>
    <row r="24" customHeight="1" spans="1:27">
      <c r="A24" s="20" t="str">
        <f>属性!D4</f>
        <v>第四重</v>
      </c>
      <c r="B24" s="20" t="str">
        <f>属性!E4</f>
        <v>劫生</v>
      </c>
      <c r="C24" s="11" t="s">
        <v>44</v>
      </c>
      <c r="D24" s="11" t="b">
        <f t="shared" si="7"/>
        <v>1</v>
      </c>
      <c r="E24" s="11"/>
      <c r="F24" s="11"/>
      <c r="H24" s="36"/>
      <c r="I24" s="46" t="s">
        <v>198</v>
      </c>
      <c r="J24" s="46"/>
      <c r="K24" s="46"/>
      <c r="L24" s="46"/>
      <c r="M24" s="47" t="s">
        <v>215</v>
      </c>
      <c r="N24" s="47" t="str">
        <f>属性!H29</f>
        <v>实战</v>
      </c>
      <c r="O24" s="43" t="str">
        <f>属性!I29</f>
        <v>实战盾击</v>
      </c>
      <c r="P24" s="26" t="s">
        <v>295</v>
      </c>
      <c r="Q24" s="11">
        <f>IF($V$12&gt;18,1)+IF($V$12&gt;827,1)+IF($V$12&gt;1728,1)+IF($V$12&gt;2703,1)</f>
        <v>2</v>
      </c>
      <c r="R24" s="16"/>
      <c r="S24" s="16"/>
      <c r="V24" s="32"/>
      <c r="X24" s="23"/>
      <c r="AA24" s="23"/>
    </row>
    <row r="25" spans="1:27">
      <c r="A25" s="20" t="str">
        <f>属性!D5</f>
        <v>第五重</v>
      </c>
      <c r="B25" s="20" t="str">
        <f>属性!E5</f>
        <v>锋鸣</v>
      </c>
      <c r="C25" s="11" t="s">
        <v>293</v>
      </c>
      <c r="D25" s="11" t="b">
        <f t="shared" si="7"/>
        <v>0</v>
      </c>
      <c r="E25" s="11" t="s">
        <v>54</v>
      </c>
      <c r="F25" s="11" t="b">
        <f t="shared" si="8"/>
        <v>1</v>
      </c>
      <c r="I25" s="20" t="s">
        <v>26</v>
      </c>
      <c r="J25" s="20">
        <v>15344.2</v>
      </c>
      <c r="K25" s="20" t="s">
        <v>200</v>
      </c>
      <c r="L25" s="20"/>
      <c r="M25" s="11" t="s">
        <v>93</v>
      </c>
      <c r="N25" s="15">
        <f ca="1">属性!H30</f>
        <v>0.948871388530846</v>
      </c>
      <c r="O25" s="15">
        <f ca="1">属性!I30</f>
        <v>0.973765015090248</v>
      </c>
      <c r="P25" s="26" t="s">
        <v>296</v>
      </c>
      <c r="Q25" s="30">
        <f>IF($V$12&gt;18,1)+IF($V$12&gt;1268,1)+IF($V$12&gt;2703,1)</f>
        <v>1</v>
      </c>
      <c r="R25" s="16"/>
      <c r="S25" s="16"/>
      <c r="V25" s="32"/>
      <c r="X25" s="23"/>
      <c r="AA25" s="23"/>
    </row>
    <row r="26" spans="1:27">
      <c r="A26" s="20" t="str">
        <f>属性!D6</f>
        <v>第六重</v>
      </c>
      <c r="B26" s="20" t="str">
        <f>属性!E6</f>
        <v>割裂</v>
      </c>
      <c r="C26" s="11" t="s">
        <v>64</v>
      </c>
      <c r="D26" s="11" t="b">
        <f t="shared" si="7"/>
        <v>1</v>
      </c>
      <c r="E26" s="11" t="s">
        <v>294</v>
      </c>
      <c r="F26" s="11" t="b">
        <f t="shared" si="8"/>
        <v>0</v>
      </c>
      <c r="I26" s="20" t="s">
        <v>36</v>
      </c>
      <c r="J26" s="20">
        <v>5370.3</v>
      </c>
      <c r="K26" s="20"/>
      <c r="L26" s="20">
        <v>1.7</v>
      </c>
      <c r="M26" s="11" t="s">
        <v>229</v>
      </c>
      <c r="N26" s="15">
        <f ca="1">属性!H31</f>
        <v>0.91750264956783</v>
      </c>
      <c r="O26" s="15">
        <f ca="1">属性!I31</f>
        <v>0.956976669392992</v>
      </c>
      <c r="P26" s="26" t="s">
        <v>297</v>
      </c>
      <c r="Q26" s="30">
        <f>IF($V$12&gt;18,1)+IF($V$12&gt;625,1)+IF($V$12&gt;1268,1)+IF($V$12&gt;1949,1)+IF($V$12&gt;2703,1)</f>
        <v>2</v>
      </c>
      <c r="R26" s="16"/>
      <c r="S26" s="16"/>
      <c r="V26" s="32"/>
      <c r="X26" s="23"/>
      <c r="AA26" s="23"/>
    </row>
    <row r="27" spans="1:27">
      <c r="A27" s="20" t="str">
        <f>属性!D7</f>
        <v>第七重</v>
      </c>
      <c r="B27" s="20" t="str">
        <f>属性!E7</f>
        <v>活脉</v>
      </c>
      <c r="C27" s="11" t="s">
        <v>72</v>
      </c>
      <c r="D27" s="11" t="b">
        <f t="shared" si="7"/>
        <v>1</v>
      </c>
      <c r="E27" s="11"/>
      <c r="F27" s="11" t="b">
        <f t="shared" si="8"/>
        <v>0</v>
      </c>
      <c r="G27" s="17" t="str">
        <f>木桩!G27</f>
        <v>战斗时间</v>
      </c>
      <c r="H27" s="30">
        <f>木桩!H27</f>
        <v>300</v>
      </c>
      <c r="I27" s="20" t="s">
        <v>56</v>
      </c>
      <c r="J27" s="20">
        <v>13948.5</v>
      </c>
      <c r="K27" s="20" t="s">
        <v>203</v>
      </c>
      <c r="L27" s="20">
        <v>0.25</v>
      </c>
      <c r="M27" s="11" t="s">
        <v>299</v>
      </c>
      <c r="N27" s="15">
        <f ca="1">属性!H32</f>
        <v>0.898870262292047</v>
      </c>
      <c r="O27" s="15">
        <f ca="1">属性!I32</f>
        <v>0.946742155208707</v>
      </c>
      <c r="P27" s="47" t="s">
        <v>92</v>
      </c>
      <c r="Q27" s="20" t="str">
        <f>苍云!C11</f>
        <v>102级</v>
      </c>
      <c r="V27" s="32"/>
      <c r="X27" s="23"/>
      <c r="AA27" s="23"/>
    </row>
    <row r="28" spans="1:27">
      <c r="A28" s="20" t="str">
        <f>属性!D8</f>
        <v>第八重</v>
      </c>
      <c r="B28" s="20" t="str">
        <f>属性!E8</f>
        <v>恋战</v>
      </c>
      <c r="C28" s="11" t="s">
        <v>81</v>
      </c>
      <c r="D28" s="11" t="b">
        <f t="shared" si="7"/>
        <v>1</v>
      </c>
      <c r="E28" s="11" t="s">
        <v>269</v>
      </c>
      <c r="F28" s="11" t="b">
        <f t="shared" si="8"/>
        <v>0</v>
      </c>
      <c r="G28" s="17" t="str">
        <f>木桩!G28</f>
        <v>竞技场套装</v>
      </c>
      <c r="H28" s="16" t="b">
        <f>木桩!H28</f>
        <v>1</v>
      </c>
      <c r="I28" s="20" t="s">
        <v>66</v>
      </c>
      <c r="J28" s="20">
        <v>8717.6</v>
      </c>
      <c r="K28" s="20"/>
      <c r="L28" s="20">
        <v>0.15</v>
      </c>
      <c r="M28" s="17" t="s">
        <v>179</v>
      </c>
      <c r="N28" s="15">
        <f ca="1">属性!H33</f>
        <v>0.91750264956783</v>
      </c>
      <c r="O28" s="15">
        <f ca="1">属性!I33</f>
        <v>0.956976669392992</v>
      </c>
      <c r="P28" s="47" t="s">
        <v>100</v>
      </c>
      <c r="Q28" s="20" t="str">
        <f>LEFT(苍云!$C$12,1)</f>
        <v>5</v>
      </c>
      <c r="V28" s="32"/>
      <c r="X28" s="23"/>
      <c r="AA28" s="23"/>
    </row>
    <row r="29" spans="1:24">
      <c r="A29" s="20" t="str">
        <f>属性!D9</f>
        <v>第九重</v>
      </c>
      <c r="B29" s="20" t="str">
        <f>属性!E9</f>
        <v>从容</v>
      </c>
      <c r="C29" s="11" t="s">
        <v>99</v>
      </c>
      <c r="D29" s="11" t="b">
        <f t="shared" si="7"/>
        <v>0</v>
      </c>
      <c r="E29" s="11"/>
      <c r="F29" s="11" t="b">
        <f t="shared" si="8"/>
        <v>0</v>
      </c>
      <c r="G29" s="20" t="str">
        <f>木桩!G29</f>
        <v>套装特效</v>
      </c>
      <c r="H29" s="20" t="b">
        <f>木桩!H29</f>
        <v>1</v>
      </c>
      <c r="I29" s="20" t="s">
        <v>83</v>
      </c>
      <c r="J29" s="20">
        <v>18830.9</v>
      </c>
      <c r="K29" s="20" t="s">
        <v>204</v>
      </c>
      <c r="L29" s="20">
        <v>0.64</v>
      </c>
      <c r="M29" s="20" t="s">
        <v>180</v>
      </c>
      <c r="N29" s="15">
        <f ca="1">属性!H34</f>
        <v>0.91750264956783</v>
      </c>
      <c r="O29" s="15">
        <f ca="1">属性!I34</f>
        <v>0.956976669392992</v>
      </c>
      <c r="P29" s="20" t="str">
        <f>属性!F5</f>
        <v>战斗时间</v>
      </c>
      <c r="Q29" s="20">
        <f>属性!G5</f>
        <v>300</v>
      </c>
      <c r="X29" s="23"/>
    </row>
    <row r="30" spans="1:24">
      <c r="A30" s="20" t="str">
        <f>属性!D10</f>
        <v>第十重</v>
      </c>
      <c r="B30" s="20" t="str">
        <f>属性!E10</f>
        <v>愤恨</v>
      </c>
      <c r="C30" s="11" t="s">
        <v>91</v>
      </c>
      <c r="D30" s="11" t="b">
        <f t="shared" si="7"/>
        <v>0</v>
      </c>
      <c r="E30" s="11"/>
      <c r="F30" s="11" t="b">
        <f t="shared" si="8"/>
        <v>0</v>
      </c>
      <c r="G30" s="20" t="str">
        <f>木桩!G30</f>
        <v>橙武</v>
      </c>
      <c r="H30" s="20" t="b">
        <f>木桩!H30</f>
        <v>1</v>
      </c>
      <c r="I30" s="20" t="s">
        <v>205</v>
      </c>
      <c r="J30" s="20">
        <v>15344.2</v>
      </c>
      <c r="K30" s="20"/>
      <c r="L30" s="20">
        <v>0</v>
      </c>
      <c r="N30" s="15"/>
      <c r="O30" s="15"/>
      <c r="P30" s="17" t="s">
        <v>302</v>
      </c>
      <c r="Q30" s="11">
        <f ca="1">$I$14/$T$14</f>
        <v>19201.7877507835</v>
      </c>
      <c r="X30" s="23"/>
    </row>
    <row r="31" spans="1:24">
      <c r="A31" s="20" t="str">
        <f>属性!D11</f>
        <v>第十一重</v>
      </c>
      <c r="B31" s="20" t="str">
        <f>属性!E11</f>
        <v>蔑视</v>
      </c>
      <c r="C31" s="11" t="s">
        <v>107</v>
      </c>
      <c r="D31" s="11" t="b">
        <f t="shared" si="7"/>
        <v>1</v>
      </c>
      <c r="E31" s="11"/>
      <c r="F31" s="11" t="b">
        <f t="shared" si="8"/>
        <v>0</v>
      </c>
      <c r="G31" s="20" t="str">
        <f>木桩!G31</f>
        <v>小橙武</v>
      </c>
      <c r="H31" s="20" t="b">
        <f>木桩!H31</f>
        <v>0</v>
      </c>
      <c r="N31" s="7"/>
      <c r="O31" s="7"/>
      <c r="P31" s="17" t="s">
        <v>303</v>
      </c>
      <c r="Q31" s="17">
        <f ca="1">(I13-I10)*5/60*H30</f>
        <v>1290.24711638683</v>
      </c>
      <c r="X31" s="23"/>
    </row>
    <row r="32" spans="1:24">
      <c r="A32" s="20" t="str">
        <f>属性!D12</f>
        <v>第十二重</v>
      </c>
      <c r="B32" s="20" t="str">
        <f>属性!E12</f>
        <v>骇日</v>
      </c>
      <c r="C32" s="11" t="s">
        <v>116</v>
      </c>
      <c r="D32" s="11" t="b">
        <f t="shared" si="7"/>
        <v>1</v>
      </c>
      <c r="E32" s="11"/>
      <c r="F32" s="11"/>
      <c r="P32" s="11" t="s">
        <v>305</v>
      </c>
      <c r="Q32" s="20">
        <f ca="1">$I$2/$T$2</f>
        <v>931.887619976053</v>
      </c>
      <c r="X32" s="23"/>
    </row>
    <row r="33" spans="16:22">
      <c r="P33" s="17" t="s">
        <v>306</v>
      </c>
      <c r="Q33" s="20">
        <f ca="1">$I$3/$T$3</f>
        <v>829.860111231602</v>
      </c>
      <c r="U33" s="20"/>
      <c r="V33" s="32"/>
    </row>
    <row r="34" spans="22:22">
      <c r="V34" s="32"/>
    </row>
    <row r="35" spans="1:23">
      <c r="A35" s="11" t="s">
        <v>271</v>
      </c>
      <c r="B35" s="20" t="s">
        <v>272</v>
      </c>
      <c r="C35" s="20" t="s">
        <v>304</v>
      </c>
      <c r="D35" s="20" t="s">
        <v>281</v>
      </c>
      <c r="E35" s="20" t="s">
        <v>278</v>
      </c>
      <c r="H35" s="20"/>
      <c r="I35" s="20"/>
      <c r="J35" s="20"/>
      <c r="K35" s="20"/>
      <c r="L35" s="20"/>
      <c r="M35" s="20"/>
      <c r="N35" s="20"/>
      <c r="O35" s="11"/>
      <c r="P35" s="11"/>
      <c r="Q35" s="11"/>
      <c r="R35" s="11"/>
      <c r="S35" s="11"/>
      <c r="T35" s="7"/>
      <c r="U35" s="7"/>
      <c r="V35" s="32"/>
      <c r="W35" s="34"/>
    </row>
    <row r="36" spans="1:23">
      <c r="A36" s="11" t="s">
        <v>55</v>
      </c>
      <c r="B36" s="20">
        <f ca="1" t="shared" ref="B36:B48" si="9">IFERROR(VLOOKUP(A36,实战技能表,MATCH("怒气",$A$1:$T$1,0),0),0)*C36</f>
        <v>15</v>
      </c>
      <c r="C36" s="20">
        <v>1</v>
      </c>
      <c r="D36" s="20">
        <f ca="1" t="shared" ref="D36:D48" si="10">IFERROR(VLOOKUP(A36,实战技能表,MATCH("时间",$A$1:$T$1,0),0),0)*C36</f>
        <v>1.375</v>
      </c>
      <c r="E36" s="20">
        <f ca="1" t="shared" ref="E36:E48" si="11">IFERROR(VLOOKUP(A36,实战技能表,MATCH("dmg",$A$1:$T$1,0),0),0)*C36</f>
        <v>135608.640686982</v>
      </c>
      <c r="H36" s="20"/>
      <c r="I36" s="20"/>
      <c r="J36" s="20"/>
      <c r="K36" s="20"/>
      <c r="L36" s="20"/>
      <c r="M36" s="20"/>
      <c r="N36" s="20"/>
      <c r="O36" s="11"/>
      <c r="P36" s="11"/>
      <c r="Q36" s="11"/>
      <c r="R36" s="11"/>
      <c r="S36" s="11"/>
      <c r="T36" s="11"/>
      <c r="U36" s="20"/>
      <c r="V36" s="32"/>
      <c r="W36" s="32"/>
    </row>
    <row r="37" spans="1:23">
      <c r="A37" s="11" t="s">
        <v>82</v>
      </c>
      <c r="B37" s="20">
        <f ca="1" t="shared" si="9"/>
        <v>4.5</v>
      </c>
      <c r="C37" s="20">
        <v>0.3</v>
      </c>
      <c r="D37" s="20">
        <f ca="1" t="shared" si="10"/>
        <v>0.4125</v>
      </c>
      <c r="E37" s="20">
        <f ca="1" t="shared" si="11"/>
        <v>23628.3295124981</v>
      </c>
      <c r="H37" s="20"/>
      <c r="I37" s="20"/>
      <c r="J37" s="20"/>
      <c r="K37" s="20"/>
      <c r="L37" s="20"/>
      <c r="M37" s="20"/>
      <c r="N37" s="20"/>
      <c r="O37" s="11"/>
      <c r="P37" s="11"/>
      <c r="Q37" s="11"/>
      <c r="R37" s="11"/>
      <c r="S37" s="11"/>
      <c r="T37" s="11"/>
      <c r="U37" s="20"/>
      <c r="V37" s="32"/>
      <c r="W37" s="32"/>
    </row>
    <row r="38" spans="1:23">
      <c r="A38" s="11" t="s">
        <v>65</v>
      </c>
      <c r="B38" s="20">
        <f ca="1" t="shared" si="9"/>
        <v>-11.25</v>
      </c>
      <c r="C38" s="20">
        <v>0.75</v>
      </c>
      <c r="D38" s="20">
        <f ca="1" t="shared" si="10"/>
        <v>1.03125</v>
      </c>
      <c r="E38" s="20">
        <f ca="1" t="shared" si="11"/>
        <v>58171.7678124712</v>
      </c>
      <c r="H38" s="20"/>
      <c r="I38" s="20"/>
      <c r="J38" s="20"/>
      <c r="K38" s="20"/>
      <c r="L38" s="20"/>
      <c r="M38" s="20"/>
      <c r="N38" s="20"/>
      <c r="O38" s="11"/>
      <c r="P38" s="11"/>
      <c r="Q38" s="11"/>
      <c r="R38" s="11"/>
      <c r="S38" s="11"/>
      <c r="T38" s="11"/>
      <c r="U38" s="20"/>
      <c r="V38" s="32"/>
      <c r="W38" s="32"/>
    </row>
    <row r="39" spans="1:23">
      <c r="A39" s="20" t="s">
        <v>73</v>
      </c>
      <c r="B39" s="20">
        <f ca="1" t="shared" si="9"/>
        <v>-11.25</v>
      </c>
      <c r="C39" s="20">
        <v>0.75</v>
      </c>
      <c r="D39" s="20">
        <f ca="1" t="shared" si="10"/>
        <v>1.03125</v>
      </c>
      <c r="E39" s="20">
        <f ca="1" t="shared" si="11"/>
        <v>36952.8843180242</v>
      </c>
      <c r="H39" s="20"/>
      <c r="I39" s="20"/>
      <c r="J39" s="20"/>
      <c r="K39" s="20"/>
      <c r="L39" s="20"/>
      <c r="M39" s="20"/>
      <c r="N39" s="20"/>
      <c r="O39" s="11"/>
      <c r="P39" s="11"/>
      <c r="Q39" s="11"/>
      <c r="R39" s="11"/>
      <c r="S39" s="11"/>
      <c r="T39" s="11"/>
      <c r="U39" s="20"/>
      <c r="V39" s="32"/>
      <c r="W39" s="32"/>
    </row>
    <row r="40" spans="1:23">
      <c r="A40" s="11" t="s">
        <v>14</v>
      </c>
      <c r="B40" s="20">
        <f ca="1" t="shared" si="9"/>
        <v>-2.5</v>
      </c>
      <c r="C40" s="20">
        <v>0.5</v>
      </c>
      <c r="D40" s="20">
        <f ca="1" t="shared" si="10"/>
        <v>0.6875</v>
      </c>
      <c r="E40" s="20">
        <f ca="1" t="shared" si="11"/>
        <v>42170.9312987449</v>
      </c>
      <c r="H40" s="20"/>
      <c r="I40" s="20"/>
      <c r="J40" s="20"/>
      <c r="K40" s="20"/>
      <c r="L40" s="20"/>
      <c r="M40" s="20"/>
      <c r="N40" s="20"/>
      <c r="O40" s="11"/>
      <c r="P40" s="11"/>
      <c r="Q40" s="11"/>
      <c r="R40" s="11"/>
      <c r="S40" s="11"/>
      <c r="T40" s="11"/>
      <c r="U40" s="20"/>
      <c r="V40" s="32"/>
      <c r="W40" s="32"/>
    </row>
    <row r="41" spans="1:23">
      <c r="A41" s="11" t="s">
        <v>14</v>
      </c>
      <c r="B41" s="20">
        <f ca="1" t="shared" si="9"/>
        <v>-5</v>
      </c>
      <c r="C41" s="20">
        <v>1</v>
      </c>
      <c r="D41" s="20">
        <f ca="1" t="shared" si="10"/>
        <v>1.375</v>
      </c>
      <c r="E41" s="20">
        <f ca="1" t="shared" si="11"/>
        <v>84341.8625974897</v>
      </c>
      <c r="H41" s="20"/>
      <c r="I41" s="20"/>
      <c r="J41" s="20"/>
      <c r="K41" s="20"/>
      <c r="L41" s="20"/>
      <c r="M41" s="20"/>
      <c r="N41" s="20"/>
      <c r="O41" s="11"/>
      <c r="P41" s="11"/>
      <c r="Q41" s="11"/>
      <c r="R41" s="11"/>
      <c r="S41" s="11"/>
      <c r="T41" s="11"/>
      <c r="U41" s="20"/>
      <c r="V41" s="32"/>
      <c r="W41" s="32"/>
    </row>
    <row r="42" spans="1:23">
      <c r="A42" s="11" t="s">
        <v>14</v>
      </c>
      <c r="B42" s="20">
        <f ca="1" t="shared" si="9"/>
        <v>-5</v>
      </c>
      <c r="C42" s="20">
        <v>1</v>
      </c>
      <c r="D42" s="20">
        <f ca="1" t="shared" si="10"/>
        <v>1.375</v>
      </c>
      <c r="E42" s="20">
        <f ca="1" t="shared" si="11"/>
        <v>84341.8625974897</v>
      </c>
      <c r="H42" s="20"/>
      <c r="I42" s="20"/>
      <c r="J42" s="20"/>
      <c r="K42" s="20"/>
      <c r="L42" s="20"/>
      <c r="M42" s="20"/>
      <c r="N42" s="20"/>
      <c r="O42" s="11"/>
      <c r="P42" s="11"/>
      <c r="Q42" s="11"/>
      <c r="R42" s="11"/>
      <c r="S42" s="11"/>
      <c r="T42" s="11"/>
      <c r="U42" s="20"/>
      <c r="V42" s="32"/>
      <c r="W42" s="32"/>
    </row>
    <row r="43" spans="1:23">
      <c r="A43" s="11" t="s">
        <v>14</v>
      </c>
      <c r="B43" s="20">
        <f ca="1" t="shared" si="9"/>
        <v>-5</v>
      </c>
      <c r="C43" s="20">
        <v>1</v>
      </c>
      <c r="D43" s="20">
        <f ca="1" t="shared" si="10"/>
        <v>1.375</v>
      </c>
      <c r="E43" s="20">
        <f ca="1" t="shared" si="11"/>
        <v>84341.8625974897</v>
      </c>
      <c r="H43" s="20"/>
      <c r="I43" s="20"/>
      <c r="J43" s="20"/>
      <c r="K43" s="20"/>
      <c r="L43" s="20"/>
      <c r="M43" s="20"/>
      <c r="N43" s="20"/>
      <c r="O43" s="11"/>
      <c r="P43" s="11"/>
      <c r="Q43" s="11"/>
      <c r="R43" s="11"/>
      <c r="S43" s="11"/>
      <c r="T43" s="11"/>
      <c r="U43" s="20"/>
      <c r="V43" s="32"/>
      <c r="W43" s="32"/>
    </row>
    <row r="44" spans="1:23">
      <c r="A44" s="11" t="s">
        <v>14</v>
      </c>
      <c r="B44" s="20">
        <f ca="1" t="shared" si="9"/>
        <v>-5</v>
      </c>
      <c r="C44" s="20">
        <v>1</v>
      </c>
      <c r="D44" s="20">
        <f ca="1" t="shared" si="10"/>
        <v>1.375</v>
      </c>
      <c r="E44" s="20">
        <f ca="1" t="shared" si="11"/>
        <v>84341.8625974897</v>
      </c>
      <c r="H44" s="20"/>
      <c r="I44" s="20"/>
      <c r="J44" s="20"/>
      <c r="K44" s="20"/>
      <c r="L44" s="20"/>
      <c r="M44" s="20"/>
      <c r="N44" s="20"/>
      <c r="O44" s="11"/>
      <c r="P44" s="11"/>
      <c r="Q44" s="11"/>
      <c r="R44" s="11"/>
      <c r="S44" s="11"/>
      <c r="T44" s="11"/>
      <c r="U44" s="20"/>
      <c r="V44" s="32"/>
      <c r="W44" s="32"/>
    </row>
    <row r="45" spans="1:23">
      <c r="A45" s="11" t="s">
        <v>14</v>
      </c>
      <c r="B45" s="20">
        <f ca="1" t="shared" si="9"/>
        <v>-5</v>
      </c>
      <c r="C45" s="20">
        <v>1</v>
      </c>
      <c r="D45" s="20">
        <f ca="1" t="shared" si="10"/>
        <v>1.375</v>
      </c>
      <c r="E45" s="20">
        <f ca="1" t="shared" si="11"/>
        <v>84341.8625974897</v>
      </c>
      <c r="H45" s="20"/>
      <c r="I45" s="20"/>
      <c r="J45" s="20"/>
      <c r="K45" s="20"/>
      <c r="L45" s="20"/>
      <c r="M45" s="20"/>
      <c r="N45" s="20"/>
      <c r="O45" s="11"/>
      <c r="P45" s="11"/>
      <c r="Q45" s="11"/>
      <c r="R45" s="11"/>
      <c r="S45" s="11"/>
      <c r="T45" s="11"/>
      <c r="U45" s="20"/>
      <c r="V45" s="32"/>
      <c r="W45" s="32"/>
    </row>
    <row r="46" spans="1:23">
      <c r="A46" s="11" t="s">
        <v>14</v>
      </c>
      <c r="B46" s="20">
        <f ca="1" t="shared" si="9"/>
        <v>-5</v>
      </c>
      <c r="C46" s="20">
        <v>1</v>
      </c>
      <c r="D46" s="20">
        <f ca="1" t="shared" si="10"/>
        <v>1.375</v>
      </c>
      <c r="E46" s="20">
        <f ca="1" t="shared" si="11"/>
        <v>84341.8625974897</v>
      </c>
      <c r="H46" s="20"/>
      <c r="I46" s="20"/>
      <c r="J46" s="20"/>
      <c r="K46" s="20"/>
      <c r="L46" s="20"/>
      <c r="M46" s="20"/>
      <c r="N46" s="20"/>
      <c r="O46" s="11"/>
      <c r="P46" s="11"/>
      <c r="Q46" s="11"/>
      <c r="R46" s="11"/>
      <c r="S46" s="11"/>
      <c r="T46" s="11"/>
      <c r="U46" s="20"/>
      <c r="V46" s="32"/>
      <c r="W46" s="32"/>
    </row>
    <row r="47" spans="1:23">
      <c r="A47" s="11" t="s">
        <v>14</v>
      </c>
      <c r="B47" s="20">
        <f ca="1" t="shared" si="9"/>
        <v>-5</v>
      </c>
      <c r="C47" s="20">
        <v>1</v>
      </c>
      <c r="D47" s="20">
        <f ca="1" t="shared" si="10"/>
        <v>1.375</v>
      </c>
      <c r="E47" s="20">
        <f ca="1" t="shared" si="11"/>
        <v>84341.8625974897</v>
      </c>
      <c r="H47" s="20"/>
      <c r="I47" s="20"/>
      <c r="J47" s="20"/>
      <c r="K47" s="20"/>
      <c r="L47" s="20"/>
      <c r="M47" s="7"/>
      <c r="N47" s="7"/>
      <c r="O47" s="11"/>
      <c r="P47" s="11"/>
      <c r="Q47" s="11"/>
      <c r="R47" s="11"/>
      <c r="S47" s="11"/>
      <c r="T47" s="11"/>
      <c r="U47" s="20"/>
      <c r="V47" s="32"/>
      <c r="W47" s="32"/>
    </row>
    <row r="48" spans="1:23">
      <c r="A48" s="11" t="s">
        <v>14</v>
      </c>
      <c r="B48" s="20">
        <f ca="1" t="shared" si="9"/>
        <v>-5</v>
      </c>
      <c r="C48" s="20">
        <v>1</v>
      </c>
      <c r="D48" s="20">
        <f ca="1" t="shared" si="10"/>
        <v>1.375</v>
      </c>
      <c r="E48" s="20">
        <f ca="1" t="shared" si="11"/>
        <v>84341.8625974897</v>
      </c>
      <c r="H48" s="20"/>
      <c r="I48" s="20"/>
      <c r="J48" s="20"/>
      <c r="K48" s="20"/>
      <c r="L48" s="20"/>
      <c r="M48" s="7"/>
      <c r="N48" s="7"/>
      <c r="O48" s="11"/>
      <c r="P48" s="11"/>
      <c r="Q48" s="11"/>
      <c r="R48" s="11"/>
      <c r="S48" s="11"/>
      <c r="T48" s="11"/>
      <c r="U48" s="20"/>
      <c r="V48" s="32"/>
      <c r="W48" s="32"/>
    </row>
    <row r="49" spans="1:23">
      <c r="A49" s="11"/>
      <c r="B49" s="7"/>
      <c r="C49" s="11">
        <f>SUM(C38:C48)</f>
        <v>10</v>
      </c>
      <c r="D49" s="11">
        <f ca="1">SUM(D39:D48)+C49/16</f>
        <v>13.34375</v>
      </c>
      <c r="E49" s="7">
        <f ca="1">INT(D49+1)*$I$9</f>
        <v>175430.50650574</v>
      </c>
      <c r="F49" s="11">
        <f ca="1">D49*$I$16/$T$15+(D50-D49)*$I$15/$T$15</f>
        <v>103275.792036643</v>
      </c>
      <c r="H49" s="20"/>
      <c r="I49" s="20"/>
      <c r="J49" s="20"/>
      <c r="K49" s="20"/>
      <c r="L49" s="20"/>
      <c r="O49" s="11"/>
      <c r="P49" s="11"/>
      <c r="Q49" s="11"/>
      <c r="R49" s="11"/>
      <c r="S49" s="11"/>
      <c r="T49" s="11"/>
      <c r="U49" s="20"/>
      <c r="V49" s="32"/>
      <c r="W49" s="32"/>
    </row>
    <row r="50" spans="1:23">
      <c r="A50" s="11"/>
      <c r="B50" s="11">
        <f ca="1">SUM(B36:B48)</f>
        <v>-45.5</v>
      </c>
      <c r="C50" s="11">
        <f>SUM(C36:C48)</f>
        <v>11.3</v>
      </c>
      <c r="D50" s="11">
        <f ca="1">SUM(D36:D48)</f>
        <v>15.5375</v>
      </c>
      <c r="E50" s="11">
        <f ca="1">SUM(E36:E49)</f>
        <v>1146697.96091438</v>
      </c>
      <c r="H50" s="20"/>
      <c r="I50" s="20"/>
      <c r="J50" s="20"/>
      <c r="K50" s="20"/>
      <c r="L50" s="20"/>
      <c r="O50" s="11"/>
      <c r="P50" s="11"/>
      <c r="Q50" s="11"/>
      <c r="R50" s="11"/>
      <c r="S50" s="11"/>
      <c r="T50" s="7"/>
      <c r="U50" s="20"/>
      <c r="V50" s="32"/>
      <c r="W50" s="32"/>
    </row>
    <row r="51" spans="1:23">
      <c r="A51" s="11"/>
      <c r="B51" s="11">
        <v>0</v>
      </c>
      <c r="C51" s="11">
        <f>C50*B51</f>
        <v>0</v>
      </c>
      <c r="D51" s="11">
        <f ca="1">D50+C51/16</f>
        <v>15.5375</v>
      </c>
      <c r="E51" s="11">
        <f ca="1">E50/D51</f>
        <v>73801.9604771925</v>
      </c>
      <c r="F51" s="11">
        <f ca="1">F49/D51</f>
        <v>6646.87318015401</v>
      </c>
      <c r="G51" s="11">
        <f ca="1" t="shared" ref="G51:G55" si="12">(E51+F51+$Q$30+$Q$31+$Q$32+$Q$33)*(1+$P$23)</f>
        <v>102702.616255724</v>
      </c>
      <c r="H51" s="20"/>
      <c r="I51" s="20"/>
      <c r="J51" s="20"/>
      <c r="K51" s="20"/>
      <c r="L51" s="20"/>
      <c r="O51" s="11"/>
      <c r="P51" s="11"/>
      <c r="Q51" s="11"/>
      <c r="R51" s="11"/>
      <c r="S51" s="11"/>
      <c r="T51" s="11"/>
      <c r="U51" s="20"/>
      <c r="V51" s="32"/>
      <c r="W51" s="32"/>
    </row>
    <row r="52" spans="1:23">
      <c r="A52" s="11"/>
      <c r="B52" s="11">
        <v>1</v>
      </c>
      <c r="C52" s="11">
        <f>C50*B52</f>
        <v>11.3</v>
      </c>
      <c r="D52" s="11">
        <f ca="1">D50+C52/16</f>
        <v>16.24375</v>
      </c>
      <c r="E52" s="11">
        <f ca="1">E50/D52</f>
        <v>70593.1795868798</v>
      </c>
      <c r="F52" s="11">
        <f ca="1">F49/D52</f>
        <v>6357.87869406035</v>
      </c>
      <c r="G52" s="11">
        <f ca="1" t="shared" si="12"/>
        <v>99204.8408793181</v>
      </c>
      <c r="H52" s="20">
        <f ca="1">(G52-实战!G52)*10</f>
        <v>10.1993158746336</v>
      </c>
      <c r="I52" s="20"/>
      <c r="J52" s="20"/>
      <c r="K52" s="20"/>
      <c r="L52" s="20"/>
      <c r="O52" s="11"/>
      <c r="P52" s="11"/>
      <c r="Q52" s="7"/>
      <c r="R52" s="11"/>
      <c r="S52" s="11"/>
      <c r="T52" s="11"/>
      <c r="U52" s="20"/>
      <c r="V52" s="32"/>
      <c r="W52" s="32"/>
    </row>
    <row r="53" spans="1:23">
      <c r="A53" s="11"/>
      <c r="B53" s="11">
        <v>3</v>
      </c>
      <c r="C53" s="11">
        <f>C50*B53</f>
        <v>33.9</v>
      </c>
      <c r="D53" s="11">
        <f ca="1">D50+C53/16</f>
        <v>17.65625</v>
      </c>
      <c r="E53" s="11">
        <f ca="1">E50/D53</f>
        <v>64945.7252199294</v>
      </c>
      <c r="F53" s="20">
        <f ca="1">F49/D53</f>
        <v>5849.24839853553</v>
      </c>
      <c r="G53" s="11">
        <f ca="1" t="shared" si="12"/>
        <v>93048.7562168429</v>
      </c>
      <c r="H53" s="20"/>
      <c r="I53" s="20"/>
      <c r="J53" s="20"/>
      <c r="K53" s="20"/>
      <c r="L53" s="20"/>
      <c r="O53" s="7"/>
      <c r="P53" s="11"/>
      <c r="Q53" s="7"/>
      <c r="R53" s="11"/>
      <c r="S53" s="11"/>
      <c r="T53" s="11"/>
      <c r="U53" s="20"/>
      <c r="V53" s="32"/>
      <c r="W53" s="32"/>
    </row>
    <row r="54" spans="1:23">
      <c r="A54" s="11"/>
      <c r="B54" s="11">
        <v>5</v>
      </c>
      <c r="C54" s="11">
        <f>C50*B54</f>
        <v>56.5</v>
      </c>
      <c r="D54" s="11">
        <f ca="1">D50+C54/16</f>
        <v>19.06875</v>
      </c>
      <c r="E54" s="11">
        <f ca="1">E50/D54</f>
        <v>60134.9307591939</v>
      </c>
      <c r="F54" s="20">
        <f ca="1">F49/D54</f>
        <v>5415.97073938475</v>
      </c>
      <c r="G54" s="11">
        <f ca="1" t="shared" si="12"/>
        <v>87804.6840969566</v>
      </c>
      <c r="H54" s="11"/>
      <c r="I54" s="20"/>
      <c r="J54" s="20"/>
      <c r="K54" s="20"/>
      <c r="L54" s="20"/>
      <c r="O54" s="11"/>
      <c r="P54" s="11"/>
      <c r="Q54" s="7"/>
      <c r="R54" s="11"/>
      <c r="S54" s="11"/>
      <c r="T54" s="11"/>
      <c r="U54" s="20"/>
      <c r="V54" s="32"/>
      <c r="W54" s="32"/>
    </row>
    <row r="55" spans="1:23">
      <c r="A55" s="11"/>
      <c r="B55" s="11">
        <v>7</v>
      </c>
      <c r="C55" s="11">
        <f>C50*B55</f>
        <v>79.1</v>
      </c>
      <c r="D55" s="11">
        <f ca="1">D50+C55/16</f>
        <v>20.48125</v>
      </c>
      <c r="E55" s="11">
        <f ca="1">E50/D55</f>
        <v>55987.6941551116</v>
      </c>
      <c r="F55" s="20">
        <f ca="1">F49/D55</f>
        <v>5042.4555159789</v>
      </c>
      <c r="G55" s="11">
        <f ca="1" t="shared" si="12"/>
        <v>83283.9322694684</v>
      </c>
      <c r="H55" s="11"/>
      <c r="I55" s="20"/>
      <c r="J55" s="20"/>
      <c r="K55" s="20"/>
      <c r="L55" s="20"/>
      <c r="O55" s="11"/>
      <c r="P55" s="11"/>
      <c r="Q55" s="7"/>
      <c r="R55" s="11"/>
      <c r="S55" s="11"/>
      <c r="T55" s="11"/>
      <c r="U55" s="20"/>
      <c r="V55" s="32"/>
      <c r="W55" s="32"/>
    </row>
    <row r="56" spans="8:23">
      <c r="H56" s="20"/>
      <c r="I56" s="20"/>
      <c r="J56" s="20"/>
      <c r="K56" s="20"/>
      <c r="L56" s="20"/>
      <c r="M56" s="20"/>
      <c r="N56" s="20"/>
      <c r="O56" s="11"/>
      <c r="P56" s="11"/>
      <c r="Q56" s="7"/>
      <c r="R56" s="11"/>
      <c r="S56" s="11"/>
      <c r="T56" s="11"/>
      <c r="U56" s="20"/>
      <c r="V56" s="32"/>
      <c r="W56" s="32"/>
    </row>
    <row r="57" spans="8:24">
      <c r="H57" s="20"/>
      <c r="I57" s="20"/>
      <c r="J57" s="20"/>
      <c r="K57" s="20"/>
      <c r="L57" s="20"/>
      <c r="M57" s="20"/>
      <c r="N57" s="20"/>
      <c r="O57" s="11"/>
      <c r="P57" s="11"/>
      <c r="Q57" s="7"/>
      <c r="R57" s="11"/>
      <c r="S57" s="11"/>
      <c r="T57" s="11"/>
      <c r="U57" s="20"/>
      <c r="V57" s="32"/>
      <c r="W57" s="32"/>
      <c r="X57" s="32"/>
    </row>
    <row r="58" spans="1:23">
      <c r="A58" s="20"/>
      <c r="B58" s="20"/>
      <c r="C58" s="20"/>
      <c r="D58" s="20"/>
      <c r="E58" s="20"/>
      <c r="H58" s="20"/>
      <c r="I58" s="20"/>
      <c r="J58" s="20"/>
      <c r="K58" s="20"/>
      <c r="L58" s="20"/>
      <c r="M58" s="20"/>
      <c r="N58" s="20"/>
      <c r="O58" s="11"/>
      <c r="P58" s="11"/>
      <c r="Q58" s="7"/>
      <c r="R58" s="11"/>
      <c r="S58" s="11"/>
      <c r="T58" s="11"/>
      <c r="U58" s="20"/>
      <c r="V58" s="32"/>
      <c r="W58" s="34"/>
    </row>
    <row r="59" spans="1:23">
      <c r="A59" s="20"/>
      <c r="B59" s="20"/>
      <c r="C59" s="20"/>
      <c r="D59" s="20"/>
      <c r="E59" s="20"/>
      <c r="H59" s="20"/>
      <c r="I59" s="20"/>
      <c r="J59" s="20"/>
      <c r="K59" s="20"/>
      <c r="L59" s="20"/>
      <c r="M59" s="20"/>
      <c r="N59" s="20"/>
      <c r="O59" s="11"/>
      <c r="P59" s="11"/>
      <c r="Q59" s="7"/>
      <c r="R59" s="11"/>
      <c r="S59" s="11"/>
      <c r="T59" s="11"/>
      <c r="U59" s="20"/>
      <c r="V59" s="32"/>
      <c r="W59" s="34"/>
    </row>
    <row r="60" spans="1:23">
      <c r="A60" s="20"/>
      <c r="B60" s="20"/>
      <c r="C60" s="20"/>
      <c r="D60" s="20"/>
      <c r="E60" s="20"/>
      <c r="H60" s="20"/>
      <c r="I60" s="20"/>
      <c r="J60" s="20"/>
      <c r="K60" s="20"/>
      <c r="L60" s="20"/>
      <c r="M60" s="20"/>
      <c r="N60" s="20"/>
      <c r="O60" s="11"/>
      <c r="P60" s="11"/>
      <c r="Q60" s="7"/>
      <c r="R60" s="11"/>
      <c r="S60" s="11"/>
      <c r="T60" s="11"/>
      <c r="U60" s="20"/>
      <c r="V60" s="32"/>
      <c r="W60" s="34"/>
    </row>
    <row r="61" spans="1:23">
      <c r="A61" s="20"/>
      <c r="B61" s="20"/>
      <c r="C61" s="20"/>
      <c r="D61" s="20"/>
      <c r="E61" s="20"/>
      <c r="H61" s="20"/>
      <c r="I61" s="20"/>
      <c r="J61" s="20"/>
      <c r="K61" s="20"/>
      <c r="L61" s="20"/>
      <c r="M61" s="20"/>
      <c r="N61" s="20"/>
      <c r="O61" s="11"/>
      <c r="P61" s="11"/>
      <c r="Q61" s="7"/>
      <c r="R61" s="11"/>
      <c r="S61" s="11"/>
      <c r="T61" s="11"/>
      <c r="U61" s="20"/>
      <c r="V61" s="32"/>
      <c r="W61" s="34"/>
    </row>
    <row r="62" spans="1:23">
      <c r="A62" s="20"/>
      <c r="B62" s="20"/>
      <c r="C62" s="20"/>
      <c r="D62" s="20"/>
      <c r="E62" s="20"/>
      <c r="H62" s="20"/>
      <c r="I62" s="20"/>
      <c r="J62" s="20"/>
      <c r="K62" s="20"/>
      <c r="L62" s="20"/>
      <c r="M62" s="20"/>
      <c r="N62" s="20"/>
      <c r="O62" s="11"/>
      <c r="P62" s="11"/>
      <c r="Q62" s="7"/>
      <c r="R62" s="11"/>
      <c r="S62" s="11"/>
      <c r="T62" s="11"/>
      <c r="U62" s="20"/>
      <c r="V62" s="32"/>
      <c r="W62" s="34"/>
    </row>
    <row r="63" spans="1:23">
      <c r="A63" s="20"/>
      <c r="B63" s="20"/>
      <c r="C63" s="20"/>
      <c r="D63" s="20"/>
      <c r="E63" s="20"/>
      <c r="H63" s="20"/>
      <c r="I63" s="20"/>
      <c r="J63" s="20"/>
      <c r="K63" s="20"/>
      <c r="L63" s="20"/>
      <c r="M63" s="20"/>
      <c r="N63" s="20"/>
      <c r="O63" s="11"/>
      <c r="U63" s="20"/>
      <c r="V63" s="32"/>
      <c r="W63" s="34"/>
    </row>
    <row r="64" spans="1:23">
      <c r="A64" s="20"/>
      <c r="B64" s="20"/>
      <c r="C64" s="20"/>
      <c r="D64" s="20"/>
      <c r="E64" s="20"/>
      <c r="H64" s="20"/>
      <c r="I64" s="20"/>
      <c r="J64" s="20"/>
      <c r="K64" s="20"/>
      <c r="L64" s="20"/>
      <c r="M64" s="20"/>
      <c r="N64" s="20"/>
      <c r="P64" s="7"/>
      <c r="Q64" s="11"/>
      <c r="R64" s="11"/>
      <c r="S64" s="7"/>
      <c r="T64" s="11"/>
      <c r="U64" s="20"/>
      <c r="V64" s="32"/>
      <c r="W64" s="34"/>
    </row>
    <row r="65" spans="1:23">
      <c r="A65" s="20"/>
      <c r="B65" s="20"/>
      <c r="C65" s="20"/>
      <c r="D65" s="20"/>
      <c r="E65" s="20"/>
      <c r="H65" s="20"/>
      <c r="I65" s="20"/>
      <c r="J65" s="20"/>
      <c r="K65" s="20"/>
      <c r="L65" s="20"/>
      <c r="M65" s="20"/>
      <c r="N65" s="20"/>
      <c r="O65" s="11"/>
      <c r="P65" s="11"/>
      <c r="Q65" s="11"/>
      <c r="R65" s="11"/>
      <c r="S65" s="11"/>
      <c r="T65" s="11"/>
      <c r="U65" s="20"/>
      <c r="V65" s="32"/>
      <c r="W65" s="34"/>
    </row>
    <row r="66" spans="1:23">
      <c r="A66" s="20"/>
      <c r="B66" s="20"/>
      <c r="C66" s="20"/>
      <c r="D66" s="20"/>
      <c r="E66" s="20"/>
      <c r="H66" s="20"/>
      <c r="I66" s="20"/>
      <c r="J66" s="20"/>
      <c r="K66" s="20"/>
      <c r="L66" s="20"/>
      <c r="M66" s="20"/>
      <c r="N66" s="20"/>
      <c r="O66" s="11"/>
      <c r="P66" s="11"/>
      <c r="Q66" s="11"/>
      <c r="R66" s="11"/>
      <c r="S66" s="11"/>
      <c r="T66" s="11"/>
      <c r="U66" s="11"/>
      <c r="V66" s="32"/>
      <c r="W66" s="34"/>
    </row>
    <row r="67" spans="1:23">
      <c r="A67" s="20"/>
      <c r="B67" s="20"/>
      <c r="C67" s="20"/>
      <c r="D67" s="20"/>
      <c r="E67" s="20"/>
      <c r="H67" s="20"/>
      <c r="I67" s="20"/>
      <c r="J67" s="20"/>
      <c r="K67" s="20"/>
      <c r="L67" s="20"/>
      <c r="O67" s="11"/>
      <c r="P67" s="11"/>
      <c r="Q67" s="11"/>
      <c r="R67" s="11"/>
      <c r="S67" s="11"/>
      <c r="T67" s="11"/>
      <c r="U67" s="11"/>
      <c r="V67" s="32"/>
      <c r="W67" s="34"/>
    </row>
    <row r="68" spans="1:2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O68" s="11"/>
      <c r="P68" s="11"/>
      <c r="Q68" s="11"/>
      <c r="R68" s="11"/>
      <c r="S68" s="11"/>
      <c r="T68" s="20"/>
      <c r="U68" s="11"/>
      <c r="V68" s="32"/>
      <c r="W68" s="34"/>
    </row>
    <row r="69" spans="1:23">
      <c r="A69" s="20"/>
      <c r="B69" s="20"/>
      <c r="C69" s="20"/>
      <c r="D69" s="20"/>
      <c r="E69" s="20"/>
      <c r="F69" s="20"/>
      <c r="G69" s="20"/>
      <c r="H69" s="11"/>
      <c r="I69" s="20"/>
      <c r="J69" s="20"/>
      <c r="K69" s="20"/>
      <c r="L69" s="20"/>
      <c r="O69" s="11"/>
      <c r="P69" s="11"/>
      <c r="Q69" s="11"/>
      <c r="R69" s="11"/>
      <c r="S69" s="11"/>
      <c r="T69" s="20"/>
      <c r="U69" s="11"/>
      <c r="V69" s="32"/>
      <c r="W69" s="34"/>
    </row>
    <row r="70" spans="1:23">
      <c r="A70" s="20"/>
      <c r="B70" s="20"/>
      <c r="C70" s="20"/>
      <c r="D70" s="20"/>
      <c r="E70" s="20"/>
      <c r="F70" s="20"/>
      <c r="G70" s="20"/>
      <c r="H70" s="11"/>
      <c r="I70" s="20"/>
      <c r="J70" s="20"/>
      <c r="K70" s="20"/>
      <c r="L70" s="20"/>
      <c r="O70" s="11"/>
      <c r="P70" s="11"/>
      <c r="Q70" s="11"/>
      <c r="R70" s="11"/>
      <c r="S70" s="11"/>
      <c r="T70" s="20"/>
      <c r="U70" s="11"/>
      <c r="V70" s="32"/>
      <c r="W70" s="34"/>
    </row>
    <row r="71" spans="1:23">
      <c r="A71" s="11"/>
      <c r="B71" s="7"/>
      <c r="C71" s="11"/>
      <c r="D71" s="11"/>
      <c r="E71" s="7"/>
      <c r="F71" s="11"/>
      <c r="G71" s="11"/>
      <c r="H71" s="20"/>
      <c r="I71" s="7"/>
      <c r="J71" s="11"/>
      <c r="K71" s="11"/>
      <c r="L71" s="7"/>
      <c r="M71" s="11"/>
      <c r="N71" s="11"/>
      <c r="U71" s="20"/>
      <c r="V71" s="32"/>
      <c r="W71" s="34"/>
    </row>
    <row r="72" spans="1:23">
      <c r="A72" s="7"/>
      <c r="B72" s="11"/>
      <c r="C72" s="11"/>
      <c r="D72" s="11"/>
      <c r="E72" s="11"/>
      <c r="F72" s="11"/>
      <c r="G72" s="11"/>
      <c r="H72" s="20"/>
      <c r="I72" s="11"/>
      <c r="J72" s="11"/>
      <c r="K72" s="11"/>
      <c r="L72" s="11"/>
      <c r="N72" s="11"/>
      <c r="O72" s="20"/>
      <c r="U72" s="20"/>
      <c r="V72" s="32"/>
      <c r="W72" s="34"/>
    </row>
    <row r="73" spans="1:23">
      <c r="A73" s="11"/>
      <c r="B73" s="11"/>
      <c r="C73" s="11"/>
      <c r="D73" s="11"/>
      <c r="E73" s="11"/>
      <c r="F73" s="11"/>
      <c r="G73" s="11"/>
      <c r="H73" s="20"/>
      <c r="I73" s="11"/>
      <c r="J73" s="11"/>
      <c r="K73" s="11"/>
      <c r="L73" s="11"/>
      <c r="M73" s="11"/>
      <c r="N73" s="11"/>
      <c r="O73" s="20"/>
      <c r="U73" s="20"/>
      <c r="V73" s="32"/>
      <c r="W73" s="34"/>
    </row>
    <row r="74" spans="1:23">
      <c r="A74" s="11"/>
      <c r="B74" s="11"/>
      <c r="C74" s="11"/>
      <c r="D74" s="11"/>
      <c r="E74" s="11"/>
      <c r="F74" s="11"/>
      <c r="G74" s="11"/>
      <c r="H74" s="20"/>
      <c r="I74" s="11"/>
      <c r="J74" s="11"/>
      <c r="K74" s="11"/>
      <c r="L74" s="11"/>
      <c r="M74" s="11"/>
      <c r="N74" s="11"/>
      <c r="O74" s="20"/>
      <c r="U74" s="20"/>
      <c r="V74" s="32"/>
      <c r="W74" s="34"/>
    </row>
    <row r="75" spans="1:23">
      <c r="A75" s="11"/>
      <c r="B75" s="11"/>
      <c r="C75" s="11"/>
      <c r="D75" s="11"/>
      <c r="E75" s="11"/>
      <c r="F75" s="20"/>
      <c r="G75" s="11"/>
      <c r="H75" s="20"/>
      <c r="I75" s="11"/>
      <c r="J75" s="11"/>
      <c r="K75" s="11"/>
      <c r="L75" s="11"/>
      <c r="M75" s="20"/>
      <c r="N75" s="11"/>
      <c r="O75" s="20"/>
      <c r="U75" s="20"/>
      <c r="V75" s="32"/>
      <c r="W75" s="34"/>
    </row>
    <row r="76" spans="1:23">
      <c r="A76" s="11"/>
      <c r="B76" s="11"/>
      <c r="C76" s="11"/>
      <c r="D76" s="11"/>
      <c r="E76" s="11"/>
      <c r="F76" s="20"/>
      <c r="G76" s="11"/>
      <c r="H76" s="20"/>
      <c r="I76" s="11"/>
      <c r="J76" s="11"/>
      <c r="K76" s="11"/>
      <c r="L76" s="11"/>
      <c r="M76" s="20"/>
      <c r="N76" s="11"/>
      <c r="O76" s="20"/>
      <c r="U76" s="20"/>
      <c r="V76" s="32"/>
      <c r="W76" s="34"/>
    </row>
    <row r="77" spans="1:23">
      <c r="A77" s="11"/>
      <c r="B77" s="11"/>
      <c r="C77" s="11"/>
      <c r="D77" s="11"/>
      <c r="E77" s="11"/>
      <c r="F77" s="20"/>
      <c r="G77" s="11"/>
      <c r="H77" s="20"/>
      <c r="I77" s="11"/>
      <c r="J77" s="11"/>
      <c r="K77" s="11"/>
      <c r="L77" s="11"/>
      <c r="M77" s="20"/>
      <c r="N77" s="11"/>
      <c r="O77" s="20"/>
      <c r="U77" s="20"/>
      <c r="V77" s="32"/>
      <c r="W77" s="34"/>
    </row>
    <row r="78" spans="8:23">
      <c r="H78" s="11"/>
      <c r="I78" s="11"/>
      <c r="J78" s="1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32"/>
      <c r="W78" s="34"/>
    </row>
    <row r="79" spans="8:23">
      <c r="H79" s="11"/>
      <c r="I79" s="11"/>
      <c r="J79" s="1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32"/>
      <c r="W79" s="34"/>
    </row>
    <row r="80" spans="1:2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32"/>
      <c r="W80" s="34"/>
    </row>
    <row r="81" spans="1:2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32"/>
      <c r="W81" s="34"/>
    </row>
    <row r="82" spans="1:2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32"/>
      <c r="W82" s="34"/>
    </row>
    <row r="83" spans="1:2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32"/>
      <c r="W83" s="34"/>
    </row>
    <row r="84" spans="1:2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32"/>
      <c r="W84" s="34"/>
    </row>
    <row r="85" spans="1:2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32"/>
      <c r="W85" s="34"/>
    </row>
    <row r="86" spans="1:2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32"/>
      <c r="W86" s="34"/>
    </row>
    <row r="87" spans="1:2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32"/>
      <c r="W87" s="34"/>
    </row>
    <row r="88" spans="1:2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32"/>
      <c r="W88" s="34"/>
    </row>
    <row r="89" spans="1:2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32"/>
      <c r="W89" s="34"/>
    </row>
    <row r="90" spans="1:2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32"/>
      <c r="W90" s="34"/>
    </row>
    <row r="91" spans="1:2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32"/>
      <c r="W91" s="34"/>
    </row>
    <row r="92" spans="1:2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32"/>
      <c r="W92" s="34"/>
    </row>
    <row r="93" spans="1:23">
      <c r="A93" s="20"/>
      <c r="B93" s="20"/>
      <c r="C93" s="20"/>
      <c r="D93" s="20"/>
      <c r="E93" s="20"/>
      <c r="F93" s="11"/>
      <c r="G93" s="7"/>
      <c r="H93" s="20"/>
      <c r="I93" s="20"/>
      <c r="J93" s="20"/>
      <c r="K93" s="20"/>
      <c r="L93" s="20"/>
      <c r="M93" s="11"/>
      <c r="N93" s="7"/>
      <c r="O93" s="20"/>
      <c r="P93" s="20"/>
      <c r="Q93" s="20"/>
      <c r="R93" s="20"/>
      <c r="S93" s="20"/>
      <c r="T93" s="11"/>
      <c r="U93" s="7"/>
      <c r="V93" s="32"/>
      <c r="W93" s="34"/>
    </row>
    <row r="94" spans="1:23">
      <c r="A94" s="20"/>
      <c r="B94" s="20"/>
      <c r="C94" s="20"/>
      <c r="D94" s="20"/>
      <c r="E94" s="20"/>
      <c r="F94" s="7"/>
      <c r="G94" s="11"/>
      <c r="H94" s="20"/>
      <c r="I94" s="20"/>
      <c r="J94" s="20"/>
      <c r="K94" s="20"/>
      <c r="L94" s="20"/>
      <c r="M94" s="7"/>
      <c r="N94" s="11"/>
      <c r="O94" s="20"/>
      <c r="P94" s="20"/>
      <c r="Q94" s="20"/>
      <c r="R94" s="20"/>
      <c r="S94" s="20"/>
      <c r="T94" s="7"/>
      <c r="U94" s="11"/>
      <c r="V94" s="32"/>
      <c r="W94" s="34"/>
    </row>
    <row r="95" spans="1:23">
      <c r="A95" s="20"/>
      <c r="B95" s="20"/>
      <c r="C95" s="20"/>
      <c r="D95" s="20"/>
      <c r="E95" s="20"/>
      <c r="F95" s="11"/>
      <c r="G95" s="11"/>
      <c r="H95" s="20"/>
      <c r="I95" s="20"/>
      <c r="J95" s="20"/>
      <c r="K95" s="20"/>
      <c r="L95" s="20"/>
      <c r="M95" s="11"/>
      <c r="N95" s="11"/>
      <c r="O95" s="20"/>
      <c r="P95" s="20"/>
      <c r="Q95" s="20"/>
      <c r="R95" s="20"/>
      <c r="S95" s="20"/>
      <c r="T95" s="11"/>
      <c r="U95" s="11"/>
      <c r="V95" s="32"/>
      <c r="W95" s="34"/>
    </row>
    <row r="96" spans="1:23">
      <c r="A96" s="20"/>
      <c r="B96" s="7"/>
      <c r="C96" s="11"/>
      <c r="D96" s="11"/>
      <c r="E96" s="7"/>
      <c r="F96" s="11"/>
      <c r="G96" s="11"/>
      <c r="H96" s="20"/>
      <c r="I96" s="20"/>
      <c r="J96" s="20"/>
      <c r="K96" s="20"/>
      <c r="L96" s="20"/>
      <c r="O96" s="20"/>
      <c r="P96" s="20"/>
      <c r="Q96" s="20"/>
      <c r="R96" s="20"/>
      <c r="S96" s="20"/>
      <c r="V96" s="32"/>
      <c r="W96" s="34"/>
    </row>
    <row r="97" spans="1:23">
      <c r="A97" s="20"/>
      <c r="B97" s="11"/>
      <c r="C97" s="11"/>
      <c r="D97" s="11"/>
      <c r="E97" s="11"/>
      <c r="G97" s="11"/>
      <c r="H97" s="20"/>
      <c r="I97" s="7"/>
      <c r="J97" s="11"/>
      <c r="K97" s="11"/>
      <c r="L97" s="7"/>
      <c r="M97" s="11"/>
      <c r="N97" s="11"/>
      <c r="O97" s="20"/>
      <c r="P97" s="20"/>
      <c r="Q97" s="20"/>
      <c r="R97" s="20"/>
      <c r="S97" s="20"/>
      <c r="V97" s="32"/>
      <c r="W97" s="34"/>
    </row>
    <row r="98" spans="1:23">
      <c r="A98" s="20"/>
      <c r="B98" s="11"/>
      <c r="C98" s="11"/>
      <c r="D98" s="11"/>
      <c r="E98" s="11"/>
      <c r="F98" s="11"/>
      <c r="G98" s="11"/>
      <c r="H98" s="20"/>
      <c r="I98" s="11"/>
      <c r="J98" s="11"/>
      <c r="K98" s="11"/>
      <c r="L98" s="11"/>
      <c r="N98" s="11"/>
      <c r="O98" s="20"/>
      <c r="P98" s="7"/>
      <c r="Q98" s="11"/>
      <c r="R98" s="11"/>
      <c r="S98" s="7"/>
      <c r="T98" s="11"/>
      <c r="U98" s="11"/>
      <c r="V98" s="32"/>
      <c r="W98" s="34"/>
    </row>
    <row r="99" spans="1:23">
      <c r="A99" s="20"/>
      <c r="B99" s="11"/>
      <c r="C99" s="11"/>
      <c r="D99" s="11"/>
      <c r="E99" s="11"/>
      <c r="F99" s="11"/>
      <c r="G99" s="11"/>
      <c r="H99" s="20"/>
      <c r="I99" s="11"/>
      <c r="J99" s="11"/>
      <c r="K99" s="11"/>
      <c r="L99" s="11"/>
      <c r="M99" s="11"/>
      <c r="N99" s="11"/>
      <c r="O99" s="20"/>
      <c r="P99" s="11"/>
      <c r="Q99" s="11"/>
      <c r="R99" s="11"/>
      <c r="S99" s="11"/>
      <c r="U99" s="11"/>
      <c r="V99" s="32"/>
      <c r="W99" s="34"/>
    </row>
    <row r="100" spans="1:23">
      <c r="A100" s="20"/>
      <c r="B100" s="11"/>
      <c r="C100" s="11"/>
      <c r="D100" s="11"/>
      <c r="E100" s="11"/>
      <c r="F100" s="20"/>
      <c r="G100" s="11"/>
      <c r="H100" s="20"/>
      <c r="I100" s="11"/>
      <c r="J100" s="11"/>
      <c r="K100" s="11"/>
      <c r="L100" s="11"/>
      <c r="M100" s="11"/>
      <c r="N100" s="11"/>
      <c r="O100" s="20"/>
      <c r="P100" s="11"/>
      <c r="Q100" s="11"/>
      <c r="R100" s="11"/>
      <c r="S100" s="11"/>
      <c r="T100" s="11"/>
      <c r="U100" s="11"/>
      <c r="V100" s="32"/>
      <c r="W100" s="34"/>
    </row>
    <row r="101" spans="1:23">
      <c r="A101" s="20"/>
      <c r="B101" s="11"/>
      <c r="C101" s="11"/>
      <c r="D101" s="11"/>
      <c r="E101" s="11"/>
      <c r="F101" s="20"/>
      <c r="G101" s="11"/>
      <c r="H101" s="20"/>
      <c r="I101" s="11"/>
      <c r="J101" s="11"/>
      <c r="K101" s="11"/>
      <c r="L101" s="11"/>
      <c r="M101" s="20"/>
      <c r="N101" s="11"/>
      <c r="O101" s="20"/>
      <c r="P101" s="11"/>
      <c r="Q101" s="11"/>
      <c r="R101" s="11"/>
      <c r="S101" s="11"/>
      <c r="T101" s="11"/>
      <c r="U101" s="11"/>
      <c r="V101" s="32"/>
      <c r="W101" s="34"/>
    </row>
    <row r="102" spans="1:23">
      <c r="A102" s="20"/>
      <c r="B102" s="11"/>
      <c r="C102" s="11"/>
      <c r="D102" s="11"/>
      <c r="E102" s="11"/>
      <c r="F102" s="20"/>
      <c r="G102" s="11"/>
      <c r="H102" s="20"/>
      <c r="I102" s="11"/>
      <c r="J102" s="11"/>
      <c r="K102" s="11"/>
      <c r="L102" s="11"/>
      <c r="M102" s="20"/>
      <c r="N102" s="11"/>
      <c r="O102" s="20"/>
      <c r="P102" s="11"/>
      <c r="Q102" s="11"/>
      <c r="R102" s="11"/>
      <c r="S102" s="11"/>
      <c r="T102" s="20"/>
      <c r="U102" s="11"/>
      <c r="V102" s="32"/>
      <c r="W102" s="34"/>
    </row>
    <row r="103" spans="9:23">
      <c r="I103" s="11"/>
      <c r="J103" s="11"/>
      <c r="K103" s="11"/>
      <c r="L103" s="11"/>
      <c r="M103" s="20"/>
      <c r="N103" s="11"/>
      <c r="P103" s="11"/>
      <c r="Q103" s="11"/>
      <c r="R103" s="11"/>
      <c r="S103" s="11"/>
      <c r="T103" s="20"/>
      <c r="U103" s="11"/>
      <c r="V103" s="32"/>
      <c r="W103" s="34"/>
    </row>
    <row r="104" spans="16:23">
      <c r="P104" s="11"/>
      <c r="Q104" s="11"/>
      <c r="R104" s="11"/>
      <c r="S104" s="11"/>
      <c r="T104" s="20"/>
      <c r="U104" s="11"/>
      <c r="V104" s="32"/>
      <c r="W104" s="34"/>
    </row>
    <row r="105" spans="17:23">
      <c r="Q105" s="20"/>
      <c r="R105" s="20"/>
      <c r="S105" s="20"/>
      <c r="T105" s="20"/>
      <c r="U105" s="20"/>
      <c r="V105" s="32"/>
      <c r="W105" s="34"/>
    </row>
    <row r="106" spans="4:23">
      <c r="D106" s="20"/>
      <c r="E106" s="20"/>
      <c r="F106" s="20"/>
      <c r="G106" s="20"/>
      <c r="H106" s="20"/>
      <c r="I106" s="20"/>
      <c r="R106" s="20"/>
      <c r="V106" s="17"/>
      <c r="W106" s="17"/>
    </row>
    <row r="107" spans="18:23">
      <c r="R107" s="20"/>
      <c r="V107" s="17"/>
      <c r="W107" s="17"/>
    </row>
    <row r="108" spans="18:23">
      <c r="R108" s="20"/>
      <c r="V108" s="17"/>
      <c r="W108" s="17"/>
    </row>
    <row r="109" spans="18:23">
      <c r="R109" s="20"/>
      <c r="V109" s="17"/>
      <c r="W109" s="17"/>
    </row>
    <row r="110" spans="18:23">
      <c r="R110" s="20"/>
      <c r="V110" s="17"/>
      <c r="W110" s="17"/>
    </row>
    <row r="111" spans="18:23">
      <c r="R111" s="20"/>
      <c r="V111" s="17"/>
      <c r="W111" s="17"/>
    </row>
    <row r="112" spans="10:23">
      <c r="J112" s="20"/>
      <c r="R112" s="20"/>
      <c r="S112" s="20"/>
      <c r="T112" s="20"/>
      <c r="V112" s="17"/>
      <c r="W112" s="17"/>
    </row>
    <row r="113" spans="4:23">
      <c r="D113" s="16"/>
      <c r="E113" s="16"/>
      <c r="F113" s="16"/>
      <c r="G113" s="16"/>
      <c r="H113" s="16"/>
      <c r="I113" s="16"/>
      <c r="J113" s="13"/>
      <c r="K113" s="16"/>
      <c r="L113" s="16"/>
      <c r="M113" s="16"/>
      <c r="N113" s="16"/>
      <c r="O113" s="16"/>
      <c r="R113" s="20"/>
      <c r="S113" s="20"/>
      <c r="T113" s="20"/>
      <c r="U113" s="16"/>
      <c r="V113" s="17"/>
      <c r="W113" s="17"/>
    </row>
    <row r="114" spans="20:23">
      <c r="T114" s="20"/>
      <c r="V114" s="20"/>
      <c r="W114" s="17"/>
    </row>
    <row r="115" spans="20:23">
      <c r="T115" s="20"/>
      <c r="V115" s="20"/>
      <c r="W115" s="17"/>
    </row>
    <row r="116" spans="20:23">
      <c r="T116" s="20"/>
      <c r="V116" s="20"/>
      <c r="W116" s="17"/>
    </row>
    <row r="117" spans="20:23">
      <c r="T117" s="20"/>
      <c r="V117" s="20"/>
      <c r="W117" s="17"/>
    </row>
    <row r="118" spans="20:23">
      <c r="T118" s="20"/>
      <c r="V118" s="20"/>
      <c r="W118" s="17"/>
    </row>
    <row r="119" spans="18:23">
      <c r="R119" s="20"/>
      <c r="T119" s="20"/>
      <c r="V119" s="17"/>
      <c r="W119" s="17"/>
    </row>
    <row r="120" spans="4:23">
      <c r="D120" s="16"/>
      <c r="E120" s="16"/>
      <c r="F120" s="16"/>
      <c r="G120" s="16"/>
      <c r="H120" s="16"/>
      <c r="I120" s="16"/>
      <c r="J120" s="13"/>
      <c r="K120" s="16"/>
      <c r="L120" s="16"/>
      <c r="M120" s="16"/>
      <c r="N120" s="16"/>
      <c r="O120" s="16"/>
      <c r="R120" s="20"/>
      <c r="T120" s="20"/>
      <c r="U120" s="16"/>
      <c r="V120" s="17"/>
      <c r="W120" s="17"/>
    </row>
    <row r="121" spans="18:23">
      <c r="R121" s="20"/>
      <c r="T121" s="20"/>
      <c r="V121" s="20"/>
      <c r="W121" s="17"/>
    </row>
    <row r="122" spans="18:23">
      <c r="R122" s="20"/>
      <c r="T122" s="20"/>
      <c r="V122" s="20"/>
      <c r="W122" s="17"/>
    </row>
    <row r="123" spans="18:23">
      <c r="R123" s="20"/>
      <c r="T123" s="20"/>
      <c r="V123" s="20"/>
      <c r="W123" s="17"/>
    </row>
    <row r="124" spans="18:23">
      <c r="R124" s="20"/>
      <c r="T124" s="20"/>
      <c r="V124" s="20"/>
      <c r="W124" s="17"/>
    </row>
    <row r="125" spans="18:23">
      <c r="R125" s="20"/>
      <c r="T125" s="20"/>
      <c r="V125" s="20"/>
      <c r="W125" s="17"/>
    </row>
    <row r="126" spans="8:23">
      <c r="H126" s="11"/>
      <c r="R126" s="20"/>
      <c r="T126" s="20"/>
      <c r="V126" s="17"/>
      <c r="W126" s="17"/>
    </row>
    <row r="127" spans="4:23">
      <c r="D127" s="16"/>
      <c r="E127" s="16"/>
      <c r="F127" s="16"/>
      <c r="G127" s="16"/>
      <c r="H127" s="16"/>
      <c r="I127" s="16"/>
      <c r="J127" s="13"/>
      <c r="K127" s="16"/>
      <c r="L127" s="16"/>
      <c r="M127" s="16"/>
      <c r="N127" s="16"/>
      <c r="O127" s="16"/>
      <c r="R127" s="20"/>
      <c r="T127" s="20"/>
      <c r="U127" s="16"/>
      <c r="V127" s="17"/>
      <c r="W127" s="17"/>
    </row>
    <row r="128" spans="18:23">
      <c r="R128" s="20"/>
      <c r="T128" s="20"/>
      <c r="V128" s="20"/>
      <c r="W128" s="17"/>
    </row>
    <row r="129" spans="18:23">
      <c r="R129" s="20"/>
      <c r="T129" s="20"/>
      <c r="V129" s="20"/>
      <c r="W129" s="17"/>
    </row>
    <row r="130" spans="18:23">
      <c r="R130" s="20"/>
      <c r="T130" s="20"/>
      <c r="V130" s="20"/>
      <c r="W130" s="17"/>
    </row>
    <row r="131" spans="18:23">
      <c r="R131" s="20"/>
      <c r="T131" s="20"/>
      <c r="V131" s="20"/>
      <c r="W131" s="17"/>
    </row>
    <row r="132" spans="18:23">
      <c r="R132" s="20"/>
      <c r="T132" s="20"/>
      <c r="V132" s="20"/>
      <c r="W132" s="17"/>
    </row>
    <row r="133" spans="18:23">
      <c r="R133" s="20"/>
      <c r="T133" s="20"/>
      <c r="V133" s="17"/>
      <c r="W133" s="17"/>
    </row>
    <row r="134" spans="4:23">
      <c r="D134" s="16"/>
      <c r="E134" s="16"/>
      <c r="F134" s="16"/>
      <c r="G134" s="16"/>
      <c r="H134" s="16"/>
      <c r="I134" s="16"/>
      <c r="J134" s="13"/>
      <c r="K134" s="16"/>
      <c r="L134" s="16"/>
      <c r="M134" s="16"/>
      <c r="N134" s="16"/>
      <c r="O134" s="16"/>
      <c r="R134" s="20"/>
      <c r="T134" s="20"/>
      <c r="U134" s="16"/>
      <c r="V134" s="17"/>
      <c r="W134" s="17"/>
    </row>
    <row r="135" spans="18:23">
      <c r="R135" s="20"/>
      <c r="T135" s="20"/>
      <c r="V135" s="20"/>
      <c r="W135" s="17"/>
    </row>
    <row r="136" spans="18:23">
      <c r="R136" s="20"/>
      <c r="T136" s="20"/>
      <c r="V136" s="20"/>
      <c r="W136" s="17"/>
    </row>
    <row r="137" spans="18:23">
      <c r="R137" s="20"/>
      <c r="T137" s="20"/>
      <c r="V137" s="20"/>
      <c r="W137" s="17"/>
    </row>
    <row r="138" spans="22:23">
      <c r="V138" s="20"/>
      <c r="W138" s="17"/>
    </row>
    <row r="139" spans="22:23">
      <c r="V139" s="20"/>
      <c r="W139" s="17"/>
    </row>
    <row r="140" spans="22:23">
      <c r="V140" s="17"/>
      <c r="W140" s="20"/>
    </row>
    <row r="141" spans="4:23">
      <c r="D141" s="16"/>
      <c r="E141" s="16"/>
      <c r="F141" s="16"/>
      <c r="G141" s="16"/>
      <c r="H141" s="16"/>
      <c r="I141" s="16"/>
      <c r="J141" s="13"/>
      <c r="K141" s="16"/>
      <c r="L141" s="16"/>
      <c r="M141" s="16"/>
      <c r="N141" s="16"/>
      <c r="O141" s="16"/>
      <c r="V141" s="17"/>
      <c r="W141" s="17"/>
    </row>
    <row r="142" spans="22:23">
      <c r="V142" s="20"/>
      <c r="W142" s="17"/>
    </row>
    <row r="143" spans="22:23">
      <c r="V143" s="20"/>
      <c r="W143" s="17"/>
    </row>
    <row r="144" spans="22:23">
      <c r="V144" s="20"/>
      <c r="W144" s="17"/>
    </row>
    <row r="145" spans="22:23">
      <c r="V145" s="20"/>
      <c r="W145" s="17"/>
    </row>
    <row r="146" spans="1:2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17"/>
    </row>
    <row r="147" spans="1:2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spans="1:2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</row>
    <row r="149" spans="1:2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0" spans="1:2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</row>
    <row r="151" spans="1:2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spans="1:2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</row>
    <row r="153" spans="1:2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</row>
    <row r="154" spans="1:2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</row>
    <row r="155" spans="1:2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</row>
    <row r="156" spans="1:2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</row>
    <row r="157" spans="1:2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</row>
    <row r="158" spans="1:2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</row>
    <row r="159" spans="1:19">
      <c r="A159" s="20"/>
      <c r="B159" s="20"/>
      <c r="C159" s="20"/>
      <c r="D159" s="20"/>
      <c r="E159" s="20"/>
      <c r="H159" s="20"/>
      <c r="I159" s="20"/>
      <c r="J159" s="20"/>
      <c r="K159" s="20"/>
      <c r="L159" s="20"/>
      <c r="O159" s="20"/>
      <c r="P159" s="20"/>
      <c r="Q159" s="20"/>
      <c r="R159" s="20"/>
      <c r="S159" s="20"/>
    </row>
    <row r="160" spans="1:19">
      <c r="A160" s="20"/>
      <c r="B160" s="20"/>
      <c r="C160" s="20"/>
      <c r="D160" s="20"/>
      <c r="E160" s="20"/>
      <c r="H160" s="20"/>
      <c r="I160" s="20"/>
      <c r="J160" s="20"/>
      <c r="K160" s="20"/>
      <c r="L160" s="20"/>
      <c r="O160" s="20"/>
      <c r="P160" s="20"/>
      <c r="Q160" s="20"/>
      <c r="R160" s="20"/>
      <c r="S160" s="20"/>
    </row>
    <row r="161" spans="1:21">
      <c r="A161" s="20"/>
      <c r="B161" s="7"/>
      <c r="C161" s="11"/>
      <c r="D161" s="11"/>
      <c r="E161" s="7"/>
      <c r="F161" s="11"/>
      <c r="G161" s="11"/>
      <c r="H161" s="20"/>
      <c r="I161" s="7"/>
      <c r="J161" s="11"/>
      <c r="K161" s="11"/>
      <c r="L161" s="7"/>
      <c r="M161" s="11"/>
      <c r="N161" s="11"/>
      <c r="O161" s="20"/>
      <c r="P161" s="7"/>
      <c r="Q161" s="11"/>
      <c r="R161" s="11"/>
      <c r="S161" s="7"/>
      <c r="T161" s="11"/>
      <c r="U161" s="11"/>
    </row>
    <row r="162" spans="1:21">
      <c r="A162" s="20"/>
      <c r="B162" s="11"/>
      <c r="C162" s="11"/>
      <c r="D162" s="11"/>
      <c r="E162" s="11"/>
      <c r="F162" s="11"/>
      <c r="G162" s="11"/>
      <c r="H162" s="20"/>
      <c r="I162" s="11"/>
      <c r="J162" s="11"/>
      <c r="K162" s="11"/>
      <c r="L162" s="11"/>
      <c r="M162" s="11"/>
      <c r="N162" s="11"/>
      <c r="O162" s="20"/>
      <c r="P162" s="11"/>
      <c r="Q162" s="11"/>
      <c r="R162" s="11"/>
      <c r="S162" s="11"/>
      <c r="T162" s="11"/>
      <c r="U162" s="11"/>
    </row>
    <row r="163" spans="1:21">
      <c r="A163" s="20"/>
      <c r="B163" s="11"/>
      <c r="C163" s="11"/>
      <c r="D163" s="11"/>
      <c r="E163" s="11"/>
      <c r="F163" s="11"/>
      <c r="G163" s="11"/>
      <c r="H163" s="20"/>
      <c r="I163" s="11"/>
      <c r="J163" s="11"/>
      <c r="K163" s="11"/>
      <c r="L163" s="11"/>
      <c r="M163" s="11"/>
      <c r="N163" s="11"/>
      <c r="O163" s="20"/>
      <c r="P163" s="11"/>
      <c r="Q163" s="11"/>
      <c r="R163" s="11"/>
      <c r="S163" s="11"/>
      <c r="T163" s="11"/>
      <c r="U163" s="11"/>
    </row>
    <row r="164" spans="1:21">
      <c r="A164" s="20"/>
      <c r="B164" s="11"/>
      <c r="C164" s="11"/>
      <c r="D164" s="11"/>
      <c r="E164" s="11"/>
      <c r="F164" s="11"/>
      <c r="G164" s="11"/>
      <c r="H164" s="20"/>
      <c r="I164" s="11"/>
      <c r="J164" s="11"/>
      <c r="K164" s="11"/>
      <c r="L164" s="11"/>
      <c r="M164" s="11"/>
      <c r="N164" s="11"/>
      <c r="O164" s="20"/>
      <c r="P164" s="11"/>
      <c r="Q164" s="11"/>
      <c r="R164" s="11"/>
      <c r="S164" s="11"/>
      <c r="T164" s="11"/>
      <c r="U164" s="11"/>
    </row>
    <row r="165" spans="1:21">
      <c r="A165" s="20"/>
      <c r="B165" s="11"/>
      <c r="C165" s="11"/>
      <c r="D165" s="11"/>
      <c r="E165" s="11"/>
      <c r="F165" s="20"/>
      <c r="G165" s="11"/>
      <c r="H165" s="20"/>
      <c r="I165" s="11"/>
      <c r="J165" s="11"/>
      <c r="K165" s="11"/>
      <c r="L165" s="11"/>
      <c r="M165" s="20"/>
      <c r="N165" s="11"/>
      <c r="O165" s="20"/>
      <c r="P165" s="11"/>
      <c r="Q165" s="11"/>
      <c r="R165" s="11"/>
      <c r="S165" s="11"/>
      <c r="T165" s="20"/>
      <c r="U165" s="11"/>
    </row>
    <row r="166" spans="1:21">
      <c r="A166" s="20"/>
      <c r="B166" s="11"/>
      <c r="C166" s="11"/>
      <c r="D166" s="11"/>
      <c r="E166" s="11"/>
      <c r="F166" s="20"/>
      <c r="G166" s="11"/>
      <c r="H166" s="20"/>
      <c r="I166" s="11"/>
      <c r="J166" s="11"/>
      <c r="K166" s="11"/>
      <c r="L166" s="11"/>
      <c r="M166" s="20"/>
      <c r="N166" s="11"/>
      <c r="O166" s="20"/>
      <c r="P166" s="11"/>
      <c r="Q166" s="11"/>
      <c r="R166" s="11"/>
      <c r="S166" s="11"/>
      <c r="T166" s="20"/>
      <c r="U166" s="11"/>
    </row>
    <row r="167" spans="1:21">
      <c r="A167" s="20"/>
      <c r="B167" s="11"/>
      <c r="C167" s="11"/>
      <c r="D167" s="11"/>
      <c r="E167" s="11"/>
      <c r="F167" s="20"/>
      <c r="G167" s="11"/>
      <c r="H167" s="20"/>
      <c r="I167" s="11"/>
      <c r="J167" s="11"/>
      <c r="K167" s="11"/>
      <c r="L167" s="11"/>
      <c r="M167" s="20"/>
      <c r="N167" s="11"/>
      <c r="O167" s="20"/>
      <c r="P167" s="11"/>
      <c r="Q167" s="11"/>
      <c r="R167" s="11"/>
      <c r="S167" s="11"/>
      <c r="T167" s="20"/>
      <c r="U167" s="11"/>
    </row>
    <row r="168" spans="8:8">
      <c r="H168" s="11"/>
    </row>
    <row r="169" spans="8:8">
      <c r="H169" s="11"/>
    </row>
    <row r="170" spans="8:8">
      <c r="H170" s="11"/>
    </row>
    <row r="171" spans="1:22">
      <c r="A171" s="20"/>
      <c r="B171" s="20"/>
      <c r="C171" s="20"/>
      <c r="D171" s="20"/>
      <c r="E171" s="20"/>
      <c r="F171" s="20"/>
      <c r="G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>
      <c r="A172" s="20"/>
      <c r="B172" s="20"/>
      <c r="C172" s="20"/>
      <c r="D172" s="20"/>
      <c r="E172" s="20"/>
      <c r="F172" s="20"/>
      <c r="G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>
      <c r="A173" s="20"/>
      <c r="B173" s="20"/>
      <c r="C173" s="20"/>
      <c r="D173" s="20"/>
      <c r="E173" s="20"/>
      <c r="F173" s="20"/>
      <c r="G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>
      <c r="A174" s="20"/>
      <c r="B174" s="20"/>
      <c r="C174" s="20"/>
      <c r="D174" s="20"/>
      <c r="E174" s="20"/>
      <c r="F174" s="20"/>
      <c r="G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>
      <c r="A175" s="20"/>
      <c r="B175" s="20"/>
      <c r="C175" s="20"/>
      <c r="D175" s="20"/>
      <c r="E175" s="20"/>
      <c r="F175" s="20"/>
      <c r="G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>
      <c r="A176" s="20"/>
      <c r="B176" s="20"/>
      <c r="C176" s="20"/>
      <c r="D176" s="20"/>
      <c r="E176" s="20"/>
      <c r="F176" s="20"/>
      <c r="G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>
      <c r="A177" s="20"/>
      <c r="B177" s="20"/>
      <c r="C177" s="20"/>
      <c r="D177" s="20"/>
      <c r="E177" s="20"/>
      <c r="F177" s="20"/>
      <c r="G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>
      <c r="A178" s="20"/>
      <c r="B178" s="20"/>
      <c r="C178" s="20"/>
      <c r="D178" s="20"/>
      <c r="E178" s="20"/>
      <c r="F178" s="20"/>
      <c r="G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>
      <c r="A179" s="20"/>
      <c r="B179" s="20"/>
      <c r="C179" s="20"/>
      <c r="D179" s="20"/>
      <c r="E179" s="20"/>
      <c r="F179" s="20"/>
      <c r="G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>
      <c r="A180" s="20"/>
      <c r="B180" s="20"/>
      <c r="C180" s="20"/>
      <c r="D180" s="20"/>
      <c r="E180" s="20"/>
      <c r="F180" s="20"/>
      <c r="G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>
      <c r="A181" s="20"/>
      <c r="B181" s="20"/>
      <c r="C181" s="20"/>
      <c r="D181" s="20"/>
      <c r="E181" s="20"/>
      <c r="F181" s="7"/>
      <c r="G181" s="11"/>
      <c r="I181" s="20"/>
      <c r="J181" s="20"/>
      <c r="K181" s="20"/>
      <c r="L181" s="20"/>
      <c r="M181" s="20"/>
      <c r="N181" s="7"/>
      <c r="O181" s="11"/>
      <c r="P181" s="20"/>
      <c r="Q181" s="20"/>
      <c r="R181" s="20"/>
      <c r="S181" s="20"/>
      <c r="T181" s="20"/>
      <c r="U181" s="7"/>
      <c r="V181" s="11"/>
    </row>
    <row r="182" spans="1:22">
      <c r="A182" s="20"/>
      <c r="B182" s="20"/>
      <c r="C182" s="20"/>
      <c r="D182" s="20"/>
      <c r="E182" s="20"/>
      <c r="I182" s="20"/>
      <c r="J182" s="20"/>
      <c r="K182" s="20"/>
      <c r="L182" s="20"/>
      <c r="M182" s="20"/>
      <c r="P182" s="20"/>
      <c r="Q182" s="20"/>
      <c r="R182" s="20"/>
      <c r="S182" s="20"/>
      <c r="T182" s="20"/>
      <c r="V182" s="17"/>
    </row>
    <row r="183" spans="1:22">
      <c r="A183" s="20"/>
      <c r="B183" s="20"/>
      <c r="C183" s="20"/>
      <c r="D183" s="20"/>
      <c r="E183" s="20"/>
      <c r="I183" s="20"/>
      <c r="J183" s="20"/>
      <c r="K183" s="20"/>
      <c r="L183" s="20"/>
      <c r="M183" s="20"/>
      <c r="P183" s="20"/>
      <c r="Q183" s="20"/>
      <c r="R183" s="20"/>
      <c r="S183" s="20"/>
      <c r="T183" s="20"/>
      <c r="V183" s="17"/>
    </row>
    <row r="184" spans="1:22">
      <c r="A184" s="20"/>
      <c r="B184" s="20"/>
      <c r="C184" s="20"/>
      <c r="D184" s="20"/>
      <c r="E184" s="20"/>
      <c r="I184" s="20"/>
      <c r="J184" s="20"/>
      <c r="K184" s="20"/>
      <c r="L184" s="20"/>
      <c r="M184" s="20"/>
      <c r="P184" s="20"/>
      <c r="Q184" s="20"/>
      <c r="R184" s="20"/>
      <c r="S184" s="20"/>
      <c r="T184" s="20"/>
      <c r="V184" s="17"/>
    </row>
    <row r="185" spans="1:22">
      <c r="A185" s="20"/>
      <c r="B185" s="20"/>
      <c r="C185" s="11"/>
      <c r="D185" s="11"/>
      <c r="E185" s="7"/>
      <c r="F185" s="11"/>
      <c r="G185" s="11"/>
      <c r="I185" s="20"/>
      <c r="J185" s="20"/>
      <c r="K185" s="20"/>
      <c r="L185" s="20"/>
      <c r="M185" s="20"/>
      <c r="P185" s="20"/>
      <c r="Q185" s="20"/>
      <c r="R185" s="11"/>
      <c r="S185" s="11"/>
      <c r="T185" s="7"/>
      <c r="U185" s="11"/>
      <c r="V185" s="11"/>
    </row>
    <row r="186" spans="1:22">
      <c r="A186" s="20"/>
      <c r="B186" s="11"/>
      <c r="C186" s="11"/>
      <c r="D186" s="11"/>
      <c r="E186" s="11"/>
      <c r="F186" s="11"/>
      <c r="G186" s="11"/>
      <c r="I186" s="20"/>
      <c r="J186" s="20"/>
      <c r="K186" s="20"/>
      <c r="L186" s="20"/>
      <c r="M186" s="20"/>
      <c r="P186" s="20"/>
      <c r="Q186" s="11"/>
      <c r="R186" s="11"/>
      <c r="S186" s="11"/>
      <c r="T186" s="11"/>
      <c r="U186" s="11"/>
      <c r="V186" s="11"/>
    </row>
    <row r="187" spans="1:22">
      <c r="A187" s="20"/>
      <c r="B187" s="11"/>
      <c r="C187" s="11"/>
      <c r="D187" s="11"/>
      <c r="E187" s="11"/>
      <c r="F187" s="11"/>
      <c r="G187" s="11"/>
      <c r="I187" s="20"/>
      <c r="J187" s="20"/>
      <c r="K187" s="20"/>
      <c r="L187" s="20"/>
      <c r="M187" s="20"/>
      <c r="P187" s="20"/>
      <c r="Q187" s="11"/>
      <c r="R187" s="11"/>
      <c r="S187" s="11"/>
      <c r="T187" s="11"/>
      <c r="U187" s="11"/>
      <c r="V187" s="11"/>
    </row>
    <row r="188" spans="1:22">
      <c r="A188" s="20"/>
      <c r="B188" s="11"/>
      <c r="C188" s="11"/>
      <c r="D188" s="11"/>
      <c r="E188" s="11"/>
      <c r="F188" s="11"/>
      <c r="G188" s="11"/>
      <c r="I188" s="20"/>
      <c r="J188" s="20"/>
      <c r="K188" s="11"/>
      <c r="L188" s="11"/>
      <c r="M188" s="7"/>
      <c r="N188" s="11"/>
      <c r="O188" s="11"/>
      <c r="P188" s="20"/>
      <c r="Q188" s="11"/>
      <c r="R188" s="11"/>
      <c r="S188" s="11"/>
      <c r="T188" s="11"/>
      <c r="U188" s="11"/>
      <c r="V188" s="11"/>
    </row>
    <row r="189" spans="1:22">
      <c r="A189" s="20"/>
      <c r="B189" s="11"/>
      <c r="C189" s="11"/>
      <c r="D189" s="11"/>
      <c r="E189" s="11"/>
      <c r="F189" s="20"/>
      <c r="G189" s="11"/>
      <c r="J189" s="11"/>
      <c r="K189" s="11"/>
      <c r="L189" s="11"/>
      <c r="M189" s="11"/>
      <c r="N189" s="11"/>
      <c r="O189" s="11"/>
      <c r="P189" s="20"/>
      <c r="Q189" s="11"/>
      <c r="R189" s="11"/>
      <c r="S189" s="11"/>
      <c r="T189" s="11"/>
      <c r="U189" s="20"/>
      <c r="V189" s="11"/>
    </row>
    <row r="190" spans="1:22">
      <c r="A190" s="20"/>
      <c r="B190" s="11"/>
      <c r="C190" s="11"/>
      <c r="D190" s="11"/>
      <c r="E190" s="11"/>
      <c r="F190" s="20"/>
      <c r="G190" s="11"/>
      <c r="J190" s="11"/>
      <c r="K190" s="11"/>
      <c r="L190" s="11"/>
      <c r="M190" s="11"/>
      <c r="N190" s="11"/>
      <c r="O190" s="11"/>
      <c r="P190" s="20"/>
      <c r="Q190" s="11"/>
      <c r="R190" s="11"/>
      <c r="S190" s="11"/>
      <c r="T190" s="11"/>
      <c r="U190" s="20"/>
      <c r="V190" s="11"/>
    </row>
    <row r="191" spans="1:22">
      <c r="A191" s="20"/>
      <c r="B191" s="11"/>
      <c r="C191" s="11"/>
      <c r="D191" s="11"/>
      <c r="E191" s="11"/>
      <c r="F191" s="20"/>
      <c r="G191" s="11"/>
      <c r="J191" s="11"/>
      <c r="K191" s="11"/>
      <c r="L191" s="11"/>
      <c r="M191" s="11"/>
      <c r="N191" s="11"/>
      <c r="O191" s="11"/>
      <c r="P191" s="20"/>
      <c r="Q191" s="11"/>
      <c r="R191" s="11"/>
      <c r="S191" s="11"/>
      <c r="T191" s="11"/>
      <c r="U191" s="20"/>
      <c r="V191" s="11"/>
    </row>
    <row r="192" spans="10:15">
      <c r="J192" s="11"/>
      <c r="K192" s="11"/>
      <c r="L192" s="11"/>
      <c r="M192" s="11"/>
      <c r="N192" s="20"/>
      <c r="O192" s="11"/>
    </row>
    <row r="193" spans="10:15">
      <c r="J193" s="11"/>
      <c r="K193" s="11"/>
      <c r="L193" s="11"/>
      <c r="M193" s="11"/>
      <c r="N193" s="20"/>
      <c r="O193" s="11"/>
    </row>
    <row r="194" spans="10:15">
      <c r="J194" s="11"/>
      <c r="K194" s="11"/>
      <c r="L194" s="11"/>
      <c r="M194" s="11"/>
      <c r="N194" s="20"/>
      <c r="O194" s="11"/>
    </row>
    <row r="206" spans="1:2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</row>
    <row r="207" spans="1:2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</row>
    <row r="208" spans="1:2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</row>
    <row r="209" spans="1:2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</row>
    <row r="210" spans="1:2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</row>
    <row r="211" spans="1:2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</row>
    <row r="212" spans="1:2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</row>
    <row r="213" spans="1:2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</row>
    <row r="214" spans="1:2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</row>
    <row r="215" spans="1:2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</row>
    <row r="216" spans="1:2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</row>
    <row r="217" spans="1:21">
      <c r="A217" s="20"/>
      <c r="B217" s="20"/>
      <c r="C217" s="20"/>
      <c r="D217" s="20"/>
      <c r="E217" s="20"/>
      <c r="F217" s="7"/>
      <c r="G217" s="7"/>
      <c r="H217" s="20"/>
      <c r="I217" s="20"/>
      <c r="J217" s="20"/>
      <c r="K217" s="20"/>
      <c r="L217" s="20"/>
      <c r="M217" s="7"/>
      <c r="N217" s="7"/>
      <c r="O217" s="20"/>
      <c r="P217" s="20"/>
      <c r="Q217" s="20"/>
      <c r="R217" s="20"/>
      <c r="S217" s="20"/>
      <c r="T217" s="7"/>
      <c r="U217" s="7"/>
    </row>
    <row r="218" spans="1:21">
      <c r="A218" s="20"/>
      <c r="B218" s="20"/>
      <c r="C218" s="20"/>
      <c r="D218" s="20"/>
      <c r="E218" s="20"/>
      <c r="F218" s="7"/>
      <c r="G218" s="7"/>
      <c r="H218" s="20"/>
      <c r="I218" s="20"/>
      <c r="J218" s="20"/>
      <c r="K218" s="20"/>
      <c r="L218" s="20"/>
      <c r="M218" s="7"/>
      <c r="N218" s="7"/>
      <c r="O218" s="20"/>
      <c r="P218" s="20"/>
      <c r="Q218" s="20"/>
      <c r="R218" s="20"/>
      <c r="S218" s="20"/>
      <c r="T218" s="7"/>
      <c r="U218" s="7"/>
    </row>
    <row r="219" spans="1:21">
      <c r="A219" s="20"/>
      <c r="B219" s="7"/>
      <c r="C219" s="11"/>
      <c r="D219" s="11"/>
      <c r="E219" s="7"/>
      <c r="F219" s="11"/>
      <c r="G219" s="20"/>
      <c r="H219" s="20"/>
      <c r="I219" s="7"/>
      <c r="J219" s="11"/>
      <c r="K219" s="11"/>
      <c r="L219" s="7"/>
      <c r="M219" s="11"/>
      <c r="N219" s="20"/>
      <c r="O219" s="20"/>
      <c r="P219" s="7"/>
      <c r="Q219" s="11"/>
      <c r="R219" s="11"/>
      <c r="S219" s="7"/>
      <c r="T219" s="11"/>
      <c r="U219" s="20"/>
    </row>
    <row r="220" spans="1:21">
      <c r="A220" s="20"/>
      <c r="B220" s="11"/>
      <c r="C220" s="11"/>
      <c r="D220" s="11"/>
      <c r="E220" s="11"/>
      <c r="F220" s="20"/>
      <c r="G220" s="20"/>
      <c r="H220" s="20"/>
      <c r="I220" s="11"/>
      <c r="J220" s="11"/>
      <c r="K220" s="11"/>
      <c r="L220" s="11"/>
      <c r="M220" s="20"/>
      <c r="N220" s="20"/>
      <c r="O220" s="20"/>
      <c r="P220" s="11"/>
      <c r="Q220" s="11"/>
      <c r="R220" s="11"/>
      <c r="S220" s="11"/>
      <c r="T220" s="20"/>
      <c r="U220" s="20"/>
    </row>
    <row r="221" spans="1:21">
      <c r="A221" s="20"/>
      <c r="B221" s="11"/>
      <c r="C221" s="11"/>
      <c r="D221" s="11"/>
      <c r="E221" s="11"/>
      <c r="F221" s="11"/>
      <c r="G221" s="11"/>
      <c r="H221" s="20"/>
      <c r="I221" s="11"/>
      <c r="J221" s="11"/>
      <c r="K221" s="11"/>
      <c r="L221" s="11"/>
      <c r="M221" s="11"/>
      <c r="N221" s="11"/>
      <c r="O221" s="20"/>
      <c r="P221" s="11"/>
      <c r="Q221" s="11"/>
      <c r="R221" s="11"/>
      <c r="S221" s="11"/>
      <c r="T221" s="11"/>
      <c r="U221" s="11"/>
    </row>
    <row r="222" spans="1:21">
      <c r="A222" s="20"/>
      <c r="B222" s="11"/>
      <c r="C222" s="11"/>
      <c r="D222" s="11"/>
      <c r="E222" s="11"/>
      <c r="F222" s="11"/>
      <c r="G222" s="11"/>
      <c r="H222" s="20"/>
      <c r="I222" s="11"/>
      <c r="J222" s="11"/>
      <c r="K222" s="11"/>
      <c r="L222" s="11"/>
      <c r="M222" s="11"/>
      <c r="N222" s="11"/>
      <c r="O222" s="20"/>
      <c r="P222" s="11"/>
      <c r="Q222" s="11"/>
      <c r="R222" s="11"/>
      <c r="S222" s="11"/>
      <c r="T222" s="11"/>
      <c r="U222" s="11"/>
    </row>
    <row r="223" spans="1:21">
      <c r="A223" s="20"/>
      <c r="B223" s="11"/>
      <c r="C223" s="11"/>
      <c r="D223" s="11"/>
      <c r="E223" s="11"/>
      <c r="F223" s="20"/>
      <c r="G223" s="11"/>
      <c r="H223" s="20"/>
      <c r="I223" s="11"/>
      <c r="J223" s="11"/>
      <c r="K223" s="11"/>
      <c r="L223" s="11"/>
      <c r="M223" s="20"/>
      <c r="N223" s="11"/>
      <c r="O223" s="20"/>
      <c r="P223" s="11"/>
      <c r="Q223" s="11"/>
      <c r="R223" s="11"/>
      <c r="S223" s="11"/>
      <c r="T223" s="20"/>
      <c r="U223" s="11"/>
    </row>
    <row r="224" spans="1:21">
      <c r="A224" s="11"/>
      <c r="B224" s="11"/>
      <c r="C224" s="11"/>
      <c r="D224" s="11"/>
      <c r="E224" s="11"/>
      <c r="F224" s="20"/>
      <c r="G224" s="11"/>
      <c r="H224" s="11"/>
      <c r="I224" s="11"/>
      <c r="J224" s="11"/>
      <c r="K224" s="11"/>
      <c r="L224" s="11"/>
      <c r="M224" s="20"/>
      <c r="N224" s="11"/>
      <c r="O224" s="11"/>
      <c r="P224" s="11"/>
      <c r="Q224" s="11"/>
      <c r="R224" s="11"/>
      <c r="S224" s="11"/>
      <c r="T224" s="20"/>
      <c r="U224" s="11"/>
    </row>
    <row r="225" spans="1:21">
      <c r="A225" s="11"/>
      <c r="B225" s="11"/>
      <c r="C225" s="11"/>
      <c r="D225" s="11"/>
      <c r="E225" s="11"/>
      <c r="F225" s="20"/>
      <c r="G225" s="11"/>
      <c r="H225" s="11"/>
      <c r="I225" s="11"/>
      <c r="J225" s="11"/>
      <c r="K225" s="11"/>
      <c r="L225" s="11"/>
      <c r="M225" s="20"/>
      <c r="N225" s="11"/>
      <c r="O225" s="11"/>
      <c r="P225" s="11"/>
      <c r="Q225" s="11"/>
      <c r="R225" s="11"/>
      <c r="S225" s="11"/>
      <c r="T225" s="20"/>
      <c r="U225" s="11"/>
    </row>
    <row r="226" spans="8:8">
      <c r="H226" s="7"/>
    </row>
    <row r="227" spans="1:2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</row>
    <row r="228" spans="1:2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</row>
    <row r="229" spans="1:2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</row>
    <row r="230" spans="1:2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</row>
    <row r="231" spans="1:2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</row>
    <row r="232" spans="1:2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</row>
    <row r="233" spans="1:2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</row>
    <row r="234" spans="1:2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</row>
    <row r="235" spans="1:2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</row>
    <row r="236" spans="1:2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</row>
    <row r="237" spans="1:2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</row>
    <row r="238" spans="1:21">
      <c r="A238" s="20"/>
      <c r="B238" s="20"/>
      <c r="C238" s="20"/>
      <c r="D238" s="20"/>
      <c r="E238" s="20"/>
      <c r="F238" s="7"/>
      <c r="G238" s="7"/>
      <c r="H238" s="20"/>
      <c r="I238" s="20"/>
      <c r="J238" s="20"/>
      <c r="K238" s="20"/>
      <c r="L238" s="20"/>
      <c r="M238" s="7"/>
      <c r="N238" s="7"/>
      <c r="O238" s="20"/>
      <c r="P238" s="20"/>
      <c r="Q238" s="20"/>
      <c r="R238" s="20"/>
      <c r="S238" s="20"/>
      <c r="T238" s="7"/>
      <c r="U238" s="7"/>
    </row>
    <row r="239" spans="1:21">
      <c r="A239" s="20"/>
      <c r="B239" s="20"/>
      <c r="C239" s="20"/>
      <c r="D239" s="20"/>
      <c r="E239" s="20"/>
      <c r="F239" s="7"/>
      <c r="G239" s="7"/>
      <c r="H239" s="20"/>
      <c r="I239" s="20"/>
      <c r="J239" s="20"/>
      <c r="K239" s="20"/>
      <c r="L239" s="20"/>
      <c r="M239" s="7"/>
      <c r="N239" s="7"/>
      <c r="O239" s="20"/>
      <c r="P239" s="20"/>
      <c r="Q239" s="20"/>
      <c r="R239" s="20"/>
      <c r="S239" s="20"/>
      <c r="T239" s="7"/>
      <c r="U239" s="7"/>
    </row>
    <row r="240" spans="1:21">
      <c r="A240" s="20"/>
      <c r="B240" s="7"/>
      <c r="C240" s="11"/>
      <c r="D240" s="11"/>
      <c r="E240" s="7"/>
      <c r="F240" s="11"/>
      <c r="G240" s="20"/>
      <c r="H240" s="20"/>
      <c r="I240" s="7"/>
      <c r="J240" s="11"/>
      <c r="K240" s="11"/>
      <c r="L240" s="7"/>
      <c r="M240" s="11"/>
      <c r="N240" s="20"/>
      <c r="O240" s="20"/>
      <c r="P240" s="7"/>
      <c r="Q240" s="11"/>
      <c r="R240" s="11"/>
      <c r="S240" s="7"/>
      <c r="T240" s="11"/>
      <c r="U240" s="20"/>
    </row>
    <row r="241" spans="1:21">
      <c r="A241" s="20"/>
      <c r="B241" s="11"/>
      <c r="C241" s="11"/>
      <c r="D241" s="11"/>
      <c r="E241" s="11"/>
      <c r="F241" s="20"/>
      <c r="G241" s="20"/>
      <c r="H241" s="20"/>
      <c r="I241" s="11"/>
      <c r="J241" s="11"/>
      <c r="K241" s="11"/>
      <c r="L241" s="11"/>
      <c r="M241" s="20"/>
      <c r="N241" s="20"/>
      <c r="O241" s="20"/>
      <c r="P241" s="11"/>
      <c r="Q241" s="11"/>
      <c r="R241" s="11"/>
      <c r="S241" s="11"/>
      <c r="T241" s="20"/>
      <c r="U241" s="20"/>
    </row>
    <row r="242" spans="1:21">
      <c r="A242" s="20"/>
      <c r="B242" s="11"/>
      <c r="C242" s="11"/>
      <c r="D242" s="11"/>
      <c r="E242" s="11"/>
      <c r="F242" s="11"/>
      <c r="G242" s="11"/>
      <c r="H242" s="20"/>
      <c r="I242" s="11"/>
      <c r="J242" s="11"/>
      <c r="K242" s="11"/>
      <c r="L242" s="11"/>
      <c r="M242" s="11"/>
      <c r="N242" s="11"/>
      <c r="O242" s="20"/>
      <c r="P242" s="11"/>
      <c r="Q242" s="11"/>
      <c r="R242" s="11"/>
      <c r="S242" s="11"/>
      <c r="T242" s="11"/>
      <c r="U242" s="11"/>
    </row>
    <row r="243" spans="1:21">
      <c r="A243" s="20"/>
      <c r="B243" s="11"/>
      <c r="C243" s="11"/>
      <c r="D243" s="11"/>
      <c r="E243" s="11"/>
      <c r="F243" s="11"/>
      <c r="G243" s="11"/>
      <c r="H243" s="20"/>
      <c r="I243" s="11"/>
      <c r="J243" s="11"/>
      <c r="K243" s="11"/>
      <c r="L243" s="11"/>
      <c r="M243" s="11"/>
      <c r="N243" s="11"/>
      <c r="O243" s="20"/>
      <c r="P243" s="11"/>
      <c r="Q243" s="11"/>
      <c r="R243" s="11"/>
      <c r="S243" s="11"/>
      <c r="T243" s="11"/>
      <c r="U243" s="11"/>
    </row>
    <row r="244" spans="1:21">
      <c r="A244" s="20"/>
      <c r="B244" s="11"/>
      <c r="C244" s="11"/>
      <c r="D244" s="11"/>
      <c r="E244" s="11"/>
      <c r="F244" s="20"/>
      <c r="G244" s="11"/>
      <c r="H244" s="20"/>
      <c r="I244" s="11"/>
      <c r="J244" s="11"/>
      <c r="K244" s="11"/>
      <c r="L244" s="11"/>
      <c r="M244" s="20"/>
      <c r="N244" s="11"/>
      <c r="O244" s="20"/>
      <c r="P244" s="11"/>
      <c r="Q244" s="11"/>
      <c r="R244" s="11"/>
      <c r="S244" s="11"/>
      <c r="T244" s="20"/>
      <c r="U244" s="11"/>
    </row>
    <row r="245" spans="1:21">
      <c r="A245" s="11"/>
      <c r="B245" s="11"/>
      <c r="C245" s="11"/>
      <c r="D245" s="11"/>
      <c r="E245" s="11"/>
      <c r="F245" s="20"/>
      <c r="G245" s="11"/>
      <c r="H245" s="11"/>
      <c r="I245" s="11"/>
      <c r="J245" s="11"/>
      <c r="K245" s="11"/>
      <c r="L245" s="11"/>
      <c r="M245" s="20"/>
      <c r="N245" s="11"/>
      <c r="O245" s="11"/>
      <c r="P245" s="11"/>
      <c r="Q245" s="11"/>
      <c r="R245" s="11"/>
      <c r="S245" s="11"/>
      <c r="T245" s="20"/>
      <c r="U245" s="11"/>
    </row>
    <row r="246" spans="1:21">
      <c r="A246" s="11"/>
      <c r="B246" s="11"/>
      <c r="C246" s="11"/>
      <c r="D246" s="11"/>
      <c r="E246" s="11"/>
      <c r="F246" s="20"/>
      <c r="G246" s="11"/>
      <c r="H246" s="11"/>
      <c r="I246" s="11"/>
      <c r="J246" s="11"/>
      <c r="K246" s="11"/>
      <c r="L246" s="11"/>
      <c r="M246" s="20"/>
      <c r="N246" s="11"/>
      <c r="O246" s="11"/>
      <c r="P246" s="11"/>
      <c r="Q246" s="11"/>
      <c r="R246" s="11"/>
      <c r="S246" s="11"/>
      <c r="T246" s="20"/>
      <c r="U246" s="11"/>
    </row>
    <row r="248" spans="1:1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P248" s="36"/>
    </row>
    <row r="249" spans="1:1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P249" s="36"/>
    </row>
    <row r="250" spans="1:1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P250" s="36"/>
    </row>
    <row r="251" spans="1:1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P251" s="36"/>
    </row>
    <row r="252" spans="1:1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P252" s="36"/>
    </row>
    <row r="253" spans="1:1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P253" s="36"/>
    </row>
    <row r="254" spans="1:1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spans="1:14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</row>
    <row r="256" spans="1:14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</row>
    <row r="257" spans="1:14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</row>
    <row r="258" spans="1:14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</row>
    <row r="259" spans="1:14">
      <c r="A259" s="20"/>
      <c r="B259" s="20"/>
      <c r="C259" s="20"/>
      <c r="D259" s="20"/>
      <c r="E259" s="20"/>
      <c r="F259" s="7"/>
      <c r="G259" s="7"/>
      <c r="H259" s="20"/>
      <c r="I259" s="20"/>
      <c r="J259" s="20"/>
      <c r="K259" s="20"/>
      <c r="L259" s="20"/>
      <c r="M259" s="7"/>
      <c r="N259" s="7"/>
    </row>
    <row r="260" spans="2:14">
      <c r="B260" s="20"/>
      <c r="C260" s="20"/>
      <c r="D260" s="20"/>
      <c r="E260" s="20"/>
      <c r="F260" s="7"/>
      <c r="G260" s="7"/>
      <c r="I260" s="20"/>
      <c r="J260" s="20"/>
      <c r="K260" s="20"/>
      <c r="L260" s="20"/>
      <c r="M260" s="7"/>
      <c r="N260" s="7"/>
    </row>
    <row r="261" spans="1:12">
      <c r="A261" s="20"/>
      <c r="B261" s="20"/>
      <c r="C261" s="20"/>
      <c r="D261" s="20"/>
      <c r="E261" s="20"/>
      <c r="H261" s="20"/>
      <c r="I261" s="20"/>
      <c r="J261" s="20"/>
      <c r="K261" s="20"/>
      <c r="L261" s="20"/>
    </row>
    <row r="262" spans="1:8">
      <c r="A262" s="20"/>
      <c r="H262" s="20"/>
    </row>
    <row r="263" spans="1:14">
      <c r="A263" s="20"/>
      <c r="B263" s="7"/>
      <c r="C263" s="11"/>
      <c r="D263" s="11"/>
      <c r="E263" s="7"/>
      <c r="F263" s="11"/>
      <c r="G263" s="20"/>
      <c r="H263" s="20"/>
      <c r="I263" s="7"/>
      <c r="J263" s="11"/>
      <c r="K263" s="11"/>
      <c r="L263" s="7"/>
      <c r="M263" s="11"/>
      <c r="N263" s="20"/>
    </row>
    <row r="264" spans="1:14">
      <c r="A264" s="20"/>
      <c r="B264" s="11"/>
      <c r="C264" s="11"/>
      <c r="D264" s="11"/>
      <c r="E264" s="11"/>
      <c r="F264" s="20"/>
      <c r="G264" s="20"/>
      <c r="H264" s="20"/>
      <c r="I264" s="11"/>
      <c r="J264" s="11"/>
      <c r="K264" s="11"/>
      <c r="L264" s="11"/>
      <c r="M264" s="20"/>
      <c r="N264" s="20"/>
    </row>
    <row r="265" spans="1:14">
      <c r="A265" s="20"/>
      <c r="B265" s="11"/>
      <c r="C265" s="11"/>
      <c r="D265" s="11"/>
      <c r="E265" s="11"/>
      <c r="F265" s="11"/>
      <c r="G265" s="11"/>
      <c r="H265" s="20"/>
      <c r="I265" s="11"/>
      <c r="J265" s="11"/>
      <c r="K265" s="11"/>
      <c r="L265" s="11"/>
      <c r="M265" s="11"/>
      <c r="N265" s="11"/>
    </row>
    <row r="266" spans="1: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>
      <c r="A267" s="11"/>
      <c r="B267" s="11"/>
      <c r="C267" s="11"/>
      <c r="D267" s="11"/>
      <c r="E267" s="11"/>
      <c r="F267" s="20"/>
      <c r="G267" s="11"/>
      <c r="H267" s="11"/>
      <c r="I267" s="11"/>
      <c r="J267" s="11"/>
      <c r="K267" s="11"/>
      <c r="L267" s="11"/>
      <c r="M267" s="20"/>
      <c r="N267" s="11"/>
    </row>
    <row r="268" spans="2:14">
      <c r="B268" s="11"/>
      <c r="C268" s="11"/>
      <c r="D268" s="11"/>
      <c r="E268" s="11"/>
      <c r="F268" s="20"/>
      <c r="G268" s="11"/>
      <c r="I268" s="11"/>
      <c r="J268" s="11"/>
      <c r="K268" s="11"/>
      <c r="L268" s="11"/>
      <c r="M268" s="20"/>
      <c r="N268" s="11"/>
    </row>
    <row r="269" spans="2:14">
      <c r="B269" s="11"/>
      <c r="C269" s="11"/>
      <c r="D269" s="11"/>
      <c r="E269" s="11"/>
      <c r="F269" s="20"/>
      <c r="G269" s="11"/>
      <c r="I269" s="11"/>
      <c r="J269" s="11"/>
      <c r="K269" s="11"/>
      <c r="L269" s="11"/>
      <c r="M269" s="20"/>
      <c r="N269" s="11"/>
    </row>
    <row r="271" spans="1:2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</row>
    <row r="272" spans="1:2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</row>
    <row r="273" spans="1:2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</row>
    <row r="274" spans="1:2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</row>
    <row r="275" spans="1:2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</row>
    <row r="276" spans="1:2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</row>
    <row r="277" spans="1:2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</row>
    <row r="278" spans="1:2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</row>
    <row r="279" spans="1:2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</row>
    <row r="280" spans="1:2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</row>
    <row r="281" spans="1:2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</row>
    <row r="282" spans="1:2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</row>
    <row r="283" spans="1:2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11"/>
      <c r="U283" s="7"/>
    </row>
    <row r="284" spans="1:21">
      <c r="A284" s="20"/>
      <c r="B284" s="20"/>
      <c r="C284" s="20"/>
      <c r="D284" s="20"/>
      <c r="E284" s="20"/>
      <c r="F284" s="11"/>
      <c r="G284" s="7"/>
      <c r="H284" s="20"/>
      <c r="I284" s="20"/>
      <c r="J284" s="20"/>
      <c r="K284" s="20"/>
      <c r="L284" s="20"/>
      <c r="M284" s="11"/>
      <c r="N284" s="7"/>
      <c r="O284" s="20"/>
      <c r="P284" s="20"/>
      <c r="Q284" s="20"/>
      <c r="R284" s="20"/>
      <c r="S284" s="20"/>
      <c r="T284" s="7"/>
      <c r="U284" s="11"/>
    </row>
    <row r="285" spans="1:21">
      <c r="A285" s="20"/>
      <c r="B285" s="20"/>
      <c r="C285" s="20"/>
      <c r="D285" s="20"/>
      <c r="E285" s="20"/>
      <c r="F285" s="7"/>
      <c r="G285" s="11"/>
      <c r="H285" s="20"/>
      <c r="I285" s="20"/>
      <c r="J285" s="20"/>
      <c r="K285" s="20"/>
      <c r="L285" s="20"/>
      <c r="M285" s="7"/>
      <c r="N285" s="11"/>
      <c r="O285" s="20"/>
      <c r="P285" s="20"/>
      <c r="Q285" s="20"/>
      <c r="R285" s="20"/>
      <c r="S285" s="20"/>
      <c r="T285" s="11"/>
      <c r="U285" s="11"/>
    </row>
    <row r="286" spans="1:21">
      <c r="A286" s="20"/>
      <c r="B286" s="20"/>
      <c r="C286" s="20"/>
      <c r="D286" s="20"/>
      <c r="E286" s="20"/>
      <c r="F286" s="11"/>
      <c r="G286" s="11"/>
      <c r="H286" s="20"/>
      <c r="I286" s="20"/>
      <c r="J286" s="20"/>
      <c r="K286" s="20"/>
      <c r="L286" s="20"/>
      <c r="M286" s="11"/>
      <c r="N286" s="11"/>
      <c r="O286" s="20"/>
      <c r="P286" s="7"/>
      <c r="Q286" s="11"/>
      <c r="R286" s="11"/>
      <c r="S286" s="7"/>
      <c r="T286" s="11"/>
      <c r="U286" s="11"/>
    </row>
    <row r="287" spans="1:21">
      <c r="A287" s="20"/>
      <c r="B287" s="20"/>
      <c r="C287" s="20"/>
      <c r="D287" s="20"/>
      <c r="E287" s="20"/>
      <c r="H287" s="20"/>
      <c r="I287" s="20"/>
      <c r="J287" s="20"/>
      <c r="K287" s="20"/>
      <c r="L287" s="20"/>
      <c r="O287" s="20"/>
      <c r="P287" s="11"/>
      <c r="Q287" s="11"/>
      <c r="R287" s="11"/>
      <c r="S287" s="11"/>
      <c r="U287" s="11"/>
    </row>
    <row r="288" spans="1:21">
      <c r="A288" s="20"/>
      <c r="B288" s="7"/>
      <c r="C288" s="11"/>
      <c r="D288" s="11"/>
      <c r="E288" s="7"/>
      <c r="F288" s="11"/>
      <c r="G288" s="11"/>
      <c r="H288" s="20"/>
      <c r="I288" s="7"/>
      <c r="J288" s="11"/>
      <c r="K288" s="11"/>
      <c r="L288" s="7"/>
      <c r="M288" s="11"/>
      <c r="N288" s="11"/>
      <c r="O288" s="20"/>
      <c r="P288" s="11"/>
      <c r="Q288" s="11"/>
      <c r="R288" s="11"/>
      <c r="S288" s="11"/>
      <c r="T288" s="11"/>
      <c r="U288" s="11"/>
    </row>
    <row r="289" spans="1:21">
      <c r="A289" s="20"/>
      <c r="B289" s="11"/>
      <c r="C289" s="11"/>
      <c r="D289" s="11"/>
      <c r="E289" s="11"/>
      <c r="G289" s="11"/>
      <c r="H289" s="20"/>
      <c r="I289" s="11"/>
      <c r="J289" s="11"/>
      <c r="K289" s="11"/>
      <c r="L289" s="11"/>
      <c r="N289" s="11"/>
      <c r="O289" s="20"/>
      <c r="P289" s="11"/>
      <c r="Q289" s="11"/>
      <c r="R289" s="11"/>
      <c r="S289" s="11"/>
      <c r="T289" s="11"/>
      <c r="U289" s="11"/>
    </row>
    <row r="290" spans="1:21">
      <c r="A290" s="20"/>
      <c r="B290" s="11"/>
      <c r="C290" s="11"/>
      <c r="D290" s="11"/>
      <c r="E290" s="11"/>
      <c r="F290" s="11"/>
      <c r="G290" s="11"/>
      <c r="H290" s="20"/>
      <c r="I290" s="11"/>
      <c r="J290" s="11"/>
      <c r="K290" s="11"/>
      <c r="L290" s="11"/>
      <c r="M290" s="11"/>
      <c r="N290" s="11"/>
      <c r="O290" s="20"/>
      <c r="P290" s="11"/>
      <c r="Q290" s="11"/>
      <c r="R290" s="11"/>
      <c r="S290" s="11"/>
      <c r="T290" s="20"/>
      <c r="U290" s="11"/>
    </row>
    <row r="291" spans="1:21">
      <c r="A291" s="20"/>
      <c r="B291" s="11"/>
      <c r="C291" s="11"/>
      <c r="D291" s="11"/>
      <c r="E291" s="11"/>
      <c r="F291" s="11"/>
      <c r="G291" s="11"/>
      <c r="H291" s="20"/>
      <c r="I291" s="11"/>
      <c r="J291" s="11"/>
      <c r="K291" s="11"/>
      <c r="L291" s="11"/>
      <c r="M291" s="11"/>
      <c r="N291" s="11"/>
      <c r="O291" s="20"/>
      <c r="P291" s="11"/>
      <c r="Q291" s="11"/>
      <c r="R291" s="11"/>
      <c r="S291" s="11"/>
      <c r="T291" s="20"/>
      <c r="U291" s="11"/>
    </row>
    <row r="292" spans="1:21">
      <c r="A292" s="20"/>
      <c r="B292" s="11"/>
      <c r="C292" s="11"/>
      <c r="D292" s="11"/>
      <c r="E292" s="11"/>
      <c r="F292" s="20"/>
      <c r="G292" s="11"/>
      <c r="H292" s="20"/>
      <c r="I292" s="11"/>
      <c r="J292" s="11"/>
      <c r="K292" s="11"/>
      <c r="L292" s="11"/>
      <c r="M292" s="20"/>
      <c r="N292" s="11"/>
      <c r="O292" s="20"/>
      <c r="P292" s="11"/>
      <c r="Q292" s="11"/>
      <c r="R292" s="11"/>
      <c r="S292" s="11"/>
      <c r="T292" s="20"/>
      <c r="U292" s="11"/>
    </row>
    <row r="293" spans="1:14">
      <c r="A293" s="20"/>
      <c r="B293" s="11"/>
      <c r="C293" s="11"/>
      <c r="D293" s="11"/>
      <c r="E293" s="11"/>
      <c r="F293" s="20"/>
      <c r="G293" s="11"/>
      <c r="H293" s="20"/>
      <c r="I293" s="11"/>
      <c r="J293" s="11"/>
      <c r="K293" s="11"/>
      <c r="L293" s="11"/>
      <c r="M293" s="20"/>
      <c r="N293" s="11"/>
    </row>
    <row r="294" spans="1:14">
      <c r="A294" s="20"/>
      <c r="B294" s="11"/>
      <c r="C294" s="11"/>
      <c r="D294" s="11"/>
      <c r="E294" s="11"/>
      <c r="F294" s="20"/>
      <c r="G294" s="11"/>
      <c r="H294" s="20"/>
      <c r="I294" s="11"/>
      <c r="J294" s="11"/>
      <c r="K294" s="11"/>
      <c r="L294" s="11"/>
      <c r="M294" s="20"/>
      <c r="N294" s="11"/>
    </row>
  </sheetData>
  <mergeCells count="2">
    <mergeCell ref="I24:L24"/>
    <mergeCell ref="T35:U35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4"/>
  <sheetViews>
    <sheetView topLeftCell="A28" workbookViewId="0">
      <selection activeCell="V61" sqref="V61"/>
    </sheetView>
  </sheetViews>
  <sheetFormatPr defaultColWidth="7.625" defaultRowHeight="15"/>
  <cols>
    <col min="1" max="21" width="8.625" style="17" customWidth="1"/>
    <col min="22" max="22" width="8.625" style="30" customWidth="1"/>
    <col min="23" max="23" width="8.625" style="36" customWidth="1"/>
    <col min="24" max="28" width="8.625" style="17" customWidth="1"/>
    <col min="29" max="29" width="7.625" style="17"/>
    <col min="30" max="16384" width="7.625" style="14"/>
  </cols>
  <sheetData>
    <row r="1" customHeight="1" spans="1:26">
      <c r="A1" s="11" t="str">
        <f>木桩!A1</f>
        <v>技能</v>
      </c>
      <c r="B1" s="11" t="str">
        <f>木桩!B1</f>
        <v>怒气</v>
      </c>
      <c r="C1" s="11" t="str">
        <f>木桩!C1</f>
        <v>实际系数</v>
      </c>
      <c r="D1" s="11" t="str">
        <f>木桩!D1</f>
        <v>基础伤害</v>
      </c>
      <c r="E1" s="11" t="str">
        <f>木桩!E1</f>
        <v>武伤系数</v>
      </c>
      <c r="F1" s="11" t="str">
        <f>木桩!F1</f>
        <v>伤害加成</v>
      </c>
      <c r="G1" s="11" t="str">
        <f>木桩!G1</f>
        <v>会心加成</v>
      </c>
      <c r="H1" s="11" t="str">
        <f>木桩!H1</f>
        <v>会效加成</v>
      </c>
      <c r="I1" s="11" t="s">
        <v>278</v>
      </c>
      <c r="J1" s="11" t="s">
        <v>26</v>
      </c>
      <c r="K1" s="11" t="s">
        <v>279</v>
      </c>
      <c r="L1" s="11" t="s">
        <v>36</v>
      </c>
      <c r="M1" s="11" t="s">
        <v>205</v>
      </c>
      <c r="N1" s="11" t="s">
        <v>15</v>
      </c>
      <c r="O1" s="11" t="s">
        <v>16</v>
      </c>
      <c r="P1" s="7" t="s">
        <v>280</v>
      </c>
      <c r="Q1" s="11" t="s">
        <v>75</v>
      </c>
      <c r="R1" s="11" t="s">
        <v>212</v>
      </c>
      <c r="S1" s="11" t="s">
        <v>213</v>
      </c>
      <c r="T1" s="20" t="s">
        <v>281</v>
      </c>
      <c r="U1" s="37" t="str">
        <f t="shared" ref="U1:V17" si="0">Y1</f>
        <v>实战属性</v>
      </c>
      <c r="V1" s="20"/>
      <c r="W1" s="41" t="str">
        <f>属性!H5</f>
        <v>裸buff属性</v>
      </c>
      <c r="X1" s="46"/>
      <c r="Y1" s="41" t="s">
        <v>197</v>
      </c>
      <c r="Z1" s="46"/>
    </row>
    <row r="2" customHeight="1" spans="1:27">
      <c r="A2" s="12" t="str">
        <f>木桩!A2</f>
        <v>昆吾·弦刃</v>
      </c>
      <c r="B2" s="11">
        <f>木桩!B2</f>
        <v>0</v>
      </c>
      <c r="C2" s="11">
        <f>木桩!C2</f>
        <v>0.854</v>
      </c>
      <c r="D2" s="11">
        <f>木桩!D2</f>
        <v>0</v>
      </c>
      <c r="E2" s="13">
        <f>木桩!E2</f>
        <v>0</v>
      </c>
      <c r="F2" s="13">
        <f ca="1">木桩!F2+Q$23</f>
        <v>0.0101333333333333</v>
      </c>
      <c r="G2" s="13">
        <f>木桩!G2</f>
        <v>0</v>
      </c>
      <c r="H2" s="13">
        <f>木桩!H2</f>
        <v>0</v>
      </c>
      <c r="I2" s="21">
        <f ca="1">(N:N*C:C+D:D+E:E*Q:Q)*(1+F:F)*(K:K*(L:L+H:H-1)+1-R:R-0.75*S:S)*(1+M:M)*INDEX($O$25:$O$29,MATCH($Q$27,$M$25:$M$29,))</f>
        <v>41934.7502473915</v>
      </c>
      <c r="J2" s="13">
        <f ca="1" t="shared" ref="J2:J18" si="1">INDEX(V:V,MATCH($1:$1,$U:$U,))+$G:$G</f>
        <v>0.433665199880085</v>
      </c>
      <c r="K2" s="15">
        <f ca="1" t="shared" ref="K2:K8" si="2">J:J+(0.211855500496661*J:J^6-0.937563819411654*J:J^5+1.77483619127542*J:J^4-1.89647323402313*J:J^3+1.2737744963305*J:J^2-0.565275505039552*J:J+0.164596522595162)*$D$28</f>
        <v>0.487805126715561</v>
      </c>
      <c r="L2" s="13">
        <f ca="1">INDEX(V2:V17,MATCH(1:1,U2:U17,))</f>
        <v>1.94331862093365</v>
      </c>
      <c r="M2" s="13">
        <f ca="1">INDEX(V2:V17,MATCH(1:1,U2:U17,))</f>
        <v>0.902992590034019</v>
      </c>
      <c r="N2" s="21">
        <f ca="1">INDEX(V2:V17,MATCH(1:1,U2:U17,))+O:O*P:P</f>
        <v>17965.8209384615</v>
      </c>
      <c r="O2" s="21">
        <f ca="1">INDEX(V2:V17,MATCH(1:1,U2:U17,))</f>
        <v>7522.72307692308</v>
      </c>
      <c r="P2" s="40">
        <f t="shared" ref="P2:P8" si="3">60%+D$32*0.2*6/25+60%*(25+6*D$32)*(1+H$28)/H$27</f>
        <v>0.772</v>
      </c>
      <c r="Q2" s="21">
        <f ca="1">INDEX(V2:V17,MATCH(1:1,U2:U17,))</f>
        <v>751</v>
      </c>
      <c r="R2" s="13">
        <f ca="1">INDEX(V2:V17,MATCH(1:1,U2:U17,))</f>
        <v>0</v>
      </c>
      <c r="S2" s="13">
        <f ca="1">INDEX(V2:V17,MATCH(1:1,U2:U17,))</f>
        <v>0</v>
      </c>
      <c r="T2" s="20">
        <f>实战!T2</f>
        <v>45</v>
      </c>
      <c r="U2" s="20" t="str">
        <f t="shared" si="0"/>
        <v>身法</v>
      </c>
      <c r="V2" s="20">
        <f ca="1" t="shared" si="0"/>
        <v>1970.1</v>
      </c>
      <c r="W2" s="17" t="str">
        <f>属性!H6</f>
        <v>身法</v>
      </c>
      <c r="X2" s="17">
        <f>属性!I6</f>
        <v>1749</v>
      </c>
      <c r="Y2" s="17" t="s">
        <v>6</v>
      </c>
      <c r="Z2" s="17">
        <f ca="1">Z3*(1+G23)</f>
        <v>1970.1</v>
      </c>
      <c r="AA2" s="23"/>
    </row>
    <row r="3" customHeight="1" spans="1:27">
      <c r="A3" s="12" t="str">
        <f>木桩!A3</f>
        <v>昆吾·折锋</v>
      </c>
      <c r="B3" s="11">
        <f>木桩!B3</f>
        <v>0</v>
      </c>
      <c r="C3" s="14">
        <f>木桩!C3</f>
        <v>0.338</v>
      </c>
      <c r="D3" s="11">
        <f>木桩!D3</f>
        <v>0</v>
      </c>
      <c r="E3" s="13">
        <f>木桩!E3</f>
        <v>0</v>
      </c>
      <c r="F3" s="13">
        <f ca="1">木桩!F3+Q$23</f>
        <v>0.0101333333333333</v>
      </c>
      <c r="G3" s="13">
        <f>木桩!G3</f>
        <v>0</v>
      </c>
      <c r="H3" s="13">
        <f>木桩!H3</f>
        <v>0</v>
      </c>
      <c r="I3" s="21">
        <f ca="1" t="shared" ref="I3:I18" si="4">(N:N*C:C+D:D+E:E*Q:Q)*(1+F:F)*(K:K*(L:L+H:H-1)+1-R:R-0.75*S:S)*(1+M:M)*INDEX($O$25:$O$29,MATCH($Q$27,$M$25:$M$29,))</f>
        <v>16597.1259761339</v>
      </c>
      <c r="J3" s="13">
        <f ca="1" t="shared" si="1"/>
        <v>0.433665199880085</v>
      </c>
      <c r="K3" s="15">
        <f ca="1" t="shared" si="2"/>
        <v>0.487805126715561</v>
      </c>
      <c r="L3" s="13">
        <f ca="1">INDEX(V2:V17,MATCH(1:1,U2:U17,))</f>
        <v>1.94331862093365</v>
      </c>
      <c r="M3" s="13">
        <f ca="1">INDEX(V2:V17,MATCH(1:1,U2:U17,))</f>
        <v>0.902992590034019</v>
      </c>
      <c r="N3" s="21">
        <f ca="1">INDEX(V2:V17,MATCH(1:1,U2:U17,))+O:O*P:P</f>
        <v>17965.8209384615</v>
      </c>
      <c r="O3" s="21">
        <f ca="1">INDEX(V2:V17,MATCH(1:1,U2:U17,))</f>
        <v>7522.72307692308</v>
      </c>
      <c r="P3" s="40">
        <f t="shared" si="3"/>
        <v>0.772</v>
      </c>
      <c r="Q3" s="21">
        <f ca="1">INDEX(V2:V17,MATCH(1:1,U2:U17,))</f>
        <v>751</v>
      </c>
      <c r="R3" s="13">
        <f ca="1">INDEX(V2:V17,MATCH(1:1,U2:U17,))</f>
        <v>0</v>
      </c>
      <c r="S3" s="13">
        <f ca="1">INDEX(V2:V17,MATCH(1:1,U2:U17,))</f>
        <v>0</v>
      </c>
      <c r="T3" s="20">
        <f>实战!T3</f>
        <v>20</v>
      </c>
      <c r="U3" s="20" t="str">
        <f t="shared" si="0"/>
        <v>基础身法</v>
      </c>
      <c r="V3" s="20">
        <f ca="1" t="shared" si="0"/>
        <v>1791</v>
      </c>
      <c r="W3" s="17" t="str">
        <f>属性!H7</f>
        <v>基础身法</v>
      </c>
      <c r="X3" s="17">
        <f>属性!I7</f>
        <v>1590</v>
      </c>
      <c r="Y3" s="17" t="s">
        <v>201</v>
      </c>
      <c r="Z3" s="17">
        <f ca="1">X3+G21</f>
        <v>1791</v>
      </c>
      <c r="AA3" s="23"/>
    </row>
    <row r="4" customHeight="1" spans="1:27">
      <c r="A4" s="12" t="str">
        <f>木桩!A4</f>
        <v>盾刀1</v>
      </c>
      <c r="B4" s="11">
        <f>木桩!B4</f>
        <v>5</v>
      </c>
      <c r="C4" s="11">
        <f>木桩!C4</f>
        <v>0.656</v>
      </c>
      <c r="D4" s="11">
        <f>木桩!D4</f>
        <v>137.5</v>
      </c>
      <c r="E4" s="13">
        <f>木桩!E4</f>
        <v>1</v>
      </c>
      <c r="F4" s="13">
        <f ca="1">木桩!F4+Q$23</f>
        <v>0.130133333333333</v>
      </c>
      <c r="G4" s="13">
        <f>木桩!G4</f>
        <v>0</v>
      </c>
      <c r="H4" s="13">
        <f>木桩!H4</f>
        <v>0</v>
      </c>
      <c r="I4" s="21">
        <f ca="1" t="shared" si="4"/>
        <v>38755.7815451259</v>
      </c>
      <c r="J4" s="13">
        <f ca="1" t="shared" si="1"/>
        <v>0.433665199880085</v>
      </c>
      <c r="K4" s="15">
        <f ca="1" t="shared" si="2"/>
        <v>0.487805126715561</v>
      </c>
      <c r="L4" s="13">
        <f ca="1">INDEX(V2:V17,MATCH(1:1,U2:U17,))</f>
        <v>1.94331862093365</v>
      </c>
      <c r="M4" s="13">
        <f ca="1">INDEX(V2:V17,MATCH(1:1,U2:U17,))</f>
        <v>0.902992590034019</v>
      </c>
      <c r="N4" s="21">
        <f ca="1">INDEX(V2:V17,MATCH(1:1,U2:U17,))+O:O*P:P</f>
        <v>17965.8209384615</v>
      </c>
      <c r="O4" s="21">
        <f ca="1">INDEX(V2:V17,MATCH(1:1,U2:U17,))</f>
        <v>7522.72307692308</v>
      </c>
      <c r="P4" s="40">
        <f t="shared" si="3"/>
        <v>0.772</v>
      </c>
      <c r="Q4" s="21">
        <f ca="1">INDEX(V2:V17,MATCH(1:1,U2:U17,))</f>
        <v>751</v>
      </c>
      <c r="R4" s="13">
        <f ca="1">INDEX(V2:V17,MATCH(1:1,U2:U17,))</f>
        <v>0</v>
      </c>
      <c r="S4" s="13">
        <f ca="1">INDEX(V2:V17,MATCH(1:1,U2:U17,))</f>
        <v>0</v>
      </c>
      <c r="T4" s="20">
        <f>1-Q25/16</f>
        <v>0.9375</v>
      </c>
      <c r="U4" s="20" t="str">
        <f t="shared" si="0"/>
        <v>力道</v>
      </c>
      <c r="V4" s="20">
        <f ca="1" t="shared" si="0"/>
        <v>84</v>
      </c>
      <c r="W4" s="17" t="str">
        <f>属性!H8</f>
        <v>力道</v>
      </c>
      <c r="X4" s="17">
        <f>属性!I8</f>
        <v>32</v>
      </c>
      <c r="Y4" s="17" t="s">
        <v>191</v>
      </c>
      <c r="Z4" s="17">
        <f ca="1">(X4+H21)*(1+H23)</f>
        <v>84</v>
      </c>
      <c r="AA4" s="23"/>
    </row>
    <row r="5" customHeight="1" spans="1:27">
      <c r="A5" s="12" t="str">
        <f>木桩!A5</f>
        <v>废弃栏</v>
      </c>
      <c r="B5" s="11">
        <f>木桩!B5</f>
        <v>5</v>
      </c>
      <c r="C5" s="11">
        <f>木桩!C5</f>
        <v>0.9375</v>
      </c>
      <c r="D5" s="11">
        <f>木桩!D5</f>
        <v>137.5</v>
      </c>
      <c r="E5" s="13">
        <f>木桩!E5</f>
        <v>1</v>
      </c>
      <c r="F5" s="13">
        <f ca="1">木桩!F5+Q$23</f>
        <v>0.130133333333333</v>
      </c>
      <c r="G5" s="13">
        <f>木桩!G5</f>
        <v>0</v>
      </c>
      <c r="H5" s="13">
        <f>木桩!H5</f>
        <v>0</v>
      </c>
      <c r="I5" s="21">
        <f ca="1" t="shared" si="4"/>
        <v>54220.6265384635</v>
      </c>
      <c r="J5" s="13">
        <f ca="1" t="shared" si="1"/>
        <v>0.433665199880085</v>
      </c>
      <c r="K5" s="15">
        <f ca="1" t="shared" si="2"/>
        <v>0.487805126715561</v>
      </c>
      <c r="L5" s="13">
        <f ca="1">INDEX(V2:V17,MATCH(1:1,U2:U17,))</f>
        <v>1.94331862093365</v>
      </c>
      <c r="M5" s="13">
        <f ca="1">INDEX(V2:V17,MATCH(1:1,U2:U17,))</f>
        <v>0.902992590034019</v>
      </c>
      <c r="N5" s="21">
        <f ca="1">INDEX(V2:V17,MATCH(1:1,U2:U17,))+O:O*P:P</f>
        <v>17965.8209384615</v>
      </c>
      <c r="O5" s="21">
        <f ca="1">INDEX(V2:V17,MATCH(1:1,U2:U17,))</f>
        <v>7522.72307692308</v>
      </c>
      <c r="P5" s="40">
        <f t="shared" si="3"/>
        <v>0.772</v>
      </c>
      <c r="Q5" s="21">
        <f ca="1">INDEX(V2:V17,MATCH(1:1,U2:U17,))</f>
        <v>751</v>
      </c>
      <c r="R5" s="13">
        <f ca="1">INDEX(V2:V17,MATCH(1:1,U2:U17,))</f>
        <v>0</v>
      </c>
      <c r="S5" s="13">
        <f ca="1">INDEX(V2:V17,MATCH(1:1,U2:U17,))</f>
        <v>0</v>
      </c>
      <c r="T5" s="20">
        <f>1-Q26/16</f>
        <v>0.875</v>
      </c>
      <c r="U5" s="20" t="str">
        <f t="shared" si="0"/>
        <v>面板攻击</v>
      </c>
      <c r="V5" s="20">
        <f ca="1" t="shared" si="0"/>
        <v>12158.2787230769</v>
      </c>
      <c r="W5" s="17" t="str">
        <f>属性!H9</f>
        <v>面板攻击</v>
      </c>
      <c r="X5" s="17">
        <f>属性!I9</f>
        <v>12484</v>
      </c>
      <c r="Y5" s="17" t="s">
        <v>15</v>
      </c>
      <c r="Z5" s="17">
        <f ca="1">Z6*(1+I23)+Z2*L26</f>
        <v>12158.2787230769</v>
      </c>
      <c r="AA5" s="23"/>
    </row>
    <row r="6" customHeight="1" spans="1:27">
      <c r="A6" s="12" t="str">
        <f>木桩!A6</f>
        <v>盾击</v>
      </c>
      <c r="B6" s="11">
        <f>木桩!B6</f>
        <v>5</v>
      </c>
      <c r="C6" s="11">
        <f>木桩!C6</f>
        <v>0.625</v>
      </c>
      <c r="D6" s="11">
        <f>木桩!D6</f>
        <v>109</v>
      </c>
      <c r="E6" s="13">
        <f>木桩!E6</f>
        <v>1</v>
      </c>
      <c r="F6" s="13">
        <f ca="1">木桩!F6+Q$23</f>
        <v>0.0101333333333333</v>
      </c>
      <c r="G6" s="13">
        <f>木桩!G6</f>
        <v>0</v>
      </c>
      <c r="H6" s="13">
        <f>木桩!H6</f>
        <v>0</v>
      </c>
      <c r="I6" s="21">
        <f ca="1" t="shared" si="4"/>
        <v>33040.491491362</v>
      </c>
      <c r="J6" s="13">
        <f ca="1" t="shared" si="1"/>
        <v>0.433665199880085</v>
      </c>
      <c r="K6" s="15">
        <f ca="1" t="shared" si="2"/>
        <v>0.487805126715561</v>
      </c>
      <c r="L6" s="13">
        <f ca="1">INDEX(V2:V17,MATCH(1:1,U2:U17,))</f>
        <v>1.94331862093365</v>
      </c>
      <c r="M6" s="13">
        <f ca="1">INDEX(V2:V17,MATCH(1:1,U2:U17,))</f>
        <v>0.902992590034019</v>
      </c>
      <c r="N6" s="21">
        <f ca="1">INDEX(V2:V17,MATCH(1:1,U2:U17,))+O:O*P:P</f>
        <v>17965.8209384615</v>
      </c>
      <c r="O6" s="21">
        <f ca="1">INDEX(V2:V17,MATCH(1:1,U2:U17,))</f>
        <v>7522.72307692308</v>
      </c>
      <c r="P6" s="40">
        <f t="shared" si="3"/>
        <v>0.772</v>
      </c>
      <c r="Q6" s="21">
        <f ca="1">INDEX(V2:V17,MATCH(1:1,U2:U17,))</f>
        <v>751</v>
      </c>
      <c r="R6" s="13">
        <f ca="1">INDEX(V2:V17,MATCH(1:1,U2:U17,))</f>
        <v>0</v>
      </c>
      <c r="S6" s="13">
        <f ca="1">INDEX(V2:V17,MATCH(1:1,U2:U17,))</f>
        <v>0</v>
      </c>
      <c r="T6" s="20">
        <f>1-Q25/16</f>
        <v>0.9375</v>
      </c>
      <c r="U6" s="20" t="str">
        <f t="shared" si="0"/>
        <v>基础攻击</v>
      </c>
      <c r="V6" s="20">
        <f ca="1" t="shared" si="0"/>
        <v>7522.72307692308</v>
      </c>
      <c r="W6" s="17" t="str">
        <f>属性!H10</f>
        <v>基础攻击</v>
      </c>
      <c r="X6" s="17">
        <f>属性!I10</f>
        <v>7315.92307692308</v>
      </c>
      <c r="Y6" s="17" t="s">
        <v>16</v>
      </c>
      <c r="Z6" s="17">
        <f ca="1">X6+I21+L28*(Z4-X4)</f>
        <v>7522.72307692308</v>
      </c>
      <c r="AA6" s="23"/>
    </row>
    <row r="7" customHeight="1" spans="1:27">
      <c r="A7" s="12" t="str">
        <f>木桩!A7</f>
        <v>盾压</v>
      </c>
      <c r="B7" s="11">
        <f>木桩!B7</f>
        <v>15</v>
      </c>
      <c r="C7" s="11">
        <f>木桩!C7</f>
        <v>1.243</v>
      </c>
      <c r="D7" s="11">
        <f>木桩!D7</f>
        <v>211</v>
      </c>
      <c r="E7" s="13">
        <f>木桩!E7</f>
        <v>1</v>
      </c>
      <c r="F7" s="13">
        <f ca="1">木桩!F7+Q$23</f>
        <v>0.200133333333333</v>
      </c>
      <c r="G7" s="13">
        <f>木桩!G7</f>
        <v>0.07</v>
      </c>
      <c r="H7" s="13">
        <f>木桩!H7</f>
        <v>0</v>
      </c>
      <c r="I7" s="21">
        <f ca="1" t="shared" si="4"/>
        <v>78760.8139023761</v>
      </c>
      <c r="J7" s="13">
        <f ca="1" t="shared" si="1"/>
        <v>0.503665199880085</v>
      </c>
      <c r="K7" s="15">
        <f ca="1" t="shared" si="2"/>
        <v>0.551656521857724</v>
      </c>
      <c r="L7" s="13">
        <f ca="1">INDEX(V2:V17,MATCH(1:1,U2:U17,))</f>
        <v>1.94331862093365</v>
      </c>
      <c r="M7" s="13">
        <f ca="1">INDEX(V2:V17,MATCH(1:1,U2:U17,))</f>
        <v>0.902992590034019</v>
      </c>
      <c r="N7" s="21">
        <f ca="1">INDEX(V2:V17,MATCH(1:1,U2:U17,))+O:O*P:P</f>
        <v>17965.8209384615</v>
      </c>
      <c r="O7" s="21">
        <f ca="1">INDEX(V2:V17,MATCH(1:1,U2:U17,))</f>
        <v>7522.72307692308</v>
      </c>
      <c r="P7" s="40">
        <f t="shared" si="3"/>
        <v>0.772</v>
      </c>
      <c r="Q7" s="21">
        <f ca="1">INDEX(V2:V17,MATCH(1:1,U2:U17,))</f>
        <v>751</v>
      </c>
      <c r="R7" s="13">
        <f ca="1">INDEX(V2:V17,MATCH(1:1,U2:U17,))</f>
        <v>0</v>
      </c>
      <c r="S7" s="13">
        <f ca="1">INDEX(V2:V17,MATCH(1:1,U2:U17,))</f>
        <v>0</v>
      </c>
      <c r="T7" s="20">
        <f>1.5-Q24/16</f>
        <v>1.375</v>
      </c>
      <c r="U7" s="20" t="str">
        <f t="shared" si="0"/>
        <v>会心</v>
      </c>
      <c r="V7" s="20">
        <f ca="1" t="shared" si="0"/>
        <v>0.433665199880085</v>
      </c>
      <c r="W7" s="17" t="str">
        <f>属性!H11</f>
        <v>会心</v>
      </c>
      <c r="X7" s="17">
        <f>属性!I11</f>
        <v>0.2668</v>
      </c>
      <c r="Y7" s="17" t="s">
        <v>26</v>
      </c>
      <c r="Z7" s="17">
        <f ca="1">X7+K21/J25+(Z2-X2)*L29/J25+K23</f>
        <v>0.433665199880085</v>
      </c>
      <c r="AA7" s="23"/>
    </row>
    <row r="8" customHeight="1" spans="1:27">
      <c r="A8" s="12" t="str">
        <f>木桩!A8</f>
        <v>盾猛</v>
      </c>
      <c r="B8" s="11">
        <f>木桩!B8</f>
        <v>15</v>
      </c>
      <c r="C8" s="11">
        <f>木桩!C8</f>
        <v>2.4525</v>
      </c>
      <c r="D8" s="11">
        <f>木桩!D8</f>
        <v>340</v>
      </c>
      <c r="E8" s="13">
        <f>木桩!E8</f>
        <v>1</v>
      </c>
      <c r="F8" s="13">
        <f ca="1">木桩!F8+Q$23</f>
        <v>0.0101333333333333</v>
      </c>
      <c r="G8" s="13">
        <f>木桩!G8</f>
        <v>0.1</v>
      </c>
      <c r="H8" s="13">
        <f>木桩!H8</f>
        <v>0.1</v>
      </c>
      <c r="I8" s="21">
        <f ca="1" t="shared" si="4"/>
        <v>135608.121382289</v>
      </c>
      <c r="J8" s="13">
        <f ca="1" t="shared" si="1"/>
        <v>0.533665199880085</v>
      </c>
      <c r="K8" s="15">
        <f ca="1" t="shared" si="2"/>
        <v>0.579391677895563</v>
      </c>
      <c r="L8" s="13">
        <f ca="1">INDEX(V2:V17,MATCH(1:1,U2:U17,))</f>
        <v>1.94331862093365</v>
      </c>
      <c r="M8" s="13">
        <f ca="1">INDEX(V2:V17,MATCH(1:1,U2:U17,))</f>
        <v>0.902992590034019</v>
      </c>
      <c r="N8" s="21">
        <f ca="1">INDEX(V2:V17,MATCH(1:1,U2:U17,))+O:O*P:P</f>
        <v>17965.8209384615</v>
      </c>
      <c r="O8" s="21">
        <f ca="1">INDEX(V2:V17,MATCH(1:1,U2:U17,))</f>
        <v>7522.72307692308</v>
      </c>
      <c r="P8" s="40">
        <f t="shared" si="3"/>
        <v>0.772</v>
      </c>
      <c r="Q8" s="21">
        <f ca="1">INDEX(V2:V17,MATCH(1:1,U2:U17,))</f>
        <v>751</v>
      </c>
      <c r="R8" s="13">
        <f ca="1">INDEX(V2:V17,MATCH(1:1,U2:U17,))</f>
        <v>0</v>
      </c>
      <c r="S8" s="13">
        <f ca="1">INDEX(V2:V17,MATCH(1:1,U2:U17,))</f>
        <v>0</v>
      </c>
      <c r="T8" s="20">
        <f>1.5-Q24/16</f>
        <v>1.375</v>
      </c>
      <c r="U8" s="20" t="str">
        <f t="shared" si="0"/>
        <v>会效</v>
      </c>
      <c r="V8" s="20">
        <f ca="1" t="shared" si="0"/>
        <v>1.94331862093365</v>
      </c>
      <c r="W8" s="17" t="str">
        <f>属性!H12</f>
        <v>会效</v>
      </c>
      <c r="X8" s="17">
        <f>属性!I12</f>
        <v>1.8533</v>
      </c>
      <c r="Y8" s="17" t="s">
        <v>36</v>
      </c>
      <c r="Z8" s="17">
        <f ca="1">X8+(L21+(Z2-X2)*L30)/J26+L23</f>
        <v>1.94331862093365</v>
      </c>
      <c r="AA8" s="23"/>
    </row>
    <row r="9" customHeight="1" spans="1:27">
      <c r="A9" s="12" t="str">
        <f>木桩!A9</f>
        <v>盾飞</v>
      </c>
      <c r="B9" s="11">
        <f>木桩!B9</f>
        <v>0</v>
      </c>
      <c r="C9" s="11">
        <f>木桩!C9</f>
        <v>0.168</v>
      </c>
      <c r="D9" s="11">
        <f>木桩!D9</f>
        <v>25</v>
      </c>
      <c r="E9" s="13">
        <f>木桩!E9</f>
        <v>1</v>
      </c>
      <c r="F9" s="13">
        <f ca="1">木桩!F9+Q$23</f>
        <v>0.130133333333333</v>
      </c>
      <c r="G9" s="13">
        <f>木桩!G9</f>
        <v>0.05</v>
      </c>
      <c r="H9" s="13">
        <f>木桩!H9</f>
        <v>0</v>
      </c>
      <c r="I9" s="21">
        <f ca="1" t="shared" si="4"/>
        <v>12530.7225307995</v>
      </c>
      <c r="J9" s="13">
        <f ca="1" t="shared" si="1"/>
        <v>0.483665199880085</v>
      </c>
      <c r="K9" s="15">
        <f ca="1" t="shared" ref="K9:K14" si="5">J:J+K$19</f>
        <v>0.532106492123557</v>
      </c>
      <c r="L9" s="13">
        <f ca="1">INDEX(V2:V17,MATCH(1:1,U2:U17,))</f>
        <v>1.94331862093365</v>
      </c>
      <c r="M9" s="13">
        <f ca="1">INDEX(V2:V17,MATCH(1:1,U2:U17,))</f>
        <v>0.902992590034019</v>
      </c>
      <c r="N9" s="21">
        <f ca="1">INDEX(V2:V17,MATCH(1:1,U2:U17,))+O:O*P:P</f>
        <v>19094.2294</v>
      </c>
      <c r="O9" s="21">
        <f ca="1">INDEX(V2:V17,MATCH(1:1,U2:U17,))</f>
        <v>7522.72307692308</v>
      </c>
      <c r="P9" s="40">
        <f t="shared" ref="P9:P14" si="6">60%+D$32*0.2*6/25+0.15*D$21+60%*(25+6*D$32)*(1+H$28)/H$27</f>
        <v>0.922</v>
      </c>
      <c r="Q9" s="21">
        <f ca="1">INDEX(V2:V17,MATCH(1:1,U2:U17,))</f>
        <v>751</v>
      </c>
      <c r="R9" s="13">
        <f ca="1">INDEX(V2:V17,MATCH(1:1,U2:U17,))</f>
        <v>0</v>
      </c>
      <c r="S9" s="13">
        <f ca="1">INDEX(V2:V17,MATCH(1:1,U2:U17,))</f>
        <v>0</v>
      </c>
      <c r="T9" s="20">
        <f>1.5-Q24/16</f>
        <v>1.375</v>
      </c>
      <c r="U9" s="20" t="str">
        <f t="shared" si="0"/>
        <v>破防值</v>
      </c>
      <c r="V9" s="20">
        <f ca="1">Z9</f>
        <v>13855.6989</v>
      </c>
      <c r="W9" s="17" t="str">
        <f>属性!H13</f>
        <v>破防值</v>
      </c>
      <c r="X9" s="17">
        <f>属性!I13</f>
        <v>7718.1326</v>
      </c>
      <c r="Y9" s="17" t="s">
        <v>206</v>
      </c>
      <c r="Z9" s="17">
        <f ca="1">Z10*(1+O23)</f>
        <v>13855.6989</v>
      </c>
      <c r="AA9" s="23"/>
    </row>
    <row r="10" customHeight="1" spans="1:27">
      <c r="A10" s="12" t="str">
        <f>木桩!A10</f>
        <v>劫刀</v>
      </c>
      <c r="B10" s="11">
        <f>木桩!B10</f>
        <v>-5</v>
      </c>
      <c r="C10" s="11">
        <f>木桩!C10</f>
        <v>1.1</v>
      </c>
      <c r="D10" s="11">
        <f>木桩!D10</f>
        <v>124.5</v>
      </c>
      <c r="E10" s="13">
        <f>木桩!E10</f>
        <v>1</v>
      </c>
      <c r="F10" s="13">
        <f ca="1">木桩!F10+Q$23</f>
        <v>0.230133333333333</v>
      </c>
      <c r="G10" s="13">
        <f>木桩!G10</f>
        <v>0.15</v>
      </c>
      <c r="H10" s="13">
        <f>木桩!H10</f>
        <v>0.15</v>
      </c>
      <c r="I10" s="21">
        <f ca="1" t="shared" si="4"/>
        <v>84341.5621312949</v>
      </c>
      <c r="J10" s="13">
        <f ca="1" t="shared" si="1"/>
        <v>0.583665199880085</v>
      </c>
      <c r="K10" s="15">
        <f ca="1" t="shared" si="5"/>
        <v>0.632106492123557</v>
      </c>
      <c r="L10" s="13">
        <f ca="1">INDEX(V2:V17,MATCH(1:1,U2:U17,))</f>
        <v>1.94331862093365</v>
      </c>
      <c r="M10" s="13">
        <f ca="1">INDEX(V2:V17,MATCH(1:1,U2:U17,))</f>
        <v>0.902992590034019</v>
      </c>
      <c r="N10" s="21">
        <f ca="1">INDEX(V2:V17,MATCH(1:1,U2:U17,))+O:O*P:P</f>
        <v>19094.2294</v>
      </c>
      <c r="O10" s="21">
        <f ca="1">INDEX(V2:V17,MATCH(1:1,U2:U17,))</f>
        <v>7522.72307692308</v>
      </c>
      <c r="P10" s="40">
        <f t="shared" si="6"/>
        <v>0.922</v>
      </c>
      <c r="Q10" s="21">
        <f ca="1">INDEX(V2:V17,MATCH(1:1,U2:U17,))</f>
        <v>751</v>
      </c>
      <c r="R10" s="13">
        <f ca="1">INDEX(V2:V17,MATCH(1:1,U2:U17,))</f>
        <v>0</v>
      </c>
      <c r="S10" s="13">
        <f ca="1">INDEX(V2:V17,MATCH(1:1,U2:U17,))</f>
        <v>0</v>
      </c>
      <c r="T10" s="20">
        <f>1.5-Q24/16</f>
        <v>1.375</v>
      </c>
      <c r="U10" s="20" t="str">
        <f t="shared" si="0"/>
        <v>基础破防</v>
      </c>
      <c r="V10" s="20">
        <f ca="1">Z10</f>
        <v>9237.1326</v>
      </c>
      <c r="W10" s="17" t="str">
        <f>属性!H14</f>
        <v>基础破防</v>
      </c>
      <c r="X10" s="17">
        <f>属性!I14</f>
        <v>7718.1326</v>
      </c>
      <c r="Y10" s="17" t="s">
        <v>47</v>
      </c>
      <c r="Z10" s="17">
        <f ca="1">X10+O21+(Z4-X4)*L27</f>
        <v>9237.1326</v>
      </c>
      <c r="AA10" s="23"/>
    </row>
    <row r="11" customHeight="1" spans="1:27">
      <c r="A11" s="12" t="str">
        <f>木桩!A11</f>
        <v>斩刀</v>
      </c>
      <c r="B11" s="11">
        <f>木桩!B11</f>
        <v>-15</v>
      </c>
      <c r="C11" s="11">
        <f>木桩!C11</f>
        <v>1.193</v>
      </c>
      <c r="D11" s="11">
        <f>木桩!D11</f>
        <v>233</v>
      </c>
      <c r="E11" s="13">
        <f>木桩!E11</f>
        <v>1</v>
      </c>
      <c r="F11" s="13">
        <f ca="1">木桩!F11+Q$23</f>
        <v>0.180133333333333</v>
      </c>
      <c r="G11" s="13">
        <f>木桩!G11</f>
        <v>0.04</v>
      </c>
      <c r="H11" s="13">
        <f>木桩!H11</f>
        <v>0</v>
      </c>
      <c r="I11" s="21">
        <f ca="1" t="shared" si="4"/>
        <v>77562.0473357989</v>
      </c>
      <c r="J11" s="13">
        <f ca="1" t="shared" si="1"/>
        <v>0.473665199880085</v>
      </c>
      <c r="K11" s="15">
        <f ca="1" t="shared" si="5"/>
        <v>0.522106492123557</v>
      </c>
      <c r="L11" s="13">
        <f ca="1">INDEX(V2:V17,MATCH(1:1,U2:U17,))</f>
        <v>1.94331862093365</v>
      </c>
      <c r="M11" s="13">
        <f ca="1">INDEX(V2:V17,MATCH(1:1,U2:U17,))</f>
        <v>0.902992590034019</v>
      </c>
      <c r="N11" s="21">
        <f ca="1">INDEX(V2:V17,MATCH(1:1,U2:U17,))+O:O*P:P</f>
        <v>19094.2294</v>
      </c>
      <c r="O11" s="21">
        <f ca="1">INDEX(V2:V17,MATCH(1:1,U2:U17,))</f>
        <v>7522.72307692308</v>
      </c>
      <c r="P11" s="40">
        <f t="shared" si="6"/>
        <v>0.922</v>
      </c>
      <c r="Q11" s="21">
        <f ca="1">INDEX(V2:V17,MATCH(1:1,U2:U17,))</f>
        <v>751</v>
      </c>
      <c r="R11" s="13">
        <f ca="1">INDEX(V2:V17,MATCH(1:1,U2:U17,))</f>
        <v>0</v>
      </c>
      <c r="S11" s="13">
        <f ca="1">INDEX(V2:V17,MATCH(1:1,U2:U17,))</f>
        <v>0</v>
      </c>
      <c r="T11" s="20">
        <f>1.5-Q24/16</f>
        <v>1.375</v>
      </c>
      <c r="U11" s="20" t="str">
        <f t="shared" si="0"/>
        <v>破防</v>
      </c>
      <c r="V11" s="20">
        <f ca="1" t="shared" si="0"/>
        <v>0.902992590034019</v>
      </c>
      <c r="W11" s="17" t="str">
        <f>属性!H15</f>
        <v>破防</v>
      </c>
      <c r="X11" s="17">
        <f>属性!I15</f>
        <v>0.503</v>
      </c>
      <c r="Y11" s="17" t="s">
        <v>205</v>
      </c>
      <c r="Z11" s="17">
        <f ca="1">Z9/J30</f>
        <v>0.902992590034019</v>
      </c>
      <c r="AA11" s="23"/>
    </row>
    <row r="12" customHeight="1" spans="1:27">
      <c r="A12" s="12" t="str">
        <f>木桩!A12</f>
        <v>闪刀</v>
      </c>
      <c r="B12" s="11">
        <f>木桩!B12</f>
        <v>-15</v>
      </c>
      <c r="C12" s="11">
        <f>木桩!C12</f>
        <v>0.9</v>
      </c>
      <c r="D12" s="11">
        <f>木桩!D12</f>
        <v>157.5</v>
      </c>
      <c r="E12" s="13">
        <f>木桩!E12</f>
        <v>1</v>
      </c>
      <c r="F12" s="13">
        <f ca="1">木桩!F12+Q$23</f>
        <v>0.0101333333333333</v>
      </c>
      <c r="G12" s="13">
        <f>木桩!G12</f>
        <v>0</v>
      </c>
      <c r="H12" s="13">
        <f>木桩!H12</f>
        <v>0</v>
      </c>
      <c r="I12" s="21">
        <f ca="1" t="shared" si="4"/>
        <v>49270.3035136016</v>
      </c>
      <c r="J12" s="13">
        <f ca="1" t="shared" si="1"/>
        <v>0.433665199880085</v>
      </c>
      <c r="K12" s="15">
        <f ca="1" t="shared" si="5"/>
        <v>0.482106492123557</v>
      </c>
      <c r="L12" s="13">
        <f ca="1">INDEX(V2:V17,MATCH(1:1,U2:U17,))</f>
        <v>1.94331862093365</v>
      </c>
      <c r="M12" s="13">
        <f ca="1">INDEX(V2:V17,MATCH(1:1,U2:U17,))</f>
        <v>0.902992590034019</v>
      </c>
      <c r="N12" s="21">
        <f ca="1">INDEX(V2:V17,MATCH(1:1,U2:U17,))+O:O*P:P</f>
        <v>19094.2294</v>
      </c>
      <c r="O12" s="21">
        <f ca="1">INDEX(V2:V17,MATCH(1:1,U2:U17,))</f>
        <v>7522.72307692308</v>
      </c>
      <c r="P12" s="40">
        <f t="shared" si="6"/>
        <v>0.922</v>
      </c>
      <c r="Q12" s="21">
        <f ca="1">INDEX(V2:V17,MATCH(1:1,U2:U17,))</f>
        <v>751</v>
      </c>
      <c r="R12" s="13">
        <f ca="1">INDEX(V2:V17,MATCH(1:1,U2:U17,))</f>
        <v>0</v>
      </c>
      <c r="S12" s="13">
        <f ca="1">INDEX(V2:V17,MATCH(1:1,U2:U17,))</f>
        <v>0</v>
      </c>
      <c r="T12" s="20">
        <f>1.5-Q24/16</f>
        <v>1.375</v>
      </c>
      <c r="U12" s="20" t="str">
        <f t="shared" si="0"/>
        <v>加速</v>
      </c>
      <c r="V12" s="20">
        <f t="shared" si="0"/>
        <v>828</v>
      </c>
      <c r="W12" s="17" t="str">
        <f>属性!H16</f>
        <v>加速</v>
      </c>
      <c r="X12" s="17">
        <f>属性!I16</f>
        <v>828</v>
      </c>
      <c r="Y12" s="17" t="s">
        <v>83</v>
      </c>
      <c r="Z12" s="17">
        <f>X12</f>
        <v>828</v>
      </c>
      <c r="AA12" s="23"/>
    </row>
    <row r="13" customHeight="1" spans="1:27">
      <c r="A13" s="12" t="str">
        <f>木桩!A13</f>
        <v>绝刀</v>
      </c>
      <c r="B13" s="11">
        <f>木桩!B13</f>
        <v>0</v>
      </c>
      <c r="C13" s="11">
        <f>木桩!C13</f>
        <v>1.211</v>
      </c>
      <c r="D13" s="11">
        <f>木桩!D13</f>
        <v>186</v>
      </c>
      <c r="E13" s="13">
        <f>木桩!E13</f>
        <v>1</v>
      </c>
      <c r="F13" s="13">
        <f ca="1">木桩!F13+Q$23</f>
        <v>0.500133333333333</v>
      </c>
      <c r="G13" s="13">
        <f>木桩!G13</f>
        <v>0.04</v>
      </c>
      <c r="H13" s="13">
        <f>木桩!H13</f>
        <v>0</v>
      </c>
      <c r="I13" s="21">
        <f ca="1" t="shared" si="4"/>
        <v>99824.426644625</v>
      </c>
      <c r="J13" s="13">
        <f ca="1" t="shared" si="1"/>
        <v>0.473665199880085</v>
      </c>
      <c r="K13" s="15">
        <f ca="1" t="shared" si="5"/>
        <v>0.522106492123557</v>
      </c>
      <c r="L13" s="13">
        <f ca="1">INDEX(V2:V17,MATCH(1:1,U2:U17,))</f>
        <v>1.94331862093365</v>
      </c>
      <c r="M13" s="13">
        <f ca="1">INDEX(V2:V17,MATCH(1:1,U2:U17,))</f>
        <v>0.902992590034019</v>
      </c>
      <c r="N13" s="21">
        <f ca="1">INDEX(V2:V17,MATCH(1:1,U2:U17,))+O:O*P:P</f>
        <v>19094.2294</v>
      </c>
      <c r="O13" s="21">
        <f ca="1">INDEX(V2:V17,MATCH(1:1,U2:U17,))</f>
        <v>7522.72307692308</v>
      </c>
      <c r="P13" s="40">
        <f t="shared" si="6"/>
        <v>0.922</v>
      </c>
      <c r="Q13" s="21">
        <f ca="1">INDEX(V2:V17,MATCH(1:1,U2:U17,))</f>
        <v>751</v>
      </c>
      <c r="R13" s="13">
        <f ca="1">INDEX(V2:V17,MATCH(1:1,U2:U17,))</f>
        <v>0</v>
      </c>
      <c r="S13" s="13">
        <f ca="1">INDEX(V2:V17,MATCH(1:1,U2:U17,))</f>
        <v>0</v>
      </c>
      <c r="T13" s="20">
        <f>1.5-Q24/16</f>
        <v>1.375</v>
      </c>
      <c r="U13" s="20" t="str">
        <f t="shared" si="0"/>
        <v>命中</v>
      </c>
      <c r="V13" s="20">
        <f ca="1" t="shared" si="0"/>
        <v>1.13257753521884</v>
      </c>
      <c r="W13" s="17" t="str">
        <f>属性!H17</f>
        <v>命中</v>
      </c>
      <c r="X13" s="17">
        <f>属性!I17</f>
        <v>1.0715</v>
      </c>
      <c r="Y13" s="17" t="s">
        <v>56</v>
      </c>
      <c r="Z13" s="17">
        <f ca="1">X13+J23+J21/J27</f>
        <v>1.13257753521884</v>
      </c>
      <c r="AA13" s="23"/>
    </row>
    <row r="14" customHeight="1" spans="1:27">
      <c r="A14" s="11" t="str">
        <f>木桩!A14</f>
        <v>流血</v>
      </c>
      <c r="B14" s="11">
        <f>木桩!B14</f>
        <v>0</v>
      </c>
      <c r="C14" s="14">
        <f>木桩!C14</f>
        <v>0.34375</v>
      </c>
      <c r="D14" s="11">
        <f>木桩!D14</f>
        <v>47</v>
      </c>
      <c r="E14" s="13">
        <f>木桩!E14</f>
        <v>0</v>
      </c>
      <c r="F14" s="13">
        <f ca="1">木桩!F14+Q$23</f>
        <v>0.0101333333333333</v>
      </c>
      <c r="G14" s="13">
        <f>木桩!G14</f>
        <v>0</v>
      </c>
      <c r="H14" s="13">
        <f>木桩!H14</f>
        <v>0</v>
      </c>
      <c r="I14" s="21">
        <f ca="1" t="shared" si="4"/>
        <v>18001.5911830194</v>
      </c>
      <c r="J14" s="13">
        <f ca="1" t="shared" si="1"/>
        <v>0.433665199880085</v>
      </c>
      <c r="K14" s="15">
        <f ca="1" t="shared" si="5"/>
        <v>0.482106492123557</v>
      </c>
      <c r="L14" s="13">
        <f ca="1">INDEX(V2:V17,MATCH(1:1,U2:U17,))</f>
        <v>1.94331862093365</v>
      </c>
      <c r="M14" s="13">
        <f ca="1">INDEX(V2:V17,MATCH(1:1,U2:U17,))</f>
        <v>0.902992590034019</v>
      </c>
      <c r="N14" s="21">
        <f ca="1">INDEX(V2:V17,MATCH(1:1,U2:U17,))+O:O*P:P</f>
        <v>19094.2294</v>
      </c>
      <c r="O14" s="21">
        <f ca="1">INDEX(V2:V17,MATCH(1:1,U2:U17,))</f>
        <v>7522.72307692308</v>
      </c>
      <c r="P14" s="40">
        <f t="shared" si="6"/>
        <v>0.922</v>
      </c>
      <c r="Q14" s="21">
        <f ca="1">INDEX(V2:V17,MATCH(1:1,U2:U17,))</f>
        <v>751</v>
      </c>
      <c r="R14" s="13">
        <f ca="1">INDEX(V2:V17,MATCH(1:1,U2:U17,))</f>
        <v>0</v>
      </c>
      <c r="S14" s="13">
        <f ca="1">INDEX(V2:V17,MATCH(1:1,U2:U17,))</f>
        <v>0</v>
      </c>
      <c r="T14" s="20">
        <f>(2-Q26/16)*NOT(D22)+(1-Q25/16)*D22</f>
        <v>0.9375</v>
      </c>
      <c r="U14" s="20" t="str">
        <f t="shared" si="0"/>
        <v>无双</v>
      </c>
      <c r="V14" s="20">
        <f ca="1" t="shared" si="0"/>
        <v>0.273371047077177</v>
      </c>
      <c r="W14" s="17" t="str">
        <f>属性!H18</f>
        <v>无双</v>
      </c>
      <c r="X14" s="17">
        <f>属性!I18</f>
        <v>0.2319</v>
      </c>
      <c r="Y14" s="17" t="s">
        <v>66</v>
      </c>
      <c r="Z14" s="17">
        <f ca="1">X14+N23+N21/J28</f>
        <v>0.273371047077177</v>
      </c>
      <c r="AA14" s="23"/>
    </row>
    <row r="15" customHeight="1" spans="1:27">
      <c r="A15" s="11" t="str">
        <f>木桩!A15</f>
        <v>卷雪刀</v>
      </c>
      <c r="B15" s="11">
        <f>木桩!B15</f>
        <v>0</v>
      </c>
      <c r="C15" s="11">
        <f>木桩!C15</f>
        <v>0.1375</v>
      </c>
      <c r="D15" s="11">
        <f>木桩!D15</f>
        <v>0</v>
      </c>
      <c r="E15" s="13">
        <f>木桩!E15</f>
        <v>1</v>
      </c>
      <c r="F15" s="13">
        <f ca="1">木桩!F15+Q$23</f>
        <v>0.0101333333333333</v>
      </c>
      <c r="G15" s="13">
        <f>木桩!G15</f>
        <v>0</v>
      </c>
      <c r="H15" s="13">
        <f>木桩!H15</f>
        <v>0</v>
      </c>
      <c r="I15" s="21">
        <f ca="1" t="shared" si="4"/>
        <v>8804.41179583846</v>
      </c>
      <c r="J15" s="13">
        <f ca="1" t="shared" si="1"/>
        <v>0.433665199880085</v>
      </c>
      <c r="K15" s="15">
        <f ca="1">J:J+(0.211855500496661*J:J^6-0.937563819411654*J:J^5+1.77483619127542*J:J^4-1.89647323402313*J:J^3+1.2737744963305*J:J^2-0.565275505039552*J:J+0.164596522595162)*$D$28</f>
        <v>0.487805126715561</v>
      </c>
      <c r="L15" s="13">
        <f ca="1">INDEX(V2:V17,MATCH(1:1,U2:U17,))</f>
        <v>1.94331862093365</v>
      </c>
      <c r="M15" s="13">
        <f ca="1">INDEX(V2:V17,MATCH(1:1,U2:U17,))</f>
        <v>0.902992590034019</v>
      </c>
      <c r="N15" s="21">
        <f ca="1">INDEX(V2:V17,MATCH(1:1,U2:U17,))+O:O*P:P</f>
        <v>17965.8209384615</v>
      </c>
      <c r="O15" s="21">
        <f ca="1">INDEX(V2:V17,MATCH(1:1,U2:U17,))</f>
        <v>7522.72307692308</v>
      </c>
      <c r="P15" s="40">
        <f>60%+D$32*0.2*6/25+60%*(25+6*D$32)*(1+H$28)/H$27</f>
        <v>0.772</v>
      </c>
      <c r="Q15" s="21">
        <f ca="1">INDEX(V2:V17,MATCH(1:1,U2:U17,))</f>
        <v>751</v>
      </c>
      <c r="R15" s="13">
        <f ca="1">INDEX(V2:V17,MATCH(1:1,U2:U17,))</f>
        <v>0</v>
      </c>
      <c r="S15" s="13">
        <f ca="1">INDEX(V2:V17,MATCH(1:1,U2:U17,))</f>
        <v>0</v>
      </c>
      <c r="T15" s="20">
        <f>1.5-Q24/16</f>
        <v>1.375</v>
      </c>
      <c r="U15" s="20" t="str">
        <f t="shared" si="0"/>
        <v>武器伤害</v>
      </c>
      <c r="V15" s="20">
        <f ca="1" t="shared" si="0"/>
        <v>751</v>
      </c>
      <c r="W15" s="17" t="str">
        <f>属性!H19</f>
        <v>武器伤害</v>
      </c>
      <c r="X15" s="17">
        <f ca="1">属性!I19+P21</f>
        <v>751</v>
      </c>
      <c r="Y15" s="17" t="s">
        <v>75</v>
      </c>
      <c r="Z15" s="17">
        <f ca="1">X15</f>
        <v>751</v>
      </c>
      <c r="AA15" s="23"/>
    </row>
    <row r="16" customHeight="1" spans="1:27">
      <c r="A16" s="7" t="str">
        <f>木桩!A16</f>
        <v>卷雪刀1</v>
      </c>
      <c r="B16" s="7">
        <f>木桩!B16</f>
        <v>0</v>
      </c>
      <c r="C16" s="7">
        <f>木桩!C16</f>
        <v>0.1375</v>
      </c>
      <c r="D16" s="7">
        <f>木桩!D16</f>
        <v>0</v>
      </c>
      <c r="E16" s="16">
        <f>木桩!E16</f>
        <v>1</v>
      </c>
      <c r="F16" s="13">
        <f ca="1">木桩!F16+Q$23</f>
        <v>0.0101333333333333</v>
      </c>
      <c r="G16" s="16">
        <f>木桩!G16</f>
        <v>0</v>
      </c>
      <c r="H16" s="16">
        <f>木桩!H16</f>
        <v>0</v>
      </c>
      <c r="I16" s="21">
        <f ca="1" t="shared" si="4"/>
        <v>9194.50731778854</v>
      </c>
      <c r="J16" s="13">
        <f ca="1" t="shared" si="1"/>
        <v>0.433665199880085</v>
      </c>
      <c r="K16" s="15">
        <f ca="1">J:J+K$19</f>
        <v>0.482106492123557</v>
      </c>
      <c r="L16" s="16">
        <f ca="1">INDEX(V2:V17,MATCH(1:1,U2:U17,))</f>
        <v>1.94331862093365</v>
      </c>
      <c r="M16" s="16">
        <f ca="1">INDEX(V2:V17,MATCH(1:1,U2:U17,))</f>
        <v>0.902992590034019</v>
      </c>
      <c r="N16" s="23">
        <f ca="1">INDEX(V2:V17,MATCH(1:1,U2:U17,))+O:O*P:P</f>
        <v>19094.2294</v>
      </c>
      <c r="O16" s="23">
        <f ca="1">INDEX(V2:V17,MATCH(1:1,U2:U17,))</f>
        <v>7522.72307692308</v>
      </c>
      <c r="P16" s="16">
        <f>P12</f>
        <v>0.922</v>
      </c>
      <c r="Q16" s="23">
        <f ca="1">INDEX(V2:V17,MATCH(1:1,U2:U17,))</f>
        <v>751</v>
      </c>
      <c r="R16" s="16">
        <f ca="1">INDEX(V2:V17,MATCH(1:1,U2:U17,))</f>
        <v>0</v>
      </c>
      <c r="S16" s="16">
        <f ca="1">INDEX(V2:V17,MATCH(1:1,U2:U17,))</f>
        <v>0</v>
      </c>
      <c r="T16" s="20">
        <f>1.5-Q24/16</f>
        <v>1.375</v>
      </c>
      <c r="U16" s="17" t="str">
        <f t="shared" si="0"/>
        <v>偏离率</v>
      </c>
      <c r="V16" s="30">
        <f ca="1" t="shared" si="0"/>
        <v>0</v>
      </c>
      <c r="W16" s="17" t="str">
        <f>属性!H20</f>
        <v>偏离率</v>
      </c>
      <c r="X16" s="16">
        <f>属性!I20</f>
        <v>0</v>
      </c>
      <c r="Y16" s="17" t="s">
        <v>212</v>
      </c>
      <c r="Z16" s="17">
        <f ca="1">IF(X16-Z13+X13&gt;0,X16-Z13+X13,0)</f>
        <v>0</v>
      </c>
      <c r="AA16" s="23"/>
    </row>
    <row r="17" customHeight="1" spans="1:27">
      <c r="A17" s="11" t="str">
        <f>木桩!A17</f>
        <v>绝刀1</v>
      </c>
      <c r="B17" s="11">
        <f>木桩!B17</f>
        <v>0</v>
      </c>
      <c r="C17" s="11">
        <f>木桩!C17</f>
        <v>1.211</v>
      </c>
      <c r="D17" s="11">
        <f>木桩!D17</f>
        <v>186</v>
      </c>
      <c r="E17" s="13">
        <f>木桩!E17</f>
        <v>1</v>
      </c>
      <c r="F17" s="13">
        <f ca="1">木桩!F17+Q$23</f>
        <v>0.500133333333333</v>
      </c>
      <c r="G17" s="13">
        <f>木桩!G17</f>
        <v>0.07</v>
      </c>
      <c r="H17" s="13">
        <f>木桩!H17</f>
        <v>0</v>
      </c>
      <c r="I17" s="21">
        <f ca="1" t="shared" si="4"/>
        <v>101688.809483136</v>
      </c>
      <c r="J17" s="13">
        <f ca="1" t="shared" si="1"/>
        <v>0.503665199880085</v>
      </c>
      <c r="K17" s="15">
        <f ca="1">J:J+(0.211855500496661*J:J^6-0.937563819411654*J:J^5+1.77483619127542*J:J^4-1.89647323402313*J:J^3+1.2737744963305*J:J^2-0.565275505039552*J:J+0.164596522595162)*$D$28</f>
        <v>0.551656521857724</v>
      </c>
      <c r="L17" s="13">
        <f ca="1">INDEX(V2:V17,MATCH(1:1,U2:U17,))</f>
        <v>1.94331862093365</v>
      </c>
      <c r="M17" s="13">
        <f ca="1">INDEX(V2:V17,MATCH(1:1,U2:U17,))</f>
        <v>0.902992590034019</v>
      </c>
      <c r="N17" s="21">
        <f ca="1">INDEX(V2:V17,MATCH(1:1,U2:U17,))+O:O*P:P</f>
        <v>19094.2294</v>
      </c>
      <c r="O17" s="21">
        <f ca="1">INDEX(V2:V17,MATCH(1:1,U2:U17,))</f>
        <v>7522.72307692308</v>
      </c>
      <c r="P17" s="16">
        <f>P13</f>
        <v>0.922</v>
      </c>
      <c r="Q17" s="21">
        <f ca="1">INDEX(V2:V17,MATCH(1:1,U2:U17,))</f>
        <v>751</v>
      </c>
      <c r="R17" s="13">
        <f ca="1">INDEX(V2:V17,MATCH(1:1,U2:U17,))</f>
        <v>0</v>
      </c>
      <c r="S17" s="13">
        <f ca="1">INDEX(V2:V17,MATCH(1:1,U2:U17,))</f>
        <v>0</v>
      </c>
      <c r="T17" s="7">
        <v>0</v>
      </c>
      <c r="U17" s="20" t="str">
        <f t="shared" si="0"/>
        <v>识破率</v>
      </c>
      <c r="V17" s="20">
        <f ca="1" t="shared" si="0"/>
        <v>0</v>
      </c>
      <c r="W17" s="17" t="str">
        <f>属性!H21</f>
        <v>识破率</v>
      </c>
      <c r="X17" s="17">
        <f>属性!I21</f>
        <v>0</v>
      </c>
      <c r="Y17" s="17" t="s">
        <v>213</v>
      </c>
      <c r="Z17" s="17">
        <f ca="1">IF(X17-Z14+X14&gt;0,X17-Z14+X14,0)</f>
        <v>0</v>
      </c>
      <c r="AA17" s="23"/>
    </row>
    <row r="18" customHeight="1" spans="1:27">
      <c r="A18" s="11" t="str">
        <f>木桩!A18</f>
        <v>绝刀2</v>
      </c>
      <c r="B18" s="11">
        <f>木桩!B18</f>
        <v>0</v>
      </c>
      <c r="C18" s="11">
        <f>木桩!C18</f>
        <v>1.211</v>
      </c>
      <c r="D18" s="11">
        <f>木桩!D18</f>
        <v>186</v>
      </c>
      <c r="E18" s="13">
        <f>木桩!E18</f>
        <v>1</v>
      </c>
      <c r="F18" s="13">
        <f ca="1">木桩!F18+Q$23</f>
        <v>0.700133333333333</v>
      </c>
      <c r="G18" s="13">
        <f>木桩!G18</f>
        <v>0.04</v>
      </c>
      <c r="H18" s="13">
        <f>木桩!H18</f>
        <v>0</v>
      </c>
      <c r="I18" s="21">
        <f ca="1" t="shared" si="4"/>
        <v>113133.167198081</v>
      </c>
      <c r="J18" s="13">
        <f ca="1" t="shared" si="1"/>
        <v>0.473665199880085</v>
      </c>
      <c r="K18" s="15">
        <f ca="1">J:J+K$19</f>
        <v>0.522106492123557</v>
      </c>
      <c r="L18" s="13">
        <f ca="1">INDEX(V2:V17,MATCH(1:1,U2:U17,))</f>
        <v>1.94331862093365</v>
      </c>
      <c r="M18" s="13">
        <f ca="1">INDEX(V2:V17,MATCH(1:1,U2:U17,))</f>
        <v>0.902992590034019</v>
      </c>
      <c r="N18" s="21">
        <f ca="1">INDEX(V2:V17,MATCH(1:1,U2:U17,))+O:O*P:P</f>
        <v>19094.2294</v>
      </c>
      <c r="O18" s="21">
        <f ca="1">INDEX(V2:V17,MATCH(1:1,U2:U17,))</f>
        <v>7522.72307692308</v>
      </c>
      <c r="P18" s="16">
        <f>P13</f>
        <v>0.922</v>
      </c>
      <c r="Q18" s="21">
        <f ca="1">INDEX(V2:V17,MATCH(1:1,U2:U17,))</f>
        <v>751</v>
      </c>
      <c r="R18" s="13">
        <f ca="1">INDEX(V2:V17,MATCH(1:1,U2:U17,))</f>
        <v>0</v>
      </c>
      <c r="S18" s="13">
        <f ca="1">INDEX(V2:V17,MATCH(1:1,U2:U17,))</f>
        <v>0</v>
      </c>
      <c r="T18" s="7">
        <v>0</v>
      </c>
      <c r="AA18" s="23"/>
    </row>
    <row r="19" customHeight="1" spans="5:27">
      <c r="E19" s="16"/>
      <c r="F19" s="16"/>
      <c r="G19" s="16"/>
      <c r="H19" s="16"/>
      <c r="I19" s="13" t="s">
        <v>291</v>
      </c>
      <c r="J19" s="24">
        <f ca="1">(0.75*J11+0.75*J12+8.5*J10+15*J9)/25</f>
        <v>0.515865199880085</v>
      </c>
      <c r="K19" s="7">
        <f ca="1">(0.450269547036277*J:J^6-1.63135022943507*J:J^5+2.53454201422095*J:J^4-2.30008535755169*J:J^3+1.39860127189957*J:J^2-0.596843023464342*J:J+0.171517229012336)*D28</f>
        <v>0.0484412922434724</v>
      </c>
      <c r="L19" s="16"/>
      <c r="M19" s="16"/>
      <c r="N19" s="23"/>
      <c r="O19" s="23"/>
      <c r="P19" s="16"/>
      <c r="Q19" s="23"/>
      <c r="R19" s="16"/>
      <c r="S19" s="16"/>
      <c r="V19" s="29"/>
      <c r="AA19" s="23"/>
    </row>
    <row r="20" customHeight="1" spans="5:27">
      <c r="E20" s="16"/>
      <c r="F20" s="16"/>
      <c r="G20" s="37" t="str">
        <f>属性!H1</f>
        <v>身法</v>
      </c>
      <c r="H20" s="37" t="str">
        <f>属性!I1</f>
        <v>力道</v>
      </c>
      <c r="I20" s="37" t="str">
        <f>属性!J1</f>
        <v>基础攻击</v>
      </c>
      <c r="J20" s="37" t="str">
        <f>属性!K1</f>
        <v>命中</v>
      </c>
      <c r="K20" s="41" t="str">
        <f>属性!L1</f>
        <v>会心</v>
      </c>
      <c r="L20" s="37" t="str">
        <f>属性!M1</f>
        <v>会效</v>
      </c>
      <c r="M20" s="37" t="str">
        <f>属性!N1</f>
        <v>加速</v>
      </c>
      <c r="N20" s="37" t="str">
        <f>属性!O1</f>
        <v>无双</v>
      </c>
      <c r="O20" s="37" t="str">
        <f>属性!P1</f>
        <v>基础破防</v>
      </c>
      <c r="P20" s="42" t="str">
        <f>属性!Q1</f>
        <v>武器伤害</v>
      </c>
      <c r="Q20" s="42" t="str">
        <f>属性!R1</f>
        <v>减防</v>
      </c>
      <c r="R20" s="16"/>
      <c r="S20" s="16"/>
      <c r="AA20" s="23"/>
    </row>
    <row r="21" customHeight="1" spans="1:27">
      <c r="A21" s="20" t="str">
        <f>属性!D1</f>
        <v>第一重</v>
      </c>
      <c r="B21" s="20" t="str">
        <f>属性!E1</f>
        <v>刀魂</v>
      </c>
      <c r="C21" s="11" t="s">
        <v>13</v>
      </c>
      <c r="D21" s="11" t="b">
        <f t="shared" ref="D21:D32" si="7">C21=B21</f>
        <v>1</v>
      </c>
      <c r="E21" s="11" t="s">
        <v>292</v>
      </c>
      <c r="F21" s="11" t="b">
        <f t="shared" ref="F21:F31" si="8">E21=B21</f>
        <v>0</v>
      </c>
      <c r="G21" s="20">
        <f ca="1">属性!H2</f>
        <v>201</v>
      </c>
      <c r="H21" s="20">
        <f ca="1">属性!I2</f>
        <v>52</v>
      </c>
      <c r="I21" s="17">
        <f ca="1">属性!J2</f>
        <v>199</v>
      </c>
      <c r="J21" s="17">
        <f ca="1">属性!K2</f>
        <v>294</v>
      </c>
      <c r="K21" s="20">
        <f ca="1">属性!L2</f>
        <v>194</v>
      </c>
      <c r="L21" s="43">
        <f ca="1">属性!M2+0.1</f>
        <v>0.1</v>
      </c>
      <c r="M21" s="20">
        <f ca="1">属性!N2</f>
        <v>0</v>
      </c>
      <c r="N21" s="20">
        <f ca="1">属性!O2</f>
        <v>100</v>
      </c>
      <c r="O21" s="20">
        <f ca="1">属性!P2</f>
        <v>1506</v>
      </c>
      <c r="P21" s="32">
        <f ca="1">属性!Q2</f>
        <v>0</v>
      </c>
      <c r="Q21" s="34">
        <f ca="1">属性!R2</f>
        <v>200</v>
      </c>
      <c r="R21" s="16"/>
      <c r="S21" s="16"/>
      <c r="AA21" s="23"/>
    </row>
    <row r="22" customHeight="1" spans="1:27">
      <c r="A22" s="20" t="str">
        <f>属性!D2</f>
        <v>第二重</v>
      </c>
      <c r="B22" s="20" t="str">
        <f>属性!E2</f>
        <v>炼狱</v>
      </c>
      <c r="C22" s="11" t="s">
        <v>24</v>
      </c>
      <c r="D22" s="11" t="b">
        <f t="shared" si="7"/>
        <v>1</v>
      </c>
      <c r="E22" s="11"/>
      <c r="F22" s="11"/>
      <c r="G22" s="38" t="str">
        <f>属性!H3</f>
        <v>身法</v>
      </c>
      <c r="H22" s="39" t="str">
        <f>属性!I3</f>
        <v>力道</v>
      </c>
      <c r="I22" s="39" t="str">
        <f>属性!J3</f>
        <v>面板攻击</v>
      </c>
      <c r="J22" s="39" t="str">
        <f>属性!K3</f>
        <v>命中</v>
      </c>
      <c r="K22" s="39" t="str">
        <f>属性!L3</f>
        <v>会心</v>
      </c>
      <c r="L22" s="39" t="str">
        <f>属性!M3</f>
        <v>会效</v>
      </c>
      <c r="M22" s="39" t="str">
        <f>属性!N3</f>
        <v>加速</v>
      </c>
      <c r="N22" s="39" t="str">
        <f>属性!O3</f>
        <v>无双</v>
      </c>
      <c r="O22" s="39" t="str">
        <f>属性!P3</f>
        <v>面板破防</v>
      </c>
      <c r="P22" s="44" t="str">
        <f>属性!Q3</f>
        <v>易伤</v>
      </c>
      <c r="Q22" s="44" t="str">
        <f>属性!R3</f>
        <v>伤害加成</v>
      </c>
      <c r="R22" s="16"/>
      <c r="S22" s="16"/>
      <c r="X22" s="23"/>
      <c r="AA22" s="23"/>
    </row>
    <row r="23" customHeight="1" spans="1:27">
      <c r="A23" s="20" t="str">
        <f>属性!D3</f>
        <v>第三重</v>
      </c>
      <c r="B23" s="20" t="str">
        <f>属性!E3</f>
        <v>飞瀑</v>
      </c>
      <c r="C23" s="11" t="s">
        <v>34</v>
      </c>
      <c r="D23" s="11" t="b">
        <f t="shared" si="7"/>
        <v>1</v>
      </c>
      <c r="E23" s="7"/>
      <c r="F23" s="7"/>
      <c r="G23" s="17">
        <f ca="1">属性!H4</f>
        <v>0.1</v>
      </c>
      <c r="H23" s="20">
        <f ca="1">属性!I4</f>
        <v>0</v>
      </c>
      <c r="I23" s="20">
        <f ca="1">属性!J4</f>
        <v>0.171</v>
      </c>
      <c r="J23" s="20">
        <f ca="1">属性!K4</f>
        <v>0.04</v>
      </c>
      <c r="K23" s="20">
        <f ca="1">属性!L4</f>
        <v>0.145</v>
      </c>
      <c r="L23" s="20">
        <f ca="1">属性!M4</f>
        <v>0.09</v>
      </c>
      <c r="M23" s="20">
        <f ca="1">属性!N4</f>
        <v>0</v>
      </c>
      <c r="N23" s="20">
        <f ca="1">属性!O4</f>
        <v>0.03</v>
      </c>
      <c r="O23" s="13">
        <f ca="1">属性!P4</f>
        <v>0.5</v>
      </c>
      <c r="P23" s="45">
        <f ca="1">属性!Q4</f>
        <v>0</v>
      </c>
      <c r="Q23" s="34">
        <f ca="1">属性!R4</f>
        <v>0.0101333333333333</v>
      </c>
      <c r="R23" s="16"/>
      <c r="S23" s="16"/>
      <c r="X23" s="23"/>
      <c r="AA23" s="23"/>
    </row>
    <row r="24" customHeight="1" spans="1:27">
      <c r="A24" s="20" t="str">
        <f>属性!D4</f>
        <v>第四重</v>
      </c>
      <c r="B24" s="20" t="str">
        <f>属性!E4</f>
        <v>劫生</v>
      </c>
      <c r="C24" s="11" t="s">
        <v>44</v>
      </c>
      <c r="D24" s="11" t="b">
        <f t="shared" si="7"/>
        <v>1</v>
      </c>
      <c r="E24" s="11"/>
      <c r="F24" s="11"/>
      <c r="H24" s="36"/>
      <c r="I24" s="46" t="s">
        <v>198</v>
      </c>
      <c r="J24" s="46"/>
      <c r="K24" s="46"/>
      <c r="L24" s="46"/>
      <c r="M24" s="47" t="s">
        <v>215</v>
      </c>
      <c r="N24" s="47" t="str">
        <f>属性!H29</f>
        <v>实战</v>
      </c>
      <c r="O24" s="43" t="str">
        <f>属性!I29</f>
        <v>实战盾击</v>
      </c>
      <c r="P24" s="26" t="s">
        <v>295</v>
      </c>
      <c r="Q24" s="11">
        <f>IF($V$12&gt;18,1)+IF($V$12&gt;827,1)+IF($V$12&gt;1728,1)+IF($V$12&gt;2703,1)</f>
        <v>2</v>
      </c>
      <c r="R24" s="16"/>
      <c r="S24" s="16"/>
      <c r="V24" s="32"/>
      <c r="X24" s="23"/>
      <c r="AA24" s="23"/>
    </row>
    <row r="25" spans="1:27">
      <c r="A25" s="20" t="str">
        <f>属性!D5</f>
        <v>第五重</v>
      </c>
      <c r="B25" s="20" t="str">
        <f>属性!E5</f>
        <v>锋鸣</v>
      </c>
      <c r="C25" s="11" t="s">
        <v>293</v>
      </c>
      <c r="D25" s="11" t="b">
        <f t="shared" si="7"/>
        <v>0</v>
      </c>
      <c r="E25" s="11" t="s">
        <v>54</v>
      </c>
      <c r="F25" s="11" t="b">
        <f t="shared" si="8"/>
        <v>1</v>
      </c>
      <c r="I25" s="20" t="s">
        <v>26</v>
      </c>
      <c r="J25" s="20">
        <v>15344.2</v>
      </c>
      <c r="K25" s="20" t="s">
        <v>200</v>
      </c>
      <c r="L25" s="20"/>
      <c r="M25" s="11" t="s">
        <v>93</v>
      </c>
      <c r="N25" s="15">
        <f ca="1">属性!H30</f>
        <v>0.948871388530846</v>
      </c>
      <c r="O25" s="15">
        <f ca="1">属性!I30</f>
        <v>0.973765015090248</v>
      </c>
      <c r="P25" s="26" t="s">
        <v>296</v>
      </c>
      <c r="Q25" s="30">
        <f>IF($V$12&gt;18,1)+IF($V$12&gt;1268,1)+IF($V$12&gt;2703,1)</f>
        <v>1</v>
      </c>
      <c r="R25" s="16"/>
      <c r="S25" s="16"/>
      <c r="V25" s="32"/>
      <c r="X25" s="23"/>
      <c r="AA25" s="23"/>
    </row>
    <row r="26" spans="1:27">
      <c r="A26" s="20" t="str">
        <f>属性!D6</f>
        <v>第六重</v>
      </c>
      <c r="B26" s="20" t="str">
        <f>属性!E6</f>
        <v>割裂</v>
      </c>
      <c r="C26" s="11" t="s">
        <v>64</v>
      </c>
      <c r="D26" s="11" t="b">
        <f t="shared" si="7"/>
        <v>1</v>
      </c>
      <c r="E26" s="11" t="s">
        <v>294</v>
      </c>
      <c r="F26" s="11" t="b">
        <f t="shared" si="8"/>
        <v>0</v>
      </c>
      <c r="I26" s="20" t="s">
        <v>36</v>
      </c>
      <c r="J26" s="20">
        <v>5370.3</v>
      </c>
      <c r="K26" s="20"/>
      <c r="L26" s="20">
        <v>1.7</v>
      </c>
      <c r="M26" s="11" t="s">
        <v>229</v>
      </c>
      <c r="N26" s="15">
        <f ca="1">属性!H31</f>
        <v>0.91750264956783</v>
      </c>
      <c r="O26" s="15">
        <f ca="1">属性!I31</f>
        <v>0.956976669392992</v>
      </c>
      <c r="P26" s="26" t="s">
        <v>297</v>
      </c>
      <c r="Q26" s="30">
        <f>IF($V$12&gt;18,1)+IF($V$12&gt;625,1)+IF($V$12&gt;1268,1)+IF($V$12&gt;1949,1)+IF($V$12&gt;2703,1)</f>
        <v>2</v>
      </c>
      <c r="R26" s="16"/>
      <c r="S26" s="16"/>
      <c r="V26" s="32"/>
      <c r="X26" s="23"/>
      <c r="AA26" s="23"/>
    </row>
    <row r="27" spans="1:27">
      <c r="A27" s="20" t="str">
        <f>属性!D7</f>
        <v>第七重</v>
      </c>
      <c r="B27" s="20" t="str">
        <f>属性!E7</f>
        <v>活脉</v>
      </c>
      <c r="C27" s="11" t="s">
        <v>72</v>
      </c>
      <c r="D27" s="11" t="b">
        <f t="shared" si="7"/>
        <v>1</v>
      </c>
      <c r="E27" s="11"/>
      <c r="F27" s="11" t="b">
        <f t="shared" si="8"/>
        <v>0</v>
      </c>
      <c r="G27" s="17" t="str">
        <f>木桩!G27</f>
        <v>战斗时间</v>
      </c>
      <c r="H27" s="30">
        <f>木桩!H27</f>
        <v>300</v>
      </c>
      <c r="I27" s="20" t="s">
        <v>56</v>
      </c>
      <c r="J27" s="20">
        <v>13948.5</v>
      </c>
      <c r="K27" s="20" t="s">
        <v>203</v>
      </c>
      <c r="L27" s="20">
        <v>0.25</v>
      </c>
      <c r="M27" s="11" t="s">
        <v>299</v>
      </c>
      <c r="N27" s="15">
        <f ca="1">属性!H32</f>
        <v>0.898870262292047</v>
      </c>
      <c r="O27" s="15">
        <f ca="1">属性!I32</f>
        <v>0.946742155208707</v>
      </c>
      <c r="P27" s="47" t="s">
        <v>92</v>
      </c>
      <c r="Q27" s="20" t="str">
        <f>苍云!C11</f>
        <v>102级</v>
      </c>
      <c r="V27" s="32"/>
      <c r="X27" s="23"/>
      <c r="AA27" s="23"/>
    </row>
    <row r="28" spans="1:27">
      <c r="A28" s="20" t="str">
        <f>属性!D8</f>
        <v>第八重</v>
      </c>
      <c r="B28" s="20" t="str">
        <f>属性!E8</f>
        <v>恋战</v>
      </c>
      <c r="C28" s="11" t="s">
        <v>81</v>
      </c>
      <c r="D28" s="11" t="b">
        <f t="shared" si="7"/>
        <v>1</v>
      </c>
      <c r="E28" s="11" t="s">
        <v>269</v>
      </c>
      <c r="F28" s="11" t="b">
        <f t="shared" si="8"/>
        <v>0</v>
      </c>
      <c r="G28" s="17" t="str">
        <f>木桩!G28</f>
        <v>竞技场套装</v>
      </c>
      <c r="H28" s="16" t="b">
        <f>木桩!H28</f>
        <v>1</v>
      </c>
      <c r="I28" s="20" t="s">
        <v>66</v>
      </c>
      <c r="J28" s="20">
        <v>8717.6</v>
      </c>
      <c r="K28" s="20"/>
      <c r="L28" s="20">
        <v>0.15</v>
      </c>
      <c r="M28" s="17" t="s">
        <v>179</v>
      </c>
      <c r="N28" s="15">
        <f ca="1">属性!H33</f>
        <v>0.91750264956783</v>
      </c>
      <c r="O28" s="15">
        <f ca="1">属性!I33</f>
        <v>0.956976669392992</v>
      </c>
      <c r="P28" s="47" t="s">
        <v>100</v>
      </c>
      <c r="Q28" s="20" t="str">
        <f>LEFT(苍云!$C$12,1)</f>
        <v>5</v>
      </c>
      <c r="V28" s="32"/>
      <c r="X28" s="23"/>
      <c r="AA28" s="23"/>
    </row>
    <row r="29" spans="1:24">
      <c r="A29" s="20" t="str">
        <f>属性!D9</f>
        <v>第九重</v>
      </c>
      <c r="B29" s="20" t="str">
        <f>属性!E9</f>
        <v>从容</v>
      </c>
      <c r="C29" s="11" t="s">
        <v>99</v>
      </c>
      <c r="D29" s="11" t="b">
        <f t="shared" si="7"/>
        <v>0</v>
      </c>
      <c r="E29" s="11"/>
      <c r="F29" s="11" t="b">
        <f t="shared" si="8"/>
        <v>0</v>
      </c>
      <c r="G29" s="20" t="str">
        <f>木桩!G29</f>
        <v>套装特效</v>
      </c>
      <c r="H29" s="20" t="b">
        <f>木桩!H29</f>
        <v>1</v>
      </c>
      <c r="I29" s="20" t="s">
        <v>83</v>
      </c>
      <c r="J29" s="20">
        <v>18830.9</v>
      </c>
      <c r="K29" s="20" t="s">
        <v>204</v>
      </c>
      <c r="L29" s="20">
        <v>0.64</v>
      </c>
      <c r="M29" s="20" t="s">
        <v>180</v>
      </c>
      <c r="N29" s="15">
        <f ca="1">属性!H34</f>
        <v>0.91750264956783</v>
      </c>
      <c r="O29" s="15">
        <f ca="1">属性!I34</f>
        <v>0.956976669392992</v>
      </c>
      <c r="P29" s="20" t="str">
        <f>属性!F5</f>
        <v>战斗时间</v>
      </c>
      <c r="Q29" s="20">
        <f>属性!G5</f>
        <v>300</v>
      </c>
      <c r="X29" s="23"/>
    </row>
    <row r="30" spans="1:24">
      <c r="A30" s="20" t="str">
        <f>属性!D10</f>
        <v>第十重</v>
      </c>
      <c r="B30" s="20" t="str">
        <f>属性!E10</f>
        <v>愤恨</v>
      </c>
      <c r="C30" s="11" t="s">
        <v>91</v>
      </c>
      <c r="D30" s="11" t="b">
        <f t="shared" si="7"/>
        <v>0</v>
      </c>
      <c r="E30" s="11"/>
      <c r="F30" s="11" t="b">
        <f t="shared" si="8"/>
        <v>0</v>
      </c>
      <c r="G30" s="20" t="str">
        <f>木桩!G30</f>
        <v>橙武</v>
      </c>
      <c r="H30" s="20" t="b">
        <f>木桩!H30</f>
        <v>1</v>
      </c>
      <c r="I30" s="20" t="s">
        <v>205</v>
      </c>
      <c r="J30" s="20">
        <v>15344.2</v>
      </c>
      <c r="K30" s="20"/>
      <c r="L30" s="20">
        <v>0</v>
      </c>
      <c r="N30" s="15"/>
      <c r="O30" s="15"/>
      <c r="P30" s="17" t="s">
        <v>302</v>
      </c>
      <c r="Q30" s="11">
        <f ca="1">$I$14/$T$14</f>
        <v>19201.6972618874</v>
      </c>
      <c r="X30" s="23"/>
    </row>
    <row r="31" spans="1:24">
      <c r="A31" s="20" t="str">
        <f>属性!D11</f>
        <v>第十一重</v>
      </c>
      <c r="B31" s="20" t="str">
        <f>属性!E11</f>
        <v>蔑视</v>
      </c>
      <c r="C31" s="11" t="s">
        <v>107</v>
      </c>
      <c r="D31" s="11" t="b">
        <f t="shared" si="7"/>
        <v>1</v>
      </c>
      <c r="E31" s="11"/>
      <c r="F31" s="11" t="b">
        <f t="shared" si="8"/>
        <v>0</v>
      </c>
      <c r="G31" s="20" t="str">
        <f>木桩!G31</f>
        <v>小橙武</v>
      </c>
      <c r="H31" s="20" t="b">
        <f>木桩!H31</f>
        <v>0</v>
      </c>
      <c r="N31" s="7"/>
      <c r="O31" s="7"/>
      <c r="P31" s="17" t="s">
        <v>303</v>
      </c>
      <c r="Q31" s="17">
        <f ca="1">(I13-I10)*5/60*H30</f>
        <v>1290.23870944418</v>
      </c>
      <c r="X31" s="23"/>
    </row>
    <row r="32" spans="1:24">
      <c r="A32" s="20" t="str">
        <f>属性!D12</f>
        <v>第十二重</v>
      </c>
      <c r="B32" s="20" t="str">
        <f>属性!E12</f>
        <v>骇日</v>
      </c>
      <c r="C32" s="11" t="s">
        <v>116</v>
      </c>
      <c r="D32" s="11" t="b">
        <f t="shared" si="7"/>
        <v>1</v>
      </c>
      <c r="E32" s="11"/>
      <c r="F32" s="11"/>
      <c r="P32" s="11" t="s">
        <v>305</v>
      </c>
      <c r="Q32" s="20">
        <f ca="1">$I$2/$T$2</f>
        <v>931.883338830923</v>
      </c>
      <c r="X32" s="23"/>
    </row>
    <row r="33" spans="16:22">
      <c r="P33" s="17" t="s">
        <v>306</v>
      </c>
      <c r="Q33" s="20">
        <f ca="1">$I$3/$T$3</f>
        <v>829.856298806694</v>
      </c>
      <c r="U33" s="20"/>
      <c r="V33" s="32"/>
    </row>
    <row r="34" spans="22:22">
      <c r="V34" s="32"/>
    </row>
    <row r="35" spans="1:23">
      <c r="A35" s="11" t="s">
        <v>271</v>
      </c>
      <c r="B35" s="20" t="s">
        <v>272</v>
      </c>
      <c r="C35" s="20" t="s">
        <v>304</v>
      </c>
      <c r="D35" s="20" t="s">
        <v>281</v>
      </c>
      <c r="E35" s="20" t="s">
        <v>278</v>
      </c>
      <c r="H35" s="20"/>
      <c r="I35" s="20"/>
      <c r="J35" s="20"/>
      <c r="K35" s="20"/>
      <c r="L35" s="20"/>
      <c r="M35" s="20"/>
      <c r="N35" s="20"/>
      <c r="O35" s="11"/>
      <c r="P35" s="11"/>
      <c r="Q35" s="11"/>
      <c r="R35" s="11"/>
      <c r="S35" s="11"/>
      <c r="T35" s="7"/>
      <c r="U35" s="7"/>
      <c r="V35" s="32"/>
      <c r="W35" s="34"/>
    </row>
    <row r="36" spans="1:23">
      <c r="A36" s="11" t="s">
        <v>55</v>
      </c>
      <c r="B36" s="20">
        <f ca="1" t="shared" ref="B36:B48" si="9">IFERROR(VLOOKUP(A36,实战技能表,MATCH("怒气",$A$1:$T$1,0),0),0)*C36</f>
        <v>15</v>
      </c>
      <c r="C36" s="20">
        <v>1</v>
      </c>
      <c r="D36" s="20">
        <f ca="1" t="shared" ref="D36:D48" si="10">IFERROR(VLOOKUP(A36,实战技能表,MATCH("时间",$A$1:$T$1,0),0),0)*C36</f>
        <v>1.375</v>
      </c>
      <c r="E36" s="20">
        <f ca="1" t="shared" ref="E36:E48" si="11">IFERROR(VLOOKUP(A36,实战技能表,MATCH("dmg",$A$1:$T$1,0),0),0)*C36</f>
        <v>135608.121382289</v>
      </c>
      <c r="H36" s="20"/>
      <c r="I36" s="20"/>
      <c r="J36" s="20"/>
      <c r="K36" s="20"/>
      <c r="L36" s="20"/>
      <c r="M36" s="20"/>
      <c r="N36" s="20"/>
      <c r="O36" s="11"/>
      <c r="P36" s="11"/>
      <c r="Q36" s="11"/>
      <c r="R36" s="11"/>
      <c r="S36" s="11"/>
      <c r="T36" s="11"/>
      <c r="U36" s="20"/>
      <c r="V36" s="32"/>
      <c r="W36" s="32"/>
    </row>
    <row r="37" spans="1:23">
      <c r="A37" s="11" t="s">
        <v>82</v>
      </c>
      <c r="B37" s="20">
        <f ca="1" t="shared" si="9"/>
        <v>4.5</v>
      </c>
      <c r="C37" s="20">
        <v>0.3</v>
      </c>
      <c r="D37" s="20">
        <f ca="1" t="shared" si="10"/>
        <v>0.4125</v>
      </c>
      <c r="E37" s="20">
        <f ca="1" t="shared" si="11"/>
        <v>23628.2441707128</v>
      </c>
      <c r="H37" s="20"/>
      <c r="I37" s="20"/>
      <c r="J37" s="20"/>
      <c r="K37" s="20"/>
      <c r="L37" s="20"/>
      <c r="M37" s="20"/>
      <c r="N37" s="20"/>
      <c r="O37" s="11"/>
      <c r="P37" s="11"/>
      <c r="Q37" s="11"/>
      <c r="R37" s="11"/>
      <c r="S37" s="11"/>
      <c r="T37" s="11"/>
      <c r="U37" s="20"/>
      <c r="V37" s="32"/>
      <c r="W37" s="32"/>
    </row>
    <row r="38" spans="1:23">
      <c r="A38" s="11" t="s">
        <v>65</v>
      </c>
      <c r="B38" s="20">
        <f ca="1" t="shared" si="9"/>
        <v>-11.25</v>
      </c>
      <c r="C38" s="20">
        <v>0.75</v>
      </c>
      <c r="D38" s="20">
        <f ca="1" t="shared" si="10"/>
        <v>1.03125</v>
      </c>
      <c r="E38" s="20">
        <f ca="1" t="shared" si="11"/>
        <v>58171.5355018492</v>
      </c>
      <c r="H38" s="20"/>
      <c r="I38" s="20"/>
      <c r="J38" s="20"/>
      <c r="K38" s="20"/>
      <c r="L38" s="20"/>
      <c r="M38" s="20"/>
      <c r="N38" s="20"/>
      <c r="O38" s="11"/>
      <c r="P38" s="11"/>
      <c r="Q38" s="11"/>
      <c r="R38" s="11"/>
      <c r="S38" s="11"/>
      <c r="T38" s="11"/>
      <c r="U38" s="20"/>
      <c r="V38" s="32"/>
      <c r="W38" s="32"/>
    </row>
    <row r="39" spans="1:23">
      <c r="A39" s="20" t="s">
        <v>73</v>
      </c>
      <c r="B39" s="20">
        <f ca="1" t="shared" si="9"/>
        <v>-11.25</v>
      </c>
      <c r="C39" s="20">
        <v>0.75</v>
      </c>
      <c r="D39" s="20">
        <f ca="1" t="shared" si="10"/>
        <v>1.03125</v>
      </c>
      <c r="E39" s="20">
        <f ca="1" t="shared" si="11"/>
        <v>36952.7276352012</v>
      </c>
      <c r="H39" s="20"/>
      <c r="I39" s="20"/>
      <c r="J39" s="20"/>
      <c r="K39" s="20"/>
      <c r="L39" s="20"/>
      <c r="M39" s="20"/>
      <c r="N39" s="20"/>
      <c r="O39" s="11"/>
      <c r="P39" s="11"/>
      <c r="Q39" s="11"/>
      <c r="R39" s="11"/>
      <c r="S39" s="11"/>
      <c r="T39" s="11"/>
      <c r="U39" s="20"/>
      <c r="V39" s="32"/>
      <c r="W39" s="32"/>
    </row>
    <row r="40" spans="1:23">
      <c r="A40" s="11" t="s">
        <v>14</v>
      </c>
      <c r="B40" s="20">
        <f ca="1" t="shared" si="9"/>
        <v>-2.5</v>
      </c>
      <c r="C40" s="20">
        <v>0.5</v>
      </c>
      <c r="D40" s="20">
        <f ca="1" t="shared" si="10"/>
        <v>0.6875</v>
      </c>
      <c r="E40" s="20">
        <f ca="1" t="shared" si="11"/>
        <v>42170.7810656475</v>
      </c>
      <c r="H40" s="20"/>
      <c r="I40" s="20"/>
      <c r="J40" s="20"/>
      <c r="K40" s="20"/>
      <c r="L40" s="20"/>
      <c r="M40" s="20"/>
      <c r="N40" s="20"/>
      <c r="O40" s="11"/>
      <c r="P40" s="11"/>
      <c r="Q40" s="11"/>
      <c r="R40" s="11"/>
      <c r="S40" s="11"/>
      <c r="T40" s="11"/>
      <c r="U40" s="20"/>
      <c r="V40" s="32"/>
      <c r="W40" s="32"/>
    </row>
    <row r="41" spans="1:23">
      <c r="A41" s="11" t="s">
        <v>14</v>
      </c>
      <c r="B41" s="20">
        <f ca="1" t="shared" si="9"/>
        <v>-5</v>
      </c>
      <c r="C41" s="20">
        <v>1</v>
      </c>
      <c r="D41" s="20">
        <f ca="1" t="shared" si="10"/>
        <v>1.375</v>
      </c>
      <c r="E41" s="20">
        <f ca="1" t="shared" si="11"/>
        <v>84341.5621312949</v>
      </c>
      <c r="H41" s="20"/>
      <c r="I41" s="20"/>
      <c r="J41" s="20"/>
      <c r="K41" s="20"/>
      <c r="L41" s="20"/>
      <c r="M41" s="20"/>
      <c r="N41" s="20"/>
      <c r="O41" s="11"/>
      <c r="P41" s="11"/>
      <c r="Q41" s="11"/>
      <c r="R41" s="11"/>
      <c r="S41" s="11"/>
      <c r="T41" s="11"/>
      <c r="U41" s="20"/>
      <c r="V41" s="32"/>
      <c r="W41" s="32"/>
    </row>
    <row r="42" spans="1:23">
      <c r="A42" s="11" t="s">
        <v>14</v>
      </c>
      <c r="B42" s="20">
        <f ca="1" t="shared" si="9"/>
        <v>-5</v>
      </c>
      <c r="C42" s="20">
        <v>1</v>
      </c>
      <c r="D42" s="20">
        <f ca="1" t="shared" si="10"/>
        <v>1.375</v>
      </c>
      <c r="E42" s="20">
        <f ca="1" t="shared" si="11"/>
        <v>84341.5621312949</v>
      </c>
      <c r="H42" s="20"/>
      <c r="I42" s="20"/>
      <c r="J42" s="20"/>
      <c r="K42" s="20"/>
      <c r="L42" s="20"/>
      <c r="M42" s="20"/>
      <c r="N42" s="20"/>
      <c r="O42" s="11"/>
      <c r="P42" s="11"/>
      <c r="Q42" s="11"/>
      <c r="R42" s="11"/>
      <c r="S42" s="11"/>
      <c r="T42" s="11"/>
      <c r="U42" s="20"/>
      <c r="V42" s="32"/>
      <c r="W42" s="32"/>
    </row>
    <row r="43" spans="1:23">
      <c r="A43" s="11" t="s">
        <v>14</v>
      </c>
      <c r="B43" s="20">
        <f ca="1" t="shared" si="9"/>
        <v>-5</v>
      </c>
      <c r="C43" s="20">
        <v>1</v>
      </c>
      <c r="D43" s="20">
        <f ca="1" t="shared" si="10"/>
        <v>1.375</v>
      </c>
      <c r="E43" s="20">
        <f ca="1" t="shared" si="11"/>
        <v>84341.5621312949</v>
      </c>
      <c r="H43" s="20"/>
      <c r="I43" s="20"/>
      <c r="J43" s="20"/>
      <c r="K43" s="20"/>
      <c r="L43" s="20"/>
      <c r="M43" s="20"/>
      <c r="N43" s="20"/>
      <c r="O43" s="11"/>
      <c r="P43" s="11"/>
      <c r="Q43" s="11"/>
      <c r="R43" s="11"/>
      <c r="S43" s="11"/>
      <c r="T43" s="11"/>
      <c r="U43" s="20"/>
      <c r="V43" s="32"/>
      <c r="W43" s="32"/>
    </row>
    <row r="44" spans="1:23">
      <c r="A44" s="11" t="s">
        <v>14</v>
      </c>
      <c r="B44" s="20">
        <f ca="1" t="shared" si="9"/>
        <v>-5</v>
      </c>
      <c r="C44" s="20">
        <v>1</v>
      </c>
      <c r="D44" s="20">
        <f ca="1" t="shared" si="10"/>
        <v>1.375</v>
      </c>
      <c r="E44" s="20">
        <f ca="1" t="shared" si="11"/>
        <v>84341.5621312949</v>
      </c>
      <c r="H44" s="20"/>
      <c r="I44" s="20"/>
      <c r="J44" s="20"/>
      <c r="K44" s="20"/>
      <c r="L44" s="20"/>
      <c r="M44" s="20"/>
      <c r="N44" s="20"/>
      <c r="O44" s="11"/>
      <c r="P44" s="11"/>
      <c r="Q44" s="11"/>
      <c r="R44" s="11"/>
      <c r="S44" s="11"/>
      <c r="T44" s="11"/>
      <c r="U44" s="20"/>
      <c r="V44" s="32"/>
      <c r="W44" s="32"/>
    </row>
    <row r="45" spans="1:23">
      <c r="A45" s="11" t="s">
        <v>14</v>
      </c>
      <c r="B45" s="20">
        <f ca="1" t="shared" si="9"/>
        <v>-5</v>
      </c>
      <c r="C45" s="20">
        <v>1</v>
      </c>
      <c r="D45" s="20">
        <f ca="1" t="shared" si="10"/>
        <v>1.375</v>
      </c>
      <c r="E45" s="20">
        <f ca="1" t="shared" si="11"/>
        <v>84341.5621312949</v>
      </c>
      <c r="H45" s="20"/>
      <c r="I45" s="20"/>
      <c r="J45" s="20"/>
      <c r="K45" s="20"/>
      <c r="L45" s="20"/>
      <c r="M45" s="20"/>
      <c r="N45" s="20"/>
      <c r="O45" s="11"/>
      <c r="P45" s="11"/>
      <c r="Q45" s="11"/>
      <c r="R45" s="11"/>
      <c r="S45" s="11"/>
      <c r="T45" s="11"/>
      <c r="U45" s="20"/>
      <c r="V45" s="32"/>
      <c r="W45" s="32"/>
    </row>
    <row r="46" spans="1:23">
      <c r="A46" s="11" t="s">
        <v>14</v>
      </c>
      <c r="B46" s="20">
        <f ca="1" t="shared" si="9"/>
        <v>-5</v>
      </c>
      <c r="C46" s="20">
        <v>1</v>
      </c>
      <c r="D46" s="20">
        <f ca="1" t="shared" si="10"/>
        <v>1.375</v>
      </c>
      <c r="E46" s="20">
        <f ca="1" t="shared" si="11"/>
        <v>84341.5621312949</v>
      </c>
      <c r="H46" s="20"/>
      <c r="I46" s="20"/>
      <c r="J46" s="20"/>
      <c r="K46" s="20"/>
      <c r="L46" s="20"/>
      <c r="M46" s="20"/>
      <c r="N46" s="20"/>
      <c r="O46" s="11"/>
      <c r="P46" s="11"/>
      <c r="Q46" s="11"/>
      <c r="R46" s="11"/>
      <c r="S46" s="11"/>
      <c r="T46" s="11"/>
      <c r="U46" s="20"/>
      <c r="V46" s="32"/>
      <c r="W46" s="32"/>
    </row>
    <row r="47" spans="1:23">
      <c r="A47" s="11" t="s">
        <v>14</v>
      </c>
      <c r="B47" s="20">
        <f ca="1" t="shared" si="9"/>
        <v>-5</v>
      </c>
      <c r="C47" s="20">
        <v>1</v>
      </c>
      <c r="D47" s="20">
        <f ca="1" t="shared" si="10"/>
        <v>1.375</v>
      </c>
      <c r="E47" s="20">
        <f ca="1" t="shared" si="11"/>
        <v>84341.5621312949</v>
      </c>
      <c r="H47" s="20"/>
      <c r="I47" s="20"/>
      <c r="J47" s="20"/>
      <c r="K47" s="20"/>
      <c r="L47" s="20"/>
      <c r="M47" s="7"/>
      <c r="N47" s="7"/>
      <c r="O47" s="11"/>
      <c r="P47" s="11"/>
      <c r="Q47" s="11"/>
      <c r="R47" s="11"/>
      <c r="S47" s="11"/>
      <c r="T47" s="11"/>
      <c r="U47" s="20"/>
      <c r="V47" s="32"/>
      <c r="W47" s="32"/>
    </row>
    <row r="48" spans="1:23">
      <c r="A48" s="11" t="s">
        <v>14</v>
      </c>
      <c r="B48" s="20">
        <f ca="1" t="shared" si="9"/>
        <v>-5</v>
      </c>
      <c r="C48" s="20">
        <v>1</v>
      </c>
      <c r="D48" s="20">
        <f ca="1" t="shared" si="10"/>
        <v>1.375</v>
      </c>
      <c r="E48" s="20">
        <f ca="1" t="shared" si="11"/>
        <v>84341.5621312949</v>
      </c>
      <c r="H48" s="20"/>
      <c r="I48" s="20"/>
      <c r="J48" s="20"/>
      <c r="K48" s="20"/>
      <c r="L48" s="20"/>
      <c r="M48" s="7"/>
      <c r="N48" s="7"/>
      <c r="O48" s="11"/>
      <c r="P48" s="11"/>
      <c r="Q48" s="11"/>
      <c r="R48" s="11"/>
      <c r="S48" s="11"/>
      <c r="T48" s="11"/>
      <c r="U48" s="20"/>
      <c r="V48" s="32"/>
      <c r="W48" s="32"/>
    </row>
    <row r="49" spans="1:23">
      <c r="A49" s="11"/>
      <c r="B49" s="7"/>
      <c r="C49" s="11">
        <f>SUM(C38:C48)</f>
        <v>10</v>
      </c>
      <c r="D49" s="11">
        <f ca="1">SUM(D39:D48)+C49/16</f>
        <v>13.34375</v>
      </c>
      <c r="E49" s="7">
        <f ca="1">INT(D49+1)*$I$9</f>
        <v>175430.115431193</v>
      </c>
      <c r="F49" s="11">
        <f ca="1">D49*$I$16/$T$15+(D50-D49)*$I$15/$T$15</f>
        <v>103275.553017354</v>
      </c>
      <c r="H49" s="20"/>
      <c r="I49" s="20"/>
      <c r="J49" s="20"/>
      <c r="K49" s="20"/>
      <c r="L49" s="20"/>
      <c r="O49" s="11"/>
      <c r="P49" s="11"/>
      <c r="Q49" s="11"/>
      <c r="R49" s="11"/>
      <c r="S49" s="11"/>
      <c r="T49" s="11"/>
      <c r="U49" s="20"/>
      <c r="V49" s="32"/>
      <c r="W49" s="32"/>
    </row>
    <row r="50" spans="1:23">
      <c r="A50" s="11"/>
      <c r="B50" s="11">
        <f ca="1">SUM(B36:B48)</f>
        <v>-45.5</v>
      </c>
      <c r="C50" s="11">
        <f>SUM(C36:C48)</f>
        <v>11.3</v>
      </c>
      <c r="D50" s="11">
        <f ca="1">SUM(D36:D48)</f>
        <v>15.5375</v>
      </c>
      <c r="E50" s="11">
        <f ca="1">SUM(E36:E49)</f>
        <v>1146694.02223725</v>
      </c>
      <c r="H50" s="20"/>
      <c r="I50" s="20"/>
      <c r="J50" s="20"/>
      <c r="K50" s="20"/>
      <c r="L50" s="20"/>
      <c r="O50" s="11"/>
      <c r="P50" s="11"/>
      <c r="Q50" s="11"/>
      <c r="R50" s="11"/>
      <c r="S50" s="11"/>
      <c r="T50" s="7"/>
      <c r="U50" s="20"/>
      <c r="V50" s="32"/>
      <c r="W50" s="32"/>
    </row>
    <row r="51" spans="1:23">
      <c r="A51" s="11"/>
      <c r="B51" s="11">
        <v>0</v>
      </c>
      <c r="C51" s="11">
        <f>C50*B51</f>
        <v>0</v>
      </c>
      <c r="D51" s="11">
        <f ca="1">D50+C51/16</f>
        <v>15.5375</v>
      </c>
      <c r="E51" s="11">
        <f ca="1">E50/D51</f>
        <v>73801.7069822849</v>
      </c>
      <c r="F51" s="11">
        <f ca="1">F49/D51</f>
        <v>6646.85779677257</v>
      </c>
      <c r="G51" s="11">
        <f ca="1" t="shared" ref="G51:G55" si="12">(E51+F51+$Q$30+$Q$31+$Q$32+$Q$33)*(1+$P$23)</f>
        <v>102702.240388027</v>
      </c>
      <c r="H51" s="20"/>
      <c r="I51" s="20"/>
      <c r="J51" s="20"/>
      <c r="K51" s="20"/>
      <c r="L51" s="20"/>
      <c r="O51" s="11"/>
      <c r="P51" s="11"/>
      <c r="Q51" s="11"/>
      <c r="R51" s="11"/>
      <c r="S51" s="11"/>
      <c r="T51" s="11"/>
      <c r="U51" s="20"/>
      <c r="V51" s="32"/>
      <c r="W51" s="32"/>
    </row>
    <row r="52" spans="1:23">
      <c r="A52" s="11"/>
      <c r="B52" s="11">
        <v>1</v>
      </c>
      <c r="C52" s="11">
        <f>C50*B52</f>
        <v>11.3</v>
      </c>
      <c r="D52" s="11">
        <f ca="1">D50+C52/16</f>
        <v>16.24375</v>
      </c>
      <c r="E52" s="11">
        <f ca="1">E50/D52</f>
        <v>70592.9371134899</v>
      </c>
      <c r="F52" s="11">
        <f ca="1">F49/D52</f>
        <v>6357.86397952159</v>
      </c>
      <c r="G52" s="11">
        <f ca="1" t="shared" si="12"/>
        <v>99204.4767019807</v>
      </c>
      <c r="H52" s="20">
        <f ca="1">(G52-实战!G52)*10</f>
        <v>6.55754249994061</v>
      </c>
      <c r="I52" s="20"/>
      <c r="J52" s="20"/>
      <c r="K52" s="20"/>
      <c r="L52" s="20"/>
      <c r="O52" s="11"/>
      <c r="P52" s="11"/>
      <c r="Q52" s="7"/>
      <c r="R52" s="11"/>
      <c r="S52" s="11"/>
      <c r="T52" s="11"/>
      <c r="U52" s="20"/>
      <c r="V52" s="32"/>
      <c r="W52" s="32"/>
    </row>
    <row r="53" spans="1:23">
      <c r="A53" s="11"/>
      <c r="B53" s="11">
        <v>3</v>
      </c>
      <c r="C53" s="11">
        <f>C50*B53</f>
        <v>33.9</v>
      </c>
      <c r="D53" s="11">
        <f ca="1">D50+C53/16</f>
        <v>17.65625</v>
      </c>
      <c r="E53" s="11">
        <f ca="1">E50/D53</f>
        <v>64945.5021444107</v>
      </c>
      <c r="F53" s="20">
        <f ca="1">F49/D53</f>
        <v>5849.23486115986</v>
      </c>
      <c r="G53" s="11">
        <f ca="1" t="shared" si="12"/>
        <v>93048.4126145397</v>
      </c>
      <c r="H53" s="20"/>
      <c r="I53" s="20"/>
      <c r="J53" s="20"/>
      <c r="K53" s="20"/>
      <c r="L53" s="20"/>
      <c r="O53" s="7"/>
      <c r="P53" s="11"/>
      <c r="Q53" s="7"/>
      <c r="R53" s="11"/>
      <c r="S53" s="11"/>
      <c r="T53" s="11"/>
      <c r="U53" s="20"/>
      <c r="V53" s="32"/>
      <c r="W53" s="32"/>
    </row>
    <row r="54" spans="1:23">
      <c r="A54" s="11"/>
      <c r="B54" s="11">
        <v>5</v>
      </c>
      <c r="C54" s="11">
        <f>C50*B54</f>
        <v>56.5</v>
      </c>
      <c r="D54" s="11">
        <f ca="1">D50+C54/16</f>
        <v>19.06875</v>
      </c>
      <c r="E54" s="11">
        <f ca="1">E50/D54</f>
        <v>60134.7242077877</v>
      </c>
      <c r="F54" s="20">
        <f ca="1">F49/D54</f>
        <v>5415.95820477765</v>
      </c>
      <c r="G54" s="11">
        <f ca="1" t="shared" si="12"/>
        <v>87804.3580215345</v>
      </c>
      <c r="H54" s="11"/>
      <c r="I54" s="20"/>
      <c r="J54" s="20"/>
      <c r="K54" s="20"/>
      <c r="L54" s="20"/>
      <c r="O54" s="11"/>
      <c r="P54" s="11"/>
      <c r="Q54" s="7"/>
      <c r="R54" s="11"/>
      <c r="S54" s="11"/>
      <c r="T54" s="11"/>
      <c r="U54" s="20"/>
      <c r="V54" s="32"/>
      <c r="W54" s="32"/>
    </row>
    <row r="55" spans="1:23">
      <c r="A55" s="11"/>
      <c r="B55" s="11">
        <v>7</v>
      </c>
      <c r="C55" s="11">
        <f>C50*B55</f>
        <v>79.1</v>
      </c>
      <c r="D55" s="11">
        <f ca="1">D50+C55/16</f>
        <v>20.48125</v>
      </c>
      <c r="E55" s="11">
        <f ca="1">E50/D55</f>
        <v>55987.5018486299</v>
      </c>
      <c r="F55" s="20">
        <f ca="1">F49/D55</f>
        <v>5042.44384582747</v>
      </c>
      <c r="G55" s="11">
        <f ca="1" t="shared" si="12"/>
        <v>83283.6213034266</v>
      </c>
      <c r="H55" s="11"/>
      <c r="I55" s="20"/>
      <c r="J55" s="20"/>
      <c r="K55" s="20"/>
      <c r="L55" s="20"/>
      <c r="O55" s="11"/>
      <c r="P55" s="11"/>
      <c r="Q55" s="7"/>
      <c r="R55" s="11"/>
      <c r="S55" s="11"/>
      <c r="T55" s="11"/>
      <c r="U55" s="20"/>
      <c r="V55" s="32"/>
      <c r="W55" s="32"/>
    </row>
    <row r="56" spans="8:23">
      <c r="H56" s="20"/>
      <c r="I56" s="20"/>
      <c r="J56" s="20"/>
      <c r="K56" s="20"/>
      <c r="L56" s="20"/>
      <c r="M56" s="20"/>
      <c r="N56" s="20"/>
      <c r="O56" s="11"/>
      <c r="P56" s="11"/>
      <c r="Q56" s="7"/>
      <c r="R56" s="11"/>
      <c r="S56" s="11"/>
      <c r="T56" s="11"/>
      <c r="U56" s="20"/>
      <c r="V56" s="32"/>
      <c r="W56" s="32"/>
    </row>
    <row r="57" spans="8:24">
      <c r="H57" s="20"/>
      <c r="I57" s="20"/>
      <c r="J57" s="20"/>
      <c r="K57" s="20"/>
      <c r="L57" s="20"/>
      <c r="M57" s="20"/>
      <c r="N57" s="20"/>
      <c r="O57" s="11"/>
      <c r="P57" s="11"/>
      <c r="Q57" s="7"/>
      <c r="R57" s="11"/>
      <c r="S57" s="11"/>
      <c r="T57" s="11"/>
      <c r="U57" s="20"/>
      <c r="V57" s="32"/>
      <c r="W57" s="32"/>
      <c r="X57" s="32"/>
    </row>
    <row r="58" spans="1:23">
      <c r="A58" s="20"/>
      <c r="B58" s="20"/>
      <c r="C58" s="20"/>
      <c r="D58" s="20"/>
      <c r="E58" s="20"/>
      <c r="H58" s="20"/>
      <c r="I58" s="20"/>
      <c r="J58" s="20"/>
      <c r="K58" s="20"/>
      <c r="L58" s="20"/>
      <c r="M58" s="20"/>
      <c r="N58" s="20"/>
      <c r="O58" s="11"/>
      <c r="P58" s="11"/>
      <c r="Q58" s="7"/>
      <c r="R58" s="11"/>
      <c r="S58" s="11"/>
      <c r="T58" s="11"/>
      <c r="U58" s="20"/>
      <c r="V58" s="32"/>
      <c r="W58" s="34"/>
    </row>
    <row r="59" spans="1:23">
      <c r="A59" s="20"/>
      <c r="B59" s="20"/>
      <c r="C59" s="20"/>
      <c r="D59" s="20"/>
      <c r="E59" s="20"/>
      <c r="H59" s="20"/>
      <c r="I59" s="20"/>
      <c r="J59" s="20"/>
      <c r="K59" s="20"/>
      <c r="L59" s="20"/>
      <c r="M59" s="20"/>
      <c r="N59" s="20"/>
      <c r="O59" s="11"/>
      <c r="P59" s="11"/>
      <c r="Q59" s="7"/>
      <c r="R59" s="11"/>
      <c r="S59" s="11"/>
      <c r="T59" s="11"/>
      <c r="U59" s="20"/>
      <c r="V59" s="32"/>
      <c r="W59" s="34"/>
    </row>
    <row r="60" spans="1:23">
      <c r="A60" s="20"/>
      <c r="B60" s="20"/>
      <c r="C60" s="20"/>
      <c r="D60" s="20"/>
      <c r="E60" s="20"/>
      <c r="H60" s="20"/>
      <c r="I60" s="20"/>
      <c r="J60" s="20"/>
      <c r="K60" s="20"/>
      <c r="L60" s="20"/>
      <c r="M60" s="20"/>
      <c r="N60" s="20"/>
      <c r="O60" s="11"/>
      <c r="P60" s="11"/>
      <c r="Q60" s="7"/>
      <c r="R60" s="11"/>
      <c r="S60" s="11"/>
      <c r="T60" s="11"/>
      <c r="U60" s="20"/>
      <c r="V60" s="32"/>
      <c r="W60" s="34"/>
    </row>
    <row r="61" spans="1:23">
      <c r="A61" s="20"/>
      <c r="B61" s="20"/>
      <c r="C61" s="20"/>
      <c r="D61" s="20"/>
      <c r="E61" s="20"/>
      <c r="H61" s="20"/>
      <c r="I61" s="20"/>
      <c r="J61" s="20"/>
      <c r="K61" s="20"/>
      <c r="L61" s="20"/>
      <c r="M61" s="20"/>
      <c r="N61" s="20"/>
      <c r="O61" s="11"/>
      <c r="P61" s="11"/>
      <c r="Q61" s="7"/>
      <c r="R61" s="11"/>
      <c r="S61" s="11"/>
      <c r="T61" s="11"/>
      <c r="U61" s="20"/>
      <c r="V61" s="32"/>
      <c r="W61" s="34"/>
    </row>
    <row r="62" spans="1:23">
      <c r="A62" s="20"/>
      <c r="B62" s="20"/>
      <c r="C62" s="20"/>
      <c r="D62" s="20"/>
      <c r="E62" s="20"/>
      <c r="H62" s="20"/>
      <c r="I62" s="20"/>
      <c r="J62" s="20"/>
      <c r="K62" s="20"/>
      <c r="L62" s="20"/>
      <c r="M62" s="20"/>
      <c r="N62" s="20"/>
      <c r="O62" s="11"/>
      <c r="P62" s="11"/>
      <c r="Q62" s="7"/>
      <c r="R62" s="11"/>
      <c r="S62" s="11"/>
      <c r="T62" s="11"/>
      <c r="U62" s="20"/>
      <c r="V62" s="32"/>
      <c r="W62" s="34"/>
    </row>
    <row r="63" spans="1:23">
      <c r="A63" s="20"/>
      <c r="B63" s="20"/>
      <c r="C63" s="20"/>
      <c r="D63" s="20"/>
      <c r="E63" s="20"/>
      <c r="H63" s="20"/>
      <c r="I63" s="20"/>
      <c r="J63" s="20"/>
      <c r="K63" s="20"/>
      <c r="L63" s="20"/>
      <c r="M63" s="20"/>
      <c r="N63" s="20"/>
      <c r="O63" s="11"/>
      <c r="U63" s="20"/>
      <c r="V63" s="32"/>
      <c r="W63" s="34"/>
    </row>
    <row r="64" spans="1:23">
      <c r="A64" s="20"/>
      <c r="B64" s="20"/>
      <c r="C64" s="20"/>
      <c r="D64" s="20"/>
      <c r="E64" s="20"/>
      <c r="H64" s="20"/>
      <c r="I64" s="20"/>
      <c r="J64" s="20"/>
      <c r="K64" s="20"/>
      <c r="L64" s="20"/>
      <c r="M64" s="20"/>
      <c r="N64" s="20"/>
      <c r="P64" s="7"/>
      <c r="Q64" s="11"/>
      <c r="R64" s="11"/>
      <c r="S64" s="7"/>
      <c r="T64" s="11"/>
      <c r="U64" s="20"/>
      <c r="V64" s="32"/>
      <c r="W64" s="34"/>
    </row>
    <row r="65" spans="1:23">
      <c r="A65" s="20"/>
      <c r="B65" s="20"/>
      <c r="C65" s="20"/>
      <c r="D65" s="20"/>
      <c r="E65" s="20"/>
      <c r="H65" s="20"/>
      <c r="I65" s="20"/>
      <c r="J65" s="20"/>
      <c r="K65" s="20"/>
      <c r="L65" s="20"/>
      <c r="M65" s="20"/>
      <c r="N65" s="20"/>
      <c r="O65" s="11"/>
      <c r="P65" s="11"/>
      <c r="Q65" s="11"/>
      <c r="R65" s="11"/>
      <c r="S65" s="11"/>
      <c r="T65" s="11"/>
      <c r="U65" s="20"/>
      <c r="V65" s="32"/>
      <c r="W65" s="34"/>
    </row>
    <row r="66" spans="1:23">
      <c r="A66" s="20"/>
      <c r="B66" s="20"/>
      <c r="C66" s="20"/>
      <c r="D66" s="20"/>
      <c r="E66" s="20"/>
      <c r="H66" s="20"/>
      <c r="I66" s="20"/>
      <c r="J66" s="20"/>
      <c r="K66" s="20"/>
      <c r="L66" s="20"/>
      <c r="M66" s="20"/>
      <c r="N66" s="20"/>
      <c r="O66" s="11"/>
      <c r="P66" s="11"/>
      <c r="Q66" s="11"/>
      <c r="R66" s="11"/>
      <c r="S66" s="11"/>
      <c r="T66" s="11"/>
      <c r="U66" s="11"/>
      <c r="V66" s="32"/>
      <c r="W66" s="34"/>
    </row>
    <row r="67" spans="1:23">
      <c r="A67" s="20"/>
      <c r="B67" s="20"/>
      <c r="C67" s="20"/>
      <c r="D67" s="20"/>
      <c r="E67" s="20"/>
      <c r="H67" s="20"/>
      <c r="I67" s="20"/>
      <c r="J67" s="20"/>
      <c r="K67" s="20"/>
      <c r="L67" s="20"/>
      <c r="O67" s="11"/>
      <c r="P67" s="11"/>
      <c r="Q67" s="11"/>
      <c r="R67" s="11"/>
      <c r="S67" s="11"/>
      <c r="T67" s="11"/>
      <c r="U67" s="11"/>
      <c r="V67" s="32"/>
      <c r="W67" s="34"/>
    </row>
    <row r="68" spans="1:2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O68" s="11"/>
      <c r="P68" s="11"/>
      <c r="Q68" s="11"/>
      <c r="R68" s="11"/>
      <c r="S68" s="11"/>
      <c r="T68" s="20"/>
      <c r="U68" s="11"/>
      <c r="V68" s="32"/>
      <c r="W68" s="34"/>
    </row>
    <row r="69" spans="1:23">
      <c r="A69" s="20"/>
      <c r="B69" s="20"/>
      <c r="C69" s="20"/>
      <c r="D69" s="20"/>
      <c r="E69" s="20"/>
      <c r="F69" s="20"/>
      <c r="G69" s="20"/>
      <c r="H69" s="11"/>
      <c r="I69" s="20"/>
      <c r="J69" s="20"/>
      <c r="K69" s="20"/>
      <c r="L69" s="20"/>
      <c r="O69" s="11"/>
      <c r="P69" s="11"/>
      <c r="Q69" s="11"/>
      <c r="R69" s="11"/>
      <c r="S69" s="11"/>
      <c r="T69" s="20"/>
      <c r="U69" s="11"/>
      <c r="V69" s="32"/>
      <c r="W69" s="34"/>
    </row>
    <row r="70" spans="1:23">
      <c r="A70" s="20"/>
      <c r="B70" s="20"/>
      <c r="C70" s="20"/>
      <c r="D70" s="20"/>
      <c r="E70" s="20"/>
      <c r="F70" s="20"/>
      <c r="G70" s="20"/>
      <c r="H70" s="11"/>
      <c r="I70" s="20"/>
      <c r="J70" s="20"/>
      <c r="K70" s="20"/>
      <c r="L70" s="20"/>
      <c r="O70" s="11"/>
      <c r="P70" s="11"/>
      <c r="Q70" s="11"/>
      <c r="R70" s="11"/>
      <c r="S70" s="11"/>
      <c r="T70" s="20"/>
      <c r="U70" s="11"/>
      <c r="V70" s="32"/>
      <c r="W70" s="34"/>
    </row>
    <row r="71" spans="1:23">
      <c r="A71" s="11"/>
      <c r="B71" s="7"/>
      <c r="C71" s="11"/>
      <c r="D71" s="11"/>
      <c r="E71" s="7"/>
      <c r="F71" s="11"/>
      <c r="G71" s="11"/>
      <c r="H71" s="20"/>
      <c r="I71" s="7"/>
      <c r="J71" s="11"/>
      <c r="K71" s="11"/>
      <c r="L71" s="7"/>
      <c r="M71" s="11"/>
      <c r="N71" s="11"/>
      <c r="U71" s="20"/>
      <c r="V71" s="32"/>
      <c r="W71" s="34"/>
    </row>
    <row r="72" spans="1:23">
      <c r="A72" s="7"/>
      <c r="B72" s="11"/>
      <c r="C72" s="11"/>
      <c r="D72" s="11"/>
      <c r="E72" s="11"/>
      <c r="F72" s="11"/>
      <c r="G72" s="11"/>
      <c r="H72" s="20"/>
      <c r="I72" s="11"/>
      <c r="J72" s="11"/>
      <c r="K72" s="11"/>
      <c r="L72" s="11"/>
      <c r="N72" s="11"/>
      <c r="O72" s="20"/>
      <c r="U72" s="20"/>
      <c r="V72" s="32"/>
      <c r="W72" s="34"/>
    </row>
    <row r="73" spans="1:23">
      <c r="A73" s="11"/>
      <c r="B73" s="11"/>
      <c r="C73" s="11"/>
      <c r="D73" s="11"/>
      <c r="E73" s="11"/>
      <c r="F73" s="11"/>
      <c r="G73" s="11"/>
      <c r="H73" s="20"/>
      <c r="I73" s="11"/>
      <c r="J73" s="11"/>
      <c r="K73" s="11"/>
      <c r="L73" s="11"/>
      <c r="M73" s="11"/>
      <c r="N73" s="11"/>
      <c r="O73" s="20"/>
      <c r="U73" s="20"/>
      <c r="V73" s="32"/>
      <c r="W73" s="34"/>
    </row>
    <row r="74" spans="1:23">
      <c r="A74" s="11"/>
      <c r="B74" s="11"/>
      <c r="C74" s="11"/>
      <c r="D74" s="11"/>
      <c r="E74" s="11"/>
      <c r="F74" s="11"/>
      <c r="G74" s="11"/>
      <c r="H74" s="20"/>
      <c r="I74" s="11"/>
      <c r="J74" s="11"/>
      <c r="K74" s="11"/>
      <c r="L74" s="11"/>
      <c r="M74" s="11"/>
      <c r="N74" s="11"/>
      <c r="O74" s="20"/>
      <c r="U74" s="20"/>
      <c r="V74" s="32"/>
      <c r="W74" s="34"/>
    </row>
    <row r="75" spans="1:23">
      <c r="A75" s="11"/>
      <c r="B75" s="11"/>
      <c r="C75" s="11"/>
      <c r="D75" s="11"/>
      <c r="E75" s="11"/>
      <c r="F75" s="20"/>
      <c r="G75" s="11"/>
      <c r="H75" s="20"/>
      <c r="I75" s="11"/>
      <c r="J75" s="11"/>
      <c r="K75" s="11"/>
      <c r="L75" s="11"/>
      <c r="M75" s="20"/>
      <c r="N75" s="11"/>
      <c r="O75" s="20"/>
      <c r="U75" s="20"/>
      <c r="V75" s="32"/>
      <c r="W75" s="34"/>
    </row>
    <row r="76" spans="1:23">
      <c r="A76" s="11"/>
      <c r="B76" s="11"/>
      <c r="C76" s="11"/>
      <c r="D76" s="11"/>
      <c r="E76" s="11"/>
      <c r="F76" s="20"/>
      <c r="G76" s="11"/>
      <c r="H76" s="20"/>
      <c r="I76" s="11"/>
      <c r="J76" s="11"/>
      <c r="K76" s="11"/>
      <c r="L76" s="11"/>
      <c r="M76" s="20"/>
      <c r="N76" s="11"/>
      <c r="O76" s="20"/>
      <c r="U76" s="20"/>
      <c r="V76" s="32"/>
      <c r="W76" s="34"/>
    </row>
    <row r="77" spans="1:23">
      <c r="A77" s="11"/>
      <c r="B77" s="11"/>
      <c r="C77" s="11"/>
      <c r="D77" s="11"/>
      <c r="E77" s="11"/>
      <c r="F77" s="20"/>
      <c r="G77" s="11"/>
      <c r="H77" s="20"/>
      <c r="I77" s="11"/>
      <c r="J77" s="11"/>
      <c r="K77" s="11"/>
      <c r="L77" s="11"/>
      <c r="M77" s="20"/>
      <c r="N77" s="11"/>
      <c r="O77" s="20"/>
      <c r="U77" s="20"/>
      <c r="V77" s="32"/>
      <c r="W77" s="34"/>
    </row>
    <row r="78" spans="8:23">
      <c r="H78" s="11"/>
      <c r="I78" s="11"/>
      <c r="J78" s="1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32"/>
      <c r="W78" s="34"/>
    </row>
    <row r="79" spans="8:23">
      <c r="H79" s="11"/>
      <c r="I79" s="11"/>
      <c r="J79" s="1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32"/>
      <c r="W79" s="34"/>
    </row>
    <row r="80" spans="1:2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32"/>
      <c r="W80" s="34"/>
    </row>
    <row r="81" spans="1:2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32"/>
      <c r="W81" s="34"/>
    </row>
    <row r="82" spans="1:2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32"/>
      <c r="W82" s="34"/>
    </row>
    <row r="83" spans="1:2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32"/>
      <c r="W83" s="34"/>
    </row>
    <row r="84" spans="1:2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32"/>
      <c r="W84" s="34"/>
    </row>
    <row r="85" spans="1:2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32"/>
      <c r="W85" s="34"/>
    </row>
    <row r="86" spans="1:2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32"/>
      <c r="W86" s="34"/>
    </row>
    <row r="87" spans="1:2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32"/>
      <c r="W87" s="34"/>
    </row>
    <row r="88" spans="1:2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32"/>
      <c r="W88" s="34"/>
    </row>
    <row r="89" spans="1:2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32"/>
      <c r="W89" s="34"/>
    </row>
    <row r="90" spans="1:2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32"/>
      <c r="W90" s="34"/>
    </row>
    <row r="91" spans="1:2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32"/>
      <c r="W91" s="34"/>
    </row>
    <row r="92" spans="1:2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32"/>
      <c r="W92" s="34"/>
    </row>
    <row r="93" spans="1:23">
      <c r="A93" s="20"/>
      <c r="B93" s="20"/>
      <c r="C93" s="20"/>
      <c r="D93" s="20"/>
      <c r="E93" s="20"/>
      <c r="F93" s="11"/>
      <c r="G93" s="7"/>
      <c r="H93" s="20"/>
      <c r="I93" s="20"/>
      <c r="J93" s="20"/>
      <c r="K93" s="20"/>
      <c r="L93" s="20"/>
      <c r="M93" s="11"/>
      <c r="N93" s="7"/>
      <c r="O93" s="20"/>
      <c r="P93" s="20"/>
      <c r="Q93" s="20"/>
      <c r="R93" s="20"/>
      <c r="S93" s="20"/>
      <c r="T93" s="11"/>
      <c r="U93" s="7"/>
      <c r="V93" s="32"/>
      <c r="W93" s="34"/>
    </row>
    <row r="94" spans="1:23">
      <c r="A94" s="20"/>
      <c r="B94" s="20"/>
      <c r="C94" s="20"/>
      <c r="D94" s="20"/>
      <c r="E94" s="20"/>
      <c r="F94" s="7"/>
      <c r="G94" s="11"/>
      <c r="H94" s="20"/>
      <c r="I94" s="20"/>
      <c r="J94" s="20"/>
      <c r="K94" s="20"/>
      <c r="L94" s="20"/>
      <c r="M94" s="7"/>
      <c r="N94" s="11"/>
      <c r="O94" s="20"/>
      <c r="P94" s="20"/>
      <c r="Q94" s="20"/>
      <c r="R94" s="20"/>
      <c r="S94" s="20"/>
      <c r="T94" s="7"/>
      <c r="U94" s="11"/>
      <c r="V94" s="32"/>
      <c r="W94" s="34"/>
    </row>
    <row r="95" spans="1:23">
      <c r="A95" s="20"/>
      <c r="B95" s="20"/>
      <c r="C95" s="20"/>
      <c r="D95" s="20"/>
      <c r="E95" s="20"/>
      <c r="F95" s="11"/>
      <c r="G95" s="11"/>
      <c r="H95" s="20"/>
      <c r="I95" s="20"/>
      <c r="J95" s="20"/>
      <c r="K95" s="20"/>
      <c r="L95" s="20"/>
      <c r="M95" s="11"/>
      <c r="N95" s="11"/>
      <c r="O95" s="20"/>
      <c r="P95" s="20"/>
      <c r="Q95" s="20"/>
      <c r="R95" s="20"/>
      <c r="S95" s="20"/>
      <c r="T95" s="11"/>
      <c r="U95" s="11"/>
      <c r="V95" s="32"/>
      <c r="W95" s="34"/>
    </row>
    <row r="96" spans="1:23">
      <c r="A96" s="20"/>
      <c r="B96" s="7"/>
      <c r="C96" s="11"/>
      <c r="D96" s="11"/>
      <c r="E96" s="7"/>
      <c r="F96" s="11"/>
      <c r="G96" s="11"/>
      <c r="H96" s="20"/>
      <c r="I96" s="20"/>
      <c r="J96" s="20"/>
      <c r="K96" s="20"/>
      <c r="L96" s="20"/>
      <c r="O96" s="20"/>
      <c r="P96" s="20"/>
      <c r="Q96" s="20"/>
      <c r="R96" s="20"/>
      <c r="S96" s="20"/>
      <c r="V96" s="32"/>
      <c r="W96" s="34"/>
    </row>
    <row r="97" spans="1:23">
      <c r="A97" s="20"/>
      <c r="B97" s="11"/>
      <c r="C97" s="11"/>
      <c r="D97" s="11"/>
      <c r="E97" s="11"/>
      <c r="G97" s="11"/>
      <c r="H97" s="20"/>
      <c r="I97" s="7"/>
      <c r="J97" s="11"/>
      <c r="K97" s="11"/>
      <c r="L97" s="7"/>
      <c r="M97" s="11"/>
      <c r="N97" s="11"/>
      <c r="O97" s="20"/>
      <c r="P97" s="20"/>
      <c r="Q97" s="20"/>
      <c r="R97" s="20"/>
      <c r="S97" s="20"/>
      <c r="V97" s="32"/>
      <c r="W97" s="34"/>
    </row>
    <row r="98" spans="1:23">
      <c r="A98" s="20"/>
      <c r="B98" s="11"/>
      <c r="C98" s="11"/>
      <c r="D98" s="11"/>
      <c r="E98" s="11"/>
      <c r="F98" s="11"/>
      <c r="G98" s="11"/>
      <c r="H98" s="20"/>
      <c r="I98" s="11"/>
      <c r="J98" s="11"/>
      <c r="K98" s="11"/>
      <c r="L98" s="11"/>
      <c r="N98" s="11"/>
      <c r="O98" s="20"/>
      <c r="P98" s="7"/>
      <c r="Q98" s="11"/>
      <c r="R98" s="11"/>
      <c r="S98" s="7"/>
      <c r="T98" s="11"/>
      <c r="U98" s="11"/>
      <c r="V98" s="32"/>
      <c r="W98" s="34"/>
    </row>
    <row r="99" spans="1:23">
      <c r="A99" s="20"/>
      <c r="B99" s="11"/>
      <c r="C99" s="11"/>
      <c r="D99" s="11"/>
      <c r="E99" s="11"/>
      <c r="F99" s="11"/>
      <c r="G99" s="11"/>
      <c r="H99" s="20"/>
      <c r="I99" s="11"/>
      <c r="J99" s="11"/>
      <c r="K99" s="11"/>
      <c r="L99" s="11"/>
      <c r="M99" s="11"/>
      <c r="N99" s="11"/>
      <c r="O99" s="20"/>
      <c r="P99" s="11"/>
      <c r="Q99" s="11"/>
      <c r="R99" s="11"/>
      <c r="S99" s="11"/>
      <c r="U99" s="11"/>
      <c r="V99" s="32"/>
      <c r="W99" s="34"/>
    </row>
    <row r="100" spans="1:23">
      <c r="A100" s="20"/>
      <c r="B100" s="11"/>
      <c r="C100" s="11"/>
      <c r="D100" s="11"/>
      <c r="E100" s="11"/>
      <c r="F100" s="20"/>
      <c r="G100" s="11"/>
      <c r="H100" s="20"/>
      <c r="I100" s="11"/>
      <c r="J100" s="11"/>
      <c r="K100" s="11"/>
      <c r="L100" s="11"/>
      <c r="M100" s="11"/>
      <c r="N100" s="11"/>
      <c r="O100" s="20"/>
      <c r="P100" s="11"/>
      <c r="Q100" s="11"/>
      <c r="R100" s="11"/>
      <c r="S100" s="11"/>
      <c r="T100" s="11"/>
      <c r="U100" s="11"/>
      <c r="V100" s="32"/>
      <c r="W100" s="34"/>
    </row>
    <row r="101" spans="1:23">
      <c r="A101" s="20"/>
      <c r="B101" s="11"/>
      <c r="C101" s="11"/>
      <c r="D101" s="11"/>
      <c r="E101" s="11"/>
      <c r="F101" s="20"/>
      <c r="G101" s="11"/>
      <c r="H101" s="20"/>
      <c r="I101" s="11"/>
      <c r="J101" s="11"/>
      <c r="K101" s="11"/>
      <c r="L101" s="11"/>
      <c r="M101" s="20"/>
      <c r="N101" s="11"/>
      <c r="O101" s="20"/>
      <c r="P101" s="11"/>
      <c r="Q101" s="11"/>
      <c r="R101" s="11"/>
      <c r="S101" s="11"/>
      <c r="T101" s="11"/>
      <c r="U101" s="11"/>
      <c r="V101" s="32"/>
      <c r="W101" s="34"/>
    </row>
    <row r="102" spans="1:23">
      <c r="A102" s="20"/>
      <c r="B102" s="11"/>
      <c r="C102" s="11"/>
      <c r="D102" s="11"/>
      <c r="E102" s="11"/>
      <c r="F102" s="20"/>
      <c r="G102" s="11"/>
      <c r="H102" s="20"/>
      <c r="I102" s="11"/>
      <c r="J102" s="11"/>
      <c r="K102" s="11"/>
      <c r="L102" s="11"/>
      <c r="M102" s="20"/>
      <c r="N102" s="11"/>
      <c r="O102" s="20"/>
      <c r="P102" s="11"/>
      <c r="Q102" s="11"/>
      <c r="R102" s="11"/>
      <c r="S102" s="11"/>
      <c r="T102" s="20"/>
      <c r="U102" s="11"/>
      <c r="V102" s="32"/>
      <c r="W102" s="34"/>
    </row>
    <row r="103" spans="9:23">
      <c r="I103" s="11"/>
      <c r="J103" s="11"/>
      <c r="K103" s="11"/>
      <c r="L103" s="11"/>
      <c r="M103" s="20"/>
      <c r="N103" s="11"/>
      <c r="P103" s="11"/>
      <c r="Q103" s="11"/>
      <c r="R103" s="11"/>
      <c r="S103" s="11"/>
      <c r="T103" s="20"/>
      <c r="U103" s="11"/>
      <c r="V103" s="32"/>
      <c r="W103" s="34"/>
    </row>
    <row r="104" spans="16:23">
      <c r="P104" s="11"/>
      <c r="Q104" s="11"/>
      <c r="R104" s="11"/>
      <c r="S104" s="11"/>
      <c r="T104" s="20"/>
      <c r="U104" s="11"/>
      <c r="V104" s="32"/>
      <c r="W104" s="34"/>
    </row>
    <row r="105" spans="17:23">
      <c r="Q105" s="20"/>
      <c r="R105" s="20"/>
      <c r="S105" s="20"/>
      <c r="T105" s="20"/>
      <c r="U105" s="20"/>
      <c r="V105" s="32"/>
      <c r="W105" s="34"/>
    </row>
    <row r="106" spans="4:23">
      <c r="D106" s="20"/>
      <c r="E106" s="20"/>
      <c r="F106" s="20"/>
      <c r="G106" s="20"/>
      <c r="H106" s="20"/>
      <c r="I106" s="20"/>
      <c r="R106" s="20"/>
      <c r="V106" s="17"/>
      <c r="W106" s="17"/>
    </row>
    <row r="107" spans="18:23">
      <c r="R107" s="20"/>
      <c r="V107" s="17"/>
      <c r="W107" s="17"/>
    </row>
    <row r="108" spans="18:23">
      <c r="R108" s="20"/>
      <c r="V108" s="17"/>
      <c r="W108" s="17"/>
    </row>
    <row r="109" spans="18:23">
      <c r="R109" s="20"/>
      <c r="V109" s="17"/>
      <c r="W109" s="17"/>
    </row>
    <row r="110" spans="18:23">
      <c r="R110" s="20"/>
      <c r="V110" s="17"/>
      <c r="W110" s="17"/>
    </row>
    <row r="111" spans="18:23">
      <c r="R111" s="20"/>
      <c r="V111" s="17"/>
      <c r="W111" s="17"/>
    </row>
    <row r="112" spans="10:23">
      <c r="J112" s="20"/>
      <c r="R112" s="20"/>
      <c r="S112" s="20"/>
      <c r="T112" s="20"/>
      <c r="V112" s="17"/>
      <c r="W112" s="17"/>
    </row>
    <row r="113" spans="4:23">
      <c r="D113" s="16"/>
      <c r="E113" s="16"/>
      <c r="F113" s="16"/>
      <c r="G113" s="16"/>
      <c r="H113" s="16"/>
      <c r="I113" s="16"/>
      <c r="J113" s="13"/>
      <c r="K113" s="16"/>
      <c r="L113" s="16"/>
      <c r="M113" s="16"/>
      <c r="N113" s="16"/>
      <c r="O113" s="16"/>
      <c r="R113" s="20"/>
      <c r="S113" s="20"/>
      <c r="T113" s="20"/>
      <c r="U113" s="16"/>
      <c r="V113" s="17"/>
      <c r="W113" s="17"/>
    </row>
    <row r="114" spans="20:23">
      <c r="T114" s="20"/>
      <c r="V114" s="20"/>
      <c r="W114" s="17"/>
    </row>
    <row r="115" spans="20:23">
      <c r="T115" s="20"/>
      <c r="V115" s="20"/>
      <c r="W115" s="17"/>
    </row>
    <row r="116" spans="20:23">
      <c r="T116" s="20"/>
      <c r="V116" s="20"/>
      <c r="W116" s="17"/>
    </row>
    <row r="117" spans="20:23">
      <c r="T117" s="20"/>
      <c r="V117" s="20"/>
      <c r="W117" s="17"/>
    </row>
    <row r="118" spans="20:23">
      <c r="T118" s="20"/>
      <c r="V118" s="20"/>
      <c r="W118" s="17"/>
    </row>
    <row r="119" spans="18:23">
      <c r="R119" s="20"/>
      <c r="T119" s="20"/>
      <c r="V119" s="17"/>
      <c r="W119" s="17"/>
    </row>
    <row r="120" spans="4:23">
      <c r="D120" s="16"/>
      <c r="E120" s="16"/>
      <c r="F120" s="16"/>
      <c r="G120" s="16"/>
      <c r="H120" s="16"/>
      <c r="I120" s="16"/>
      <c r="J120" s="13"/>
      <c r="K120" s="16"/>
      <c r="L120" s="16"/>
      <c r="M120" s="16"/>
      <c r="N120" s="16"/>
      <c r="O120" s="16"/>
      <c r="R120" s="20"/>
      <c r="T120" s="20"/>
      <c r="U120" s="16"/>
      <c r="V120" s="17"/>
      <c r="W120" s="17"/>
    </row>
    <row r="121" spans="18:23">
      <c r="R121" s="20"/>
      <c r="T121" s="20"/>
      <c r="V121" s="20"/>
      <c r="W121" s="17"/>
    </row>
    <row r="122" spans="18:23">
      <c r="R122" s="20"/>
      <c r="T122" s="20"/>
      <c r="V122" s="20"/>
      <c r="W122" s="17"/>
    </row>
    <row r="123" spans="18:23">
      <c r="R123" s="20"/>
      <c r="T123" s="20"/>
      <c r="V123" s="20"/>
      <c r="W123" s="17"/>
    </row>
    <row r="124" spans="18:23">
      <c r="R124" s="20"/>
      <c r="T124" s="20"/>
      <c r="V124" s="20"/>
      <c r="W124" s="17"/>
    </row>
    <row r="125" spans="18:23">
      <c r="R125" s="20"/>
      <c r="T125" s="20"/>
      <c r="V125" s="20"/>
      <c r="W125" s="17"/>
    </row>
    <row r="126" spans="8:23">
      <c r="H126" s="11"/>
      <c r="R126" s="20"/>
      <c r="T126" s="20"/>
      <c r="V126" s="17"/>
      <c r="W126" s="17"/>
    </row>
    <row r="127" spans="4:23">
      <c r="D127" s="16"/>
      <c r="E127" s="16"/>
      <c r="F127" s="16"/>
      <c r="G127" s="16"/>
      <c r="H127" s="16"/>
      <c r="I127" s="16"/>
      <c r="J127" s="13"/>
      <c r="K127" s="16"/>
      <c r="L127" s="16"/>
      <c r="M127" s="16"/>
      <c r="N127" s="16"/>
      <c r="O127" s="16"/>
      <c r="R127" s="20"/>
      <c r="T127" s="20"/>
      <c r="U127" s="16"/>
      <c r="V127" s="17"/>
      <c r="W127" s="17"/>
    </row>
    <row r="128" spans="18:23">
      <c r="R128" s="20"/>
      <c r="T128" s="20"/>
      <c r="V128" s="20"/>
      <c r="W128" s="17"/>
    </row>
    <row r="129" spans="18:23">
      <c r="R129" s="20"/>
      <c r="T129" s="20"/>
      <c r="V129" s="20"/>
      <c r="W129" s="17"/>
    </row>
    <row r="130" spans="18:23">
      <c r="R130" s="20"/>
      <c r="T130" s="20"/>
      <c r="V130" s="20"/>
      <c r="W130" s="17"/>
    </row>
    <row r="131" spans="18:23">
      <c r="R131" s="20"/>
      <c r="T131" s="20"/>
      <c r="V131" s="20"/>
      <c r="W131" s="17"/>
    </row>
    <row r="132" spans="18:23">
      <c r="R132" s="20"/>
      <c r="T132" s="20"/>
      <c r="V132" s="20"/>
      <c r="W132" s="17"/>
    </row>
    <row r="133" spans="18:23">
      <c r="R133" s="20"/>
      <c r="T133" s="20"/>
      <c r="V133" s="17"/>
      <c r="W133" s="17"/>
    </row>
    <row r="134" spans="4:23">
      <c r="D134" s="16"/>
      <c r="E134" s="16"/>
      <c r="F134" s="16"/>
      <c r="G134" s="16"/>
      <c r="H134" s="16"/>
      <c r="I134" s="16"/>
      <c r="J134" s="13"/>
      <c r="K134" s="16"/>
      <c r="L134" s="16"/>
      <c r="M134" s="16"/>
      <c r="N134" s="16"/>
      <c r="O134" s="16"/>
      <c r="R134" s="20"/>
      <c r="T134" s="20"/>
      <c r="U134" s="16"/>
      <c r="V134" s="17"/>
      <c r="W134" s="17"/>
    </row>
    <row r="135" spans="18:23">
      <c r="R135" s="20"/>
      <c r="T135" s="20"/>
      <c r="V135" s="20"/>
      <c r="W135" s="17"/>
    </row>
    <row r="136" spans="18:23">
      <c r="R136" s="20"/>
      <c r="T136" s="20"/>
      <c r="V136" s="20"/>
      <c r="W136" s="17"/>
    </row>
    <row r="137" spans="18:23">
      <c r="R137" s="20"/>
      <c r="T137" s="20"/>
      <c r="V137" s="20"/>
      <c r="W137" s="17"/>
    </row>
    <row r="138" spans="22:23">
      <c r="V138" s="20"/>
      <c r="W138" s="17"/>
    </row>
    <row r="139" spans="22:23">
      <c r="V139" s="20"/>
      <c r="W139" s="17"/>
    </row>
    <row r="140" spans="22:23">
      <c r="V140" s="17"/>
      <c r="W140" s="20"/>
    </row>
    <row r="141" spans="4:23">
      <c r="D141" s="16"/>
      <c r="E141" s="16"/>
      <c r="F141" s="16"/>
      <c r="G141" s="16"/>
      <c r="H141" s="16"/>
      <c r="I141" s="16"/>
      <c r="J141" s="13"/>
      <c r="K141" s="16"/>
      <c r="L141" s="16"/>
      <c r="M141" s="16"/>
      <c r="N141" s="16"/>
      <c r="O141" s="16"/>
      <c r="V141" s="17"/>
      <c r="W141" s="17"/>
    </row>
    <row r="142" spans="22:23">
      <c r="V142" s="20"/>
      <c r="W142" s="17"/>
    </row>
    <row r="143" spans="22:23">
      <c r="V143" s="20"/>
      <c r="W143" s="17"/>
    </row>
    <row r="144" spans="22:23">
      <c r="V144" s="20"/>
      <c r="W144" s="17"/>
    </row>
    <row r="145" spans="22:23">
      <c r="V145" s="20"/>
      <c r="W145" s="17"/>
    </row>
    <row r="146" spans="1:2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17"/>
    </row>
    <row r="147" spans="1:2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spans="1:2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</row>
    <row r="149" spans="1:2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0" spans="1:2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</row>
    <row r="151" spans="1:2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spans="1:2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</row>
    <row r="153" spans="1:2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</row>
    <row r="154" spans="1:2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</row>
    <row r="155" spans="1:2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</row>
    <row r="156" spans="1:2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</row>
    <row r="157" spans="1:2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</row>
    <row r="158" spans="1:2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</row>
    <row r="159" spans="1:19">
      <c r="A159" s="20"/>
      <c r="B159" s="20"/>
      <c r="C159" s="20"/>
      <c r="D159" s="20"/>
      <c r="E159" s="20"/>
      <c r="H159" s="20"/>
      <c r="I159" s="20"/>
      <c r="J159" s="20"/>
      <c r="K159" s="20"/>
      <c r="L159" s="20"/>
      <c r="O159" s="20"/>
      <c r="P159" s="20"/>
      <c r="Q159" s="20"/>
      <c r="R159" s="20"/>
      <c r="S159" s="20"/>
    </row>
    <row r="160" spans="1:19">
      <c r="A160" s="20"/>
      <c r="B160" s="20"/>
      <c r="C160" s="20"/>
      <c r="D160" s="20"/>
      <c r="E160" s="20"/>
      <c r="H160" s="20"/>
      <c r="I160" s="20"/>
      <c r="J160" s="20"/>
      <c r="K160" s="20"/>
      <c r="L160" s="20"/>
      <c r="O160" s="20"/>
      <c r="P160" s="20"/>
      <c r="Q160" s="20"/>
      <c r="R160" s="20"/>
      <c r="S160" s="20"/>
    </row>
    <row r="161" spans="1:21">
      <c r="A161" s="20"/>
      <c r="B161" s="7"/>
      <c r="C161" s="11"/>
      <c r="D161" s="11"/>
      <c r="E161" s="7"/>
      <c r="F161" s="11"/>
      <c r="G161" s="11"/>
      <c r="H161" s="20"/>
      <c r="I161" s="7"/>
      <c r="J161" s="11"/>
      <c r="K161" s="11"/>
      <c r="L161" s="7"/>
      <c r="M161" s="11"/>
      <c r="N161" s="11"/>
      <c r="O161" s="20"/>
      <c r="P161" s="7"/>
      <c r="Q161" s="11"/>
      <c r="R161" s="11"/>
      <c r="S161" s="7"/>
      <c r="T161" s="11"/>
      <c r="U161" s="11"/>
    </row>
    <row r="162" spans="1:21">
      <c r="A162" s="20"/>
      <c r="B162" s="11"/>
      <c r="C162" s="11"/>
      <c r="D162" s="11"/>
      <c r="E162" s="11"/>
      <c r="F162" s="11"/>
      <c r="G162" s="11"/>
      <c r="H162" s="20"/>
      <c r="I162" s="11"/>
      <c r="J162" s="11"/>
      <c r="K162" s="11"/>
      <c r="L162" s="11"/>
      <c r="M162" s="11"/>
      <c r="N162" s="11"/>
      <c r="O162" s="20"/>
      <c r="P162" s="11"/>
      <c r="Q162" s="11"/>
      <c r="R162" s="11"/>
      <c r="S162" s="11"/>
      <c r="T162" s="11"/>
      <c r="U162" s="11"/>
    </row>
    <row r="163" spans="1:21">
      <c r="A163" s="20"/>
      <c r="B163" s="11"/>
      <c r="C163" s="11"/>
      <c r="D163" s="11"/>
      <c r="E163" s="11"/>
      <c r="F163" s="11"/>
      <c r="G163" s="11"/>
      <c r="H163" s="20"/>
      <c r="I163" s="11"/>
      <c r="J163" s="11"/>
      <c r="K163" s="11"/>
      <c r="L163" s="11"/>
      <c r="M163" s="11"/>
      <c r="N163" s="11"/>
      <c r="O163" s="20"/>
      <c r="P163" s="11"/>
      <c r="Q163" s="11"/>
      <c r="R163" s="11"/>
      <c r="S163" s="11"/>
      <c r="T163" s="11"/>
      <c r="U163" s="11"/>
    </row>
    <row r="164" spans="1:21">
      <c r="A164" s="20"/>
      <c r="B164" s="11"/>
      <c r="C164" s="11"/>
      <c r="D164" s="11"/>
      <c r="E164" s="11"/>
      <c r="F164" s="11"/>
      <c r="G164" s="11"/>
      <c r="H164" s="20"/>
      <c r="I164" s="11"/>
      <c r="J164" s="11"/>
      <c r="K164" s="11"/>
      <c r="L164" s="11"/>
      <c r="M164" s="11"/>
      <c r="N164" s="11"/>
      <c r="O164" s="20"/>
      <c r="P164" s="11"/>
      <c r="Q164" s="11"/>
      <c r="R164" s="11"/>
      <c r="S164" s="11"/>
      <c r="T164" s="11"/>
      <c r="U164" s="11"/>
    </row>
    <row r="165" spans="1:21">
      <c r="A165" s="20"/>
      <c r="B165" s="11"/>
      <c r="C165" s="11"/>
      <c r="D165" s="11"/>
      <c r="E165" s="11"/>
      <c r="F165" s="20"/>
      <c r="G165" s="11"/>
      <c r="H165" s="20"/>
      <c r="I165" s="11"/>
      <c r="J165" s="11"/>
      <c r="K165" s="11"/>
      <c r="L165" s="11"/>
      <c r="M165" s="20"/>
      <c r="N165" s="11"/>
      <c r="O165" s="20"/>
      <c r="P165" s="11"/>
      <c r="Q165" s="11"/>
      <c r="R165" s="11"/>
      <c r="S165" s="11"/>
      <c r="T165" s="20"/>
      <c r="U165" s="11"/>
    </row>
    <row r="166" spans="1:21">
      <c r="A166" s="20"/>
      <c r="B166" s="11"/>
      <c r="C166" s="11"/>
      <c r="D166" s="11"/>
      <c r="E166" s="11"/>
      <c r="F166" s="20"/>
      <c r="G166" s="11"/>
      <c r="H166" s="20"/>
      <c r="I166" s="11"/>
      <c r="J166" s="11"/>
      <c r="K166" s="11"/>
      <c r="L166" s="11"/>
      <c r="M166" s="20"/>
      <c r="N166" s="11"/>
      <c r="O166" s="20"/>
      <c r="P166" s="11"/>
      <c r="Q166" s="11"/>
      <c r="R166" s="11"/>
      <c r="S166" s="11"/>
      <c r="T166" s="20"/>
      <c r="U166" s="11"/>
    </row>
    <row r="167" spans="1:21">
      <c r="A167" s="20"/>
      <c r="B167" s="11"/>
      <c r="C167" s="11"/>
      <c r="D167" s="11"/>
      <c r="E167" s="11"/>
      <c r="F167" s="20"/>
      <c r="G167" s="11"/>
      <c r="H167" s="20"/>
      <c r="I167" s="11"/>
      <c r="J167" s="11"/>
      <c r="K167" s="11"/>
      <c r="L167" s="11"/>
      <c r="M167" s="20"/>
      <c r="N167" s="11"/>
      <c r="O167" s="20"/>
      <c r="P167" s="11"/>
      <c r="Q167" s="11"/>
      <c r="R167" s="11"/>
      <c r="S167" s="11"/>
      <c r="T167" s="20"/>
      <c r="U167" s="11"/>
    </row>
    <row r="168" spans="8:8">
      <c r="H168" s="11"/>
    </row>
    <row r="169" spans="8:8">
      <c r="H169" s="11"/>
    </row>
    <row r="170" spans="8:8">
      <c r="H170" s="11"/>
    </row>
    <row r="171" spans="1:22">
      <c r="A171" s="20"/>
      <c r="B171" s="20"/>
      <c r="C171" s="20"/>
      <c r="D171" s="20"/>
      <c r="E171" s="20"/>
      <c r="F171" s="20"/>
      <c r="G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>
      <c r="A172" s="20"/>
      <c r="B172" s="20"/>
      <c r="C172" s="20"/>
      <c r="D172" s="20"/>
      <c r="E172" s="20"/>
      <c r="F172" s="20"/>
      <c r="G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>
      <c r="A173" s="20"/>
      <c r="B173" s="20"/>
      <c r="C173" s="20"/>
      <c r="D173" s="20"/>
      <c r="E173" s="20"/>
      <c r="F173" s="20"/>
      <c r="G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>
      <c r="A174" s="20"/>
      <c r="B174" s="20"/>
      <c r="C174" s="20"/>
      <c r="D174" s="20"/>
      <c r="E174" s="20"/>
      <c r="F174" s="20"/>
      <c r="G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>
      <c r="A175" s="20"/>
      <c r="B175" s="20"/>
      <c r="C175" s="20"/>
      <c r="D175" s="20"/>
      <c r="E175" s="20"/>
      <c r="F175" s="20"/>
      <c r="G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>
      <c r="A176" s="20"/>
      <c r="B176" s="20"/>
      <c r="C176" s="20"/>
      <c r="D176" s="20"/>
      <c r="E176" s="20"/>
      <c r="F176" s="20"/>
      <c r="G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>
      <c r="A177" s="20"/>
      <c r="B177" s="20"/>
      <c r="C177" s="20"/>
      <c r="D177" s="20"/>
      <c r="E177" s="20"/>
      <c r="F177" s="20"/>
      <c r="G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>
      <c r="A178" s="20"/>
      <c r="B178" s="20"/>
      <c r="C178" s="20"/>
      <c r="D178" s="20"/>
      <c r="E178" s="20"/>
      <c r="F178" s="20"/>
      <c r="G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>
      <c r="A179" s="20"/>
      <c r="B179" s="20"/>
      <c r="C179" s="20"/>
      <c r="D179" s="20"/>
      <c r="E179" s="20"/>
      <c r="F179" s="20"/>
      <c r="G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>
      <c r="A180" s="20"/>
      <c r="B180" s="20"/>
      <c r="C180" s="20"/>
      <c r="D180" s="20"/>
      <c r="E180" s="20"/>
      <c r="F180" s="20"/>
      <c r="G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>
      <c r="A181" s="20"/>
      <c r="B181" s="20"/>
      <c r="C181" s="20"/>
      <c r="D181" s="20"/>
      <c r="E181" s="20"/>
      <c r="F181" s="7"/>
      <c r="G181" s="11"/>
      <c r="I181" s="20"/>
      <c r="J181" s="20"/>
      <c r="K181" s="20"/>
      <c r="L181" s="20"/>
      <c r="M181" s="20"/>
      <c r="N181" s="7"/>
      <c r="O181" s="11"/>
      <c r="P181" s="20"/>
      <c r="Q181" s="20"/>
      <c r="R181" s="20"/>
      <c r="S181" s="20"/>
      <c r="T181" s="20"/>
      <c r="U181" s="7"/>
      <c r="V181" s="11"/>
    </row>
    <row r="182" spans="1:22">
      <c r="A182" s="20"/>
      <c r="B182" s="20"/>
      <c r="C182" s="20"/>
      <c r="D182" s="20"/>
      <c r="E182" s="20"/>
      <c r="I182" s="20"/>
      <c r="J182" s="20"/>
      <c r="K182" s="20"/>
      <c r="L182" s="20"/>
      <c r="M182" s="20"/>
      <c r="P182" s="20"/>
      <c r="Q182" s="20"/>
      <c r="R182" s="20"/>
      <c r="S182" s="20"/>
      <c r="T182" s="20"/>
      <c r="V182" s="17"/>
    </row>
    <row r="183" spans="1:22">
      <c r="A183" s="20"/>
      <c r="B183" s="20"/>
      <c r="C183" s="20"/>
      <c r="D183" s="20"/>
      <c r="E183" s="20"/>
      <c r="I183" s="20"/>
      <c r="J183" s="20"/>
      <c r="K183" s="20"/>
      <c r="L183" s="20"/>
      <c r="M183" s="20"/>
      <c r="P183" s="20"/>
      <c r="Q183" s="20"/>
      <c r="R183" s="20"/>
      <c r="S183" s="20"/>
      <c r="T183" s="20"/>
      <c r="V183" s="17"/>
    </row>
    <row r="184" spans="1:22">
      <c r="A184" s="20"/>
      <c r="B184" s="20"/>
      <c r="C184" s="20"/>
      <c r="D184" s="20"/>
      <c r="E184" s="20"/>
      <c r="I184" s="20"/>
      <c r="J184" s="20"/>
      <c r="K184" s="20"/>
      <c r="L184" s="20"/>
      <c r="M184" s="20"/>
      <c r="P184" s="20"/>
      <c r="Q184" s="20"/>
      <c r="R184" s="20"/>
      <c r="S184" s="20"/>
      <c r="T184" s="20"/>
      <c r="V184" s="17"/>
    </row>
    <row r="185" spans="1:22">
      <c r="A185" s="20"/>
      <c r="B185" s="20"/>
      <c r="C185" s="11"/>
      <c r="D185" s="11"/>
      <c r="E185" s="7"/>
      <c r="F185" s="11"/>
      <c r="G185" s="11"/>
      <c r="I185" s="20"/>
      <c r="J185" s="20"/>
      <c r="K185" s="20"/>
      <c r="L185" s="20"/>
      <c r="M185" s="20"/>
      <c r="P185" s="20"/>
      <c r="Q185" s="20"/>
      <c r="R185" s="11"/>
      <c r="S185" s="11"/>
      <c r="T185" s="7"/>
      <c r="U185" s="11"/>
      <c r="V185" s="11"/>
    </row>
    <row r="186" spans="1:22">
      <c r="A186" s="20"/>
      <c r="B186" s="11"/>
      <c r="C186" s="11"/>
      <c r="D186" s="11"/>
      <c r="E186" s="11"/>
      <c r="F186" s="11"/>
      <c r="G186" s="11"/>
      <c r="I186" s="20"/>
      <c r="J186" s="20"/>
      <c r="K186" s="20"/>
      <c r="L186" s="20"/>
      <c r="M186" s="20"/>
      <c r="P186" s="20"/>
      <c r="Q186" s="11"/>
      <c r="R186" s="11"/>
      <c r="S186" s="11"/>
      <c r="T186" s="11"/>
      <c r="U186" s="11"/>
      <c r="V186" s="11"/>
    </row>
    <row r="187" spans="1:22">
      <c r="A187" s="20"/>
      <c r="B187" s="11"/>
      <c r="C187" s="11"/>
      <c r="D187" s="11"/>
      <c r="E187" s="11"/>
      <c r="F187" s="11"/>
      <c r="G187" s="11"/>
      <c r="I187" s="20"/>
      <c r="J187" s="20"/>
      <c r="K187" s="20"/>
      <c r="L187" s="20"/>
      <c r="M187" s="20"/>
      <c r="P187" s="20"/>
      <c r="Q187" s="11"/>
      <c r="R187" s="11"/>
      <c r="S187" s="11"/>
      <c r="T187" s="11"/>
      <c r="U187" s="11"/>
      <c r="V187" s="11"/>
    </row>
    <row r="188" spans="1:22">
      <c r="A188" s="20"/>
      <c r="B188" s="11"/>
      <c r="C188" s="11"/>
      <c r="D188" s="11"/>
      <c r="E188" s="11"/>
      <c r="F188" s="11"/>
      <c r="G188" s="11"/>
      <c r="I188" s="20"/>
      <c r="J188" s="20"/>
      <c r="K188" s="11"/>
      <c r="L188" s="11"/>
      <c r="M188" s="7"/>
      <c r="N188" s="11"/>
      <c r="O188" s="11"/>
      <c r="P188" s="20"/>
      <c r="Q188" s="11"/>
      <c r="R188" s="11"/>
      <c r="S188" s="11"/>
      <c r="T188" s="11"/>
      <c r="U188" s="11"/>
      <c r="V188" s="11"/>
    </row>
    <row r="189" spans="1:22">
      <c r="A189" s="20"/>
      <c r="B189" s="11"/>
      <c r="C189" s="11"/>
      <c r="D189" s="11"/>
      <c r="E189" s="11"/>
      <c r="F189" s="20"/>
      <c r="G189" s="11"/>
      <c r="J189" s="11"/>
      <c r="K189" s="11"/>
      <c r="L189" s="11"/>
      <c r="M189" s="11"/>
      <c r="N189" s="11"/>
      <c r="O189" s="11"/>
      <c r="P189" s="20"/>
      <c r="Q189" s="11"/>
      <c r="R189" s="11"/>
      <c r="S189" s="11"/>
      <c r="T189" s="11"/>
      <c r="U189" s="20"/>
      <c r="V189" s="11"/>
    </row>
    <row r="190" spans="1:22">
      <c r="A190" s="20"/>
      <c r="B190" s="11"/>
      <c r="C190" s="11"/>
      <c r="D190" s="11"/>
      <c r="E190" s="11"/>
      <c r="F190" s="20"/>
      <c r="G190" s="11"/>
      <c r="J190" s="11"/>
      <c r="K190" s="11"/>
      <c r="L190" s="11"/>
      <c r="M190" s="11"/>
      <c r="N190" s="11"/>
      <c r="O190" s="11"/>
      <c r="P190" s="20"/>
      <c r="Q190" s="11"/>
      <c r="R190" s="11"/>
      <c r="S190" s="11"/>
      <c r="T190" s="11"/>
      <c r="U190" s="20"/>
      <c r="V190" s="11"/>
    </row>
    <row r="191" spans="1:22">
      <c r="A191" s="20"/>
      <c r="B191" s="11"/>
      <c r="C191" s="11"/>
      <c r="D191" s="11"/>
      <c r="E191" s="11"/>
      <c r="F191" s="20"/>
      <c r="G191" s="11"/>
      <c r="J191" s="11"/>
      <c r="K191" s="11"/>
      <c r="L191" s="11"/>
      <c r="M191" s="11"/>
      <c r="N191" s="11"/>
      <c r="O191" s="11"/>
      <c r="P191" s="20"/>
      <c r="Q191" s="11"/>
      <c r="R191" s="11"/>
      <c r="S191" s="11"/>
      <c r="T191" s="11"/>
      <c r="U191" s="20"/>
      <c r="V191" s="11"/>
    </row>
    <row r="192" spans="10:15">
      <c r="J192" s="11"/>
      <c r="K192" s="11"/>
      <c r="L192" s="11"/>
      <c r="M192" s="11"/>
      <c r="N192" s="20"/>
      <c r="O192" s="11"/>
    </row>
    <row r="193" spans="10:15">
      <c r="J193" s="11"/>
      <c r="K193" s="11"/>
      <c r="L193" s="11"/>
      <c r="M193" s="11"/>
      <c r="N193" s="20"/>
      <c r="O193" s="11"/>
    </row>
    <row r="194" spans="10:15">
      <c r="J194" s="11"/>
      <c r="K194" s="11"/>
      <c r="L194" s="11"/>
      <c r="M194" s="11"/>
      <c r="N194" s="20"/>
      <c r="O194" s="11"/>
    </row>
    <row r="206" spans="1:2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</row>
    <row r="207" spans="1:2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</row>
    <row r="208" spans="1:2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</row>
    <row r="209" spans="1:2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</row>
    <row r="210" spans="1:2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</row>
    <row r="211" spans="1:2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</row>
    <row r="212" spans="1:2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</row>
    <row r="213" spans="1:2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</row>
    <row r="214" spans="1:2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</row>
    <row r="215" spans="1:2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</row>
    <row r="216" spans="1:2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</row>
    <row r="217" spans="1:21">
      <c r="A217" s="20"/>
      <c r="B217" s="20"/>
      <c r="C217" s="20"/>
      <c r="D217" s="20"/>
      <c r="E217" s="20"/>
      <c r="F217" s="7"/>
      <c r="G217" s="7"/>
      <c r="H217" s="20"/>
      <c r="I217" s="20"/>
      <c r="J217" s="20"/>
      <c r="K217" s="20"/>
      <c r="L217" s="20"/>
      <c r="M217" s="7"/>
      <c r="N217" s="7"/>
      <c r="O217" s="20"/>
      <c r="P217" s="20"/>
      <c r="Q217" s="20"/>
      <c r="R217" s="20"/>
      <c r="S217" s="20"/>
      <c r="T217" s="7"/>
      <c r="U217" s="7"/>
    </row>
    <row r="218" spans="1:21">
      <c r="A218" s="20"/>
      <c r="B218" s="20"/>
      <c r="C218" s="20"/>
      <c r="D218" s="20"/>
      <c r="E218" s="20"/>
      <c r="F218" s="7"/>
      <c r="G218" s="7"/>
      <c r="H218" s="20"/>
      <c r="I218" s="20"/>
      <c r="J218" s="20"/>
      <c r="K218" s="20"/>
      <c r="L218" s="20"/>
      <c r="M218" s="7"/>
      <c r="N218" s="7"/>
      <c r="O218" s="20"/>
      <c r="P218" s="20"/>
      <c r="Q218" s="20"/>
      <c r="R218" s="20"/>
      <c r="S218" s="20"/>
      <c r="T218" s="7"/>
      <c r="U218" s="7"/>
    </row>
    <row r="219" spans="1:21">
      <c r="A219" s="20"/>
      <c r="B219" s="7"/>
      <c r="C219" s="11"/>
      <c r="D219" s="11"/>
      <c r="E219" s="7"/>
      <c r="F219" s="11"/>
      <c r="G219" s="20"/>
      <c r="H219" s="20"/>
      <c r="I219" s="7"/>
      <c r="J219" s="11"/>
      <c r="K219" s="11"/>
      <c r="L219" s="7"/>
      <c r="M219" s="11"/>
      <c r="N219" s="20"/>
      <c r="O219" s="20"/>
      <c r="P219" s="7"/>
      <c r="Q219" s="11"/>
      <c r="R219" s="11"/>
      <c r="S219" s="7"/>
      <c r="T219" s="11"/>
      <c r="U219" s="20"/>
    </row>
    <row r="220" spans="1:21">
      <c r="A220" s="20"/>
      <c r="B220" s="11"/>
      <c r="C220" s="11"/>
      <c r="D220" s="11"/>
      <c r="E220" s="11"/>
      <c r="F220" s="20"/>
      <c r="G220" s="20"/>
      <c r="H220" s="20"/>
      <c r="I220" s="11"/>
      <c r="J220" s="11"/>
      <c r="K220" s="11"/>
      <c r="L220" s="11"/>
      <c r="M220" s="20"/>
      <c r="N220" s="20"/>
      <c r="O220" s="20"/>
      <c r="P220" s="11"/>
      <c r="Q220" s="11"/>
      <c r="R220" s="11"/>
      <c r="S220" s="11"/>
      <c r="T220" s="20"/>
      <c r="U220" s="20"/>
    </row>
    <row r="221" spans="1:21">
      <c r="A221" s="20"/>
      <c r="B221" s="11"/>
      <c r="C221" s="11"/>
      <c r="D221" s="11"/>
      <c r="E221" s="11"/>
      <c r="F221" s="11"/>
      <c r="G221" s="11"/>
      <c r="H221" s="20"/>
      <c r="I221" s="11"/>
      <c r="J221" s="11"/>
      <c r="K221" s="11"/>
      <c r="L221" s="11"/>
      <c r="M221" s="11"/>
      <c r="N221" s="11"/>
      <c r="O221" s="20"/>
      <c r="P221" s="11"/>
      <c r="Q221" s="11"/>
      <c r="R221" s="11"/>
      <c r="S221" s="11"/>
      <c r="T221" s="11"/>
      <c r="U221" s="11"/>
    </row>
    <row r="222" spans="1:21">
      <c r="A222" s="20"/>
      <c r="B222" s="11"/>
      <c r="C222" s="11"/>
      <c r="D222" s="11"/>
      <c r="E222" s="11"/>
      <c r="F222" s="11"/>
      <c r="G222" s="11"/>
      <c r="H222" s="20"/>
      <c r="I222" s="11"/>
      <c r="J222" s="11"/>
      <c r="K222" s="11"/>
      <c r="L222" s="11"/>
      <c r="M222" s="11"/>
      <c r="N222" s="11"/>
      <c r="O222" s="20"/>
      <c r="P222" s="11"/>
      <c r="Q222" s="11"/>
      <c r="R222" s="11"/>
      <c r="S222" s="11"/>
      <c r="T222" s="11"/>
      <c r="U222" s="11"/>
    </row>
    <row r="223" spans="1:21">
      <c r="A223" s="20"/>
      <c r="B223" s="11"/>
      <c r="C223" s="11"/>
      <c r="D223" s="11"/>
      <c r="E223" s="11"/>
      <c r="F223" s="20"/>
      <c r="G223" s="11"/>
      <c r="H223" s="20"/>
      <c r="I223" s="11"/>
      <c r="J223" s="11"/>
      <c r="K223" s="11"/>
      <c r="L223" s="11"/>
      <c r="M223" s="20"/>
      <c r="N223" s="11"/>
      <c r="O223" s="20"/>
      <c r="P223" s="11"/>
      <c r="Q223" s="11"/>
      <c r="R223" s="11"/>
      <c r="S223" s="11"/>
      <c r="T223" s="20"/>
      <c r="U223" s="11"/>
    </row>
    <row r="224" spans="1:21">
      <c r="A224" s="11"/>
      <c r="B224" s="11"/>
      <c r="C224" s="11"/>
      <c r="D224" s="11"/>
      <c r="E224" s="11"/>
      <c r="F224" s="20"/>
      <c r="G224" s="11"/>
      <c r="H224" s="11"/>
      <c r="I224" s="11"/>
      <c r="J224" s="11"/>
      <c r="K224" s="11"/>
      <c r="L224" s="11"/>
      <c r="M224" s="20"/>
      <c r="N224" s="11"/>
      <c r="O224" s="11"/>
      <c r="P224" s="11"/>
      <c r="Q224" s="11"/>
      <c r="R224" s="11"/>
      <c r="S224" s="11"/>
      <c r="T224" s="20"/>
      <c r="U224" s="11"/>
    </row>
    <row r="225" spans="1:21">
      <c r="A225" s="11"/>
      <c r="B225" s="11"/>
      <c r="C225" s="11"/>
      <c r="D225" s="11"/>
      <c r="E225" s="11"/>
      <c r="F225" s="20"/>
      <c r="G225" s="11"/>
      <c r="H225" s="11"/>
      <c r="I225" s="11"/>
      <c r="J225" s="11"/>
      <c r="K225" s="11"/>
      <c r="L225" s="11"/>
      <c r="M225" s="20"/>
      <c r="N225" s="11"/>
      <c r="O225" s="11"/>
      <c r="P225" s="11"/>
      <c r="Q225" s="11"/>
      <c r="R225" s="11"/>
      <c r="S225" s="11"/>
      <c r="T225" s="20"/>
      <c r="U225" s="11"/>
    </row>
    <row r="226" spans="8:8">
      <c r="H226" s="7"/>
    </row>
    <row r="227" spans="1:2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</row>
    <row r="228" spans="1:2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</row>
    <row r="229" spans="1:2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</row>
    <row r="230" spans="1:2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</row>
    <row r="231" spans="1:2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</row>
    <row r="232" spans="1:2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</row>
    <row r="233" spans="1:2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</row>
    <row r="234" spans="1:2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</row>
    <row r="235" spans="1:2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</row>
    <row r="236" spans="1:2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</row>
    <row r="237" spans="1:2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</row>
    <row r="238" spans="1:21">
      <c r="A238" s="20"/>
      <c r="B238" s="20"/>
      <c r="C238" s="20"/>
      <c r="D238" s="20"/>
      <c r="E238" s="20"/>
      <c r="F238" s="7"/>
      <c r="G238" s="7"/>
      <c r="H238" s="20"/>
      <c r="I238" s="20"/>
      <c r="J238" s="20"/>
      <c r="K238" s="20"/>
      <c r="L238" s="20"/>
      <c r="M238" s="7"/>
      <c r="N238" s="7"/>
      <c r="O238" s="20"/>
      <c r="P238" s="20"/>
      <c r="Q238" s="20"/>
      <c r="R238" s="20"/>
      <c r="S238" s="20"/>
      <c r="T238" s="7"/>
      <c r="U238" s="7"/>
    </row>
    <row r="239" spans="1:21">
      <c r="A239" s="20"/>
      <c r="B239" s="20"/>
      <c r="C239" s="20"/>
      <c r="D239" s="20"/>
      <c r="E239" s="20"/>
      <c r="F239" s="7"/>
      <c r="G239" s="7"/>
      <c r="H239" s="20"/>
      <c r="I239" s="20"/>
      <c r="J239" s="20"/>
      <c r="K239" s="20"/>
      <c r="L239" s="20"/>
      <c r="M239" s="7"/>
      <c r="N239" s="7"/>
      <c r="O239" s="20"/>
      <c r="P239" s="20"/>
      <c r="Q239" s="20"/>
      <c r="R239" s="20"/>
      <c r="S239" s="20"/>
      <c r="T239" s="7"/>
      <c r="U239" s="7"/>
    </row>
    <row r="240" spans="1:21">
      <c r="A240" s="20"/>
      <c r="B240" s="7"/>
      <c r="C240" s="11"/>
      <c r="D240" s="11"/>
      <c r="E240" s="7"/>
      <c r="F240" s="11"/>
      <c r="G240" s="20"/>
      <c r="H240" s="20"/>
      <c r="I240" s="7"/>
      <c r="J240" s="11"/>
      <c r="K240" s="11"/>
      <c r="L240" s="7"/>
      <c r="M240" s="11"/>
      <c r="N240" s="20"/>
      <c r="O240" s="20"/>
      <c r="P240" s="7"/>
      <c r="Q240" s="11"/>
      <c r="R240" s="11"/>
      <c r="S240" s="7"/>
      <c r="T240" s="11"/>
      <c r="U240" s="20"/>
    </row>
    <row r="241" spans="1:21">
      <c r="A241" s="20"/>
      <c r="B241" s="11"/>
      <c r="C241" s="11"/>
      <c r="D241" s="11"/>
      <c r="E241" s="11"/>
      <c r="F241" s="20"/>
      <c r="G241" s="20"/>
      <c r="H241" s="20"/>
      <c r="I241" s="11"/>
      <c r="J241" s="11"/>
      <c r="K241" s="11"/>
      <c r="L241" s="11"/>
      <c r="M241" s="20"/>
      <c r="N241" s="20"/>
      <c r="O241" s="20"/>
      <c r="P241" s="11"/>
      <c r="Q241" s="11"/>
      <c r="R241" s="11"/>
      <c r="S241" s="11"/>
      <c r="T241" s="20"/>
      <c r="U241" s="20"/>
    </row>
    <row r="242" spans="1:21">
      <c r="A242" s="20"/>
      <c r="B242" s="11"/>
      <c r="C242" s="11"/>
      <c r="D242" s="11"/>
      <c r="E242" s="11"/>
      <c r="F242" s="11"/>
      <c r="G242" s="11"/>
      <c r="H242" s="20"/>
      <c r="I242" s="11"/>
      <c r="J242" s="11"/>
      <c r="K242" s="11"/>
      <c r="L242" s="11"/>
      <c r="M242" s="11"/>
      <c r="N242" s="11"/>
      <c r="O242" s="20"/>
      <c r="P242" s="11"/>
      <c r="Q242" s="11"/>
      <c r="R242" s="11"/>
      <c r="S242" s="11"/>
      <c r="T242" s="11"/>
      <c r="U242" s="11"/>
    </row>
    <row r="243" spans="1:21">
      <c r="A243" s="20"/>
      <c r="B243" s="11"/>
      <c r="C243" s="11"/>
      <c r="D243" s="11"/>
      <c r="E243" s="11"/>
      <c r="F243" s="11"/>
      <c r="G243" s="11"/>
      <c r="H243" s="20"/>
      <c r="I243" s="11"/>
      <c r="J243" s="11"/>
      <c r="K243" s="11"/>
      <c r="L243" s="11"/>
      <c r="M243" s="11"/>
      <c r="N243" s="11"/>
      <c r="O243" s="20"/>
      <c r="P243" s="11"/>
      <c r="Q243" s="11"/>
      <c r="R243" s="11"/>
      <c r="S243" s="11"/>
      <c r="T243" s="11"/>
      <c r="U243" s="11"/>
    </row>
    <row r="244" spans="1:21">
      <c r="A244" s="20"/>
      <c r="B244" s="11"/>
      <c r="C244" s="11"/>
      <c r="D244" s="11"/>
      <c r="E244" s="11"/>
      <c r="F244" s="20"/>
      <c r="G244" s="11"/>
      <c r="H244" s="20"/>
      <c r="I244" s="11"/>
      <c r="J244" s="11"/>
      <c r="K244" s="11"/>
      <c r="L244" s="11"/>
      <c r="M244" s="20"/>
      <c r="N244" s="11"/>
      <c r="O244" s="20"/>
      <c r="P244" s="11"/>
      <c r="Q244" s="11"/>
      <c r="R244" s="11"/>
      <c r="S244" s="11"/>
      <c r="T244" s="20"/>
      <c r="U244" s="11"/>
    </row>
    <row r="245" spans="1:21">
      <c r="A245" s="11"/>
      <c r="B245" s="11"/>
      <c r="C245" s="11"/>
      <c r="D245" s="11"/>
      <c r="E245" s="11"/>
      <c r="F245" s="20"/>
      <c r="G245" s="11"/>
      <c r="H245" s="11"/>
      <c r="I245" s="11"/>
      <c r="J245" s="11"/>
      <c r="K245" s="11"/>
      <c r="L245" s="11"/>
      <c r="M245" s="20"/>
      <c r="N245" s="11"/>
      <c r="O245" s="11"/>
      <c r="P245" s="11"/>
      <c r="Q245" s="11"/>
      <c r="R245" s="11"/>
      <c r="S245" s="11"/>
      <c r="T245" s="20"/>
      <c r="U245" s="11"/>
    </row>
    <row r="246" spans="1:21">
      <c r="A246" s="11"/>
      <c r="B246" s="11"/>
      <c r="C246" s="11"/>
      <c r="D246" s="11"/>
      <c r="E246" s="11"/>
      <c r="F246" s="20"/>
      <c r="G246" s="11"/>
      <c r="H246" s="11"/>
      <c r="I246" s="11"/>
      <c r="J246" s="11"/>
      <c r="K246" s="11"/>
      <c r="L246" s="11"/>
      <c r="M246" s="20"/>
      <c r="N246" s="11"/>
      <c r="O246" s="11"/>
      <c r="P246" s="11"/>
      <c r="Q246" s="11"/>
      <c r="R246" s="11"/>
      <c r="S246" s="11"/>
      <c r="T246" s="20"/>
      <c r="U246" s="11"/>
    </row>
    <row r="248" spans="1:1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P248" s="36"/>
    </row>
    <row r="249" spans="1:1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P249" s="36"/>
    </row>
    <row r="250" spans="1:1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P250" s="36"/>
    </row>
    <row r="251" spans="1:1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P251" s="36"/>
    </row>
    <row r="252" spans="1:1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P252" s="36"/>
    </row>
    <row r="253" spans="1:1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P253" s="36"/>
    </row>
    <row r="254" spans="1:1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spans="1:14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</row>
    <row r="256" spans="1:14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</row>
    <row r="257" spans="1:14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</row>
    <row r="258" spans="1:14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</row>
    <row r="259" spans="1:14">
      <c r="A259" s="20"/>
      <c r="B259" s="20"/>
      <c r="C259" s="20"/>
      <c r="D259" s="20"/>
      <c r="E259" s="20"/>
      <c r="F259" s="7"/>
      <c r="G259" s="7"/>
      <c r="H259" s="20"/>
      <c r="I259" s="20"/>
      <c r="J259" s="20"/>
      <c r="K259" s="20"/>
      <c r="L259" s="20"/>
      <c r="M259" s="7"/>
      <c r="N259" s="7"/>
    </row>
    <row r="260" spans="2:14">
      <c r="B260" s="20"/>
      <c r="C260" s="20"/>
      <c r="D260" s="20"/>
      <c r="E260" s="20"/>
      <c r="F260" s="7"/>
      <c r="G260" s="7"/>
      <c r="I260" s="20"/>
      <c r="J260" s="20"/>
      <c r="K260" s="20"/>
      <c r="L260" s="20"/>
      <c r="M260" s="7"/>
      <c r="N260" s="7"/>
    </row>
    <row r="261" spans="1:12">
      <c r="A261" s="20"/>
      <c r="B261" s="20"/>
      <c r="C261" s="20"/>
      <c r="D261" s="20"/>
      <c r="E261" s="20"/>
      <c r="H261" s="20"/>
      <c r="I261" s="20"/>
      <c r="J261" s="20"/>
      <c r="K261" s="20"/>
      <c r="L261" s="20"/>
    </row>
    <row r="262" spans="1:8">
      <c r="A262" s="20"/>
      <c r="H262" s="20"/>
    </row>
    <row r="263" spans="1:14">
      <c r="A263" s="20"/>
      <c r="B263" s="7"/>
      <c r="C263" s="11"/>
      <c r="D263" s="11"/>
      <c r="E263" s="7"/>
      <c r="F263" s="11"/>
      <c r="G263" s="20"/>
      <c r="H263" s="20"/>
      <c r="I263" s="7"/>
      <c r="J263" s="11"/>
      <c r="K263" s="11"/>
      <c r="L263" s="7"/>
      <c r="M263" s="11"/>
      <c r="N263" s="20"/>
    </row>
    <row r="264" spans="1:14">
      <c r="A264" s="20"/>
      <c r="B264" s="11"/>
      <c r="C264" s="11"/>
      <c r="D264" s="11"/>
      <c r="E264" s="11"/>
      <c r="F264" s="20"/>
      <c r="G264" s="20"/>
      <c r="H264" s="20"/>
      <c r="I264" s="11"/>
      <c r="J264" s="11"/>
      <c r="K264" s="11"/>
      <c r="L264" s="11"/>
      <c r="M264" s="20"/>
      <c r="N264" s="20"/>
    </row>
    <row r="265" spans="1:14">
      <c r="A265" s="20"/>
      <c r="B265" s="11"/>
      <c r="C265" s="11"/>
      <c r="D265" s="11"/>
      <c r="E265" s="11"/>
      <c r="F265" s="11"/>
      <c r="G265" s="11"/>
      <c r="H265" s="20"/>
      <c r="I265" s="11"/>
      <c r="J265" s="11"/>
      <c r="K265" s="11"/>
      <c r="L265" s="11"/>
      <c r="M265" s="11"/>
      <c r="N265" s="11"/>
    </row>
    <row r="266" spans="1: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>
      <c r="A267" s="11"/>
      <c r="B267" s="11"/>
      <c r="C267" s="11"/>
      <c r="D267" s="11"/>
      <c r="E267" s="11"/>
      <c r="F267" s="20"/>
      <c r="G267" s="11"/>
      <c r="H267" s="11"/>
      <c r="I267" s="11"/>
      <c r="J267" s="11"/>
      <c r="K267" s="11"/>
      <c r="L267" s="11"/>
      <c r="M267" s="20"/>
      <c r="N267" s="11"/>
    </row>
    <row r="268" spans="2:14">
      <c r="B268" s="11"/>
      <c r="C268" s="11"/>
      <c r="D268" s="11"/>
      <c r="E268" s="11"/>
      <c r="F268" s="20"/>
      <c r="G268" s="11"/>
      <c r="I268" s="11"/>
      <c r="J268" s="11"/>
      <c r="K268" s="11"/>
      <c r="L268" s="11"/>
      <c r="M268" s="20"/>
      <c r="N268" s="11"/>
    </row>
    <row r="269" spans="2:14">
      <c r="B269" s="11"/>
      <c r="C269" s="11"/>
      <c r="D269" s="11"/>
      <c r="E269" s="11"/>
      <c r="F269" s="20"/>
      <c r="G269" s="11"/>
      <c r="I269" s="11"/>
      <c r="J269" s="11"/>
      <c r="K269" s="11"/>
      <c r="L269" s="11"/>
      <c r="M269" s="20"/>
      <c r="N269" s="11"/>
    </row>
    <row r="271" spans="1:2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</row>
    <row r="272" spans="1:2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</row>
    <row r="273" spans="1:2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</row>
    <row r="274" spans="1:2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</row>
    <row r="275" spans="1:2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</row>
    <row r="276" spans="1:2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</row>
    <row r="277" spans="1:2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</row>
    <row r="278" spans="1:2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</row>
    <row r="279" spans="1:2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</row>
    <row r="280" spans="1:2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</row>
    <row r="281" spans="1:2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</row>
    <row r="282" spans="1:2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</row>
    <row r="283" spans="1:2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11"/>
      <c r="U283" s="7"/>
    </row>
    <row r="284" spans="1:21">
      <c r="A284" s="20"/>
      <c r="B284" s="20"/>
      <c r="C284" s="20"/>
      <c r="D284" s="20"/>
      <c r="E284" s="20"/>
      <c r="F284" s="11"/>
      <c r="G284" s="7"/>
      <c r="H284" s="20"/>
      <c r="I284" s="20"/>
      <c r="J284" s="20"/>
      <c r="K284" s="20"/>
      <c r="L284" s="20"/>
      <c r="M284" s="11"/>
      <c r="N284" s="7"/>
      <c r="O284" s="20"/>
      <c r="P284" s="20"/>
      <c r="Q284" s="20"/>
      <c r="R284" s="20"/>
      <c r="S284" s="20"/>
      <c r="T284" s="7"/>
      <c r="U284" s="11"/>
    </row>
    <row r="285" spans="1:21">
      <c r="A285" s="20"/>
      <c r="B285" s="20"/>
      <c r="C285" s="20"/>
      <c r="D285" s="20"/>
      <c r="E285" s="20"/>
      <c r="F285" s="7"/>
      <c r="G285" s="11"/>
      <c r="H285" s="20"/>
      <c r="I285" s="20"/>
      <c r="J285" s="20"/>
      <c r="K285" s="20"/>
      <c r="L285" s="20"/>
      <c r="M285" s="7"/>
      <c r="N285" s="11"/>
      <c r="O285" s="20"/>
      <c r="P285" s="20"/>
      <c r="Q285" s="20"/>
      <c r="R285" s="20"/>
      <c r="S285" s="20"/>
      <c r="T285" s="11"/>
      <c r="U285" s="11"/>
    </row>
    <row r="286" spans="1:21">
      <c r="A286" s="20"/>
      <c r="B286" s="20"/>
      <c r="C286" s="20"/>
      <c r="D286" s="20"/>
      <c r="E286" s="20"/>
      <c r="F286" s="11"/>
      <c r="G286" s="11"/>
      <c r="H286" s="20"/>
      <c r="I286" s="20"/>
      <c r="J286" s="20"/>
      <c r="K286" s="20"/>
      <c r="L286" s="20"/>
      <c r="M286" s="11"/>
      <c r="N286" s="11"/>
      <c r="O286" s="20"/>
      <c r="P286" s="7"/>
      <c r="Q286" s="11"/>
      <c r="R286" s="11"/>
      <c r="S286" s="7"/>
      <c r="T286" s="11"/>
      <c r="U286" s="11"/>
    </row>
    <row r="287" spans="1:21">
      <c r="A287" s="20"/>
      <c r="B287" s="20"/>
      <c r="C287" s="20"/>
      <c r="D287" s="20"/>
      <c r="E287" s="20"/>
      <c r="H287" s="20"/>
      <c r="I287" s="20"/>
      <c r="J287" s="20"/>
      <c r="K287" s="20"/>
      <c r="L287" s="20"/>
      <c r="O287" s="20"/>
      <c r="P287" s="11"/>
      <c r="Q287" s="11"/>
      <c r="R287" s="11"/>
      <c r="S287" s="11"/>
      <c r="U287" s="11"/>
    </row>
    <row r="288" spans="1:21">
      <c r="A288" s="20"/>
      <c r="B288" s="7"/>
      <c r="C288" s="11"/>
      <c r="D288" s="11"/>
      <c r="E288" s="7"/>
      <c r="F288" s="11"/>
      <c r="G288" s="11"/>
      <c r="H288" s="20"/>
      <c r="I288" s="7"/>
      <c r="J288" s="11"/>
      <c r="K288" s="11"/>
      <c r="L288" s="7"/>
      <c r="M288" s="11"/>
      <c r="N288" s="11"/>
      <c r="O288" s="20"/>
      <c r="P288" s="11"/>
      <c r="Q288" s="11"/>
      <c r="R288" s="11"/>
      <c r="S288" s="11"/>
      <c r="T288" s="11"/>
      <c r="U288" s="11"/>
    </row>
    <row r="289" spans="1:21">
      <c r="A289" s="20"/>
      <c r="B289" s="11"/>
      <c r="C289" s="11"/>
      <c r="D289" s="11"/>
      <c r="E289" s="11"/>
      <c r="G289" s="11"/>
      <c r="H289" s="20"/>
      <c r="I289" s="11"/>
      <c r="J289" s="11"/>
      <c r="K289" s="11"/>
      <c r="L289" s="11"/>
      <c r="N289" s="11"/>
      <c r="O289" s="20"/>
      <c r="P289" s="11"/>
      <c r="Q289" s="11"/>
      <c r="R289" s="11"/>
      <c r="S289" s="11"/>
      <c r="T289" s="11"/>
      <c r="U289" s="11"/>
    </row>
    <row r="290" spans="1:21">
      <c r="A290" s="20"/>
      <c r="B290" s="11"/>
      <c r="C290" s="11"/>
      <c r="D290" s="11"/>
      <c r="E290" s="11"/>
      <c r="F290" s="11"/>
      <c r="G290" s="11"/>
      <c r="H290" s="20"/>
      <c r="I290" s="11"/>
      <c r="J290" s="11"/>
      <c r="K290" s="11"/>
      <c r="L290" s="11"/>
      <c r="M290" s="11"/>
      <c r="N290" s="11"/>
      <c r="O290" s="20"/>
      <c r="P290" s="11"/>
      <c r="Q290" s="11"/>
      <c r="R290" s="11"/>
      <c r="S290" s="11"/>
      <c r="T290" s="20"/>
      <c r="U290" s="11"/>
    </row>
    <row r="291" spans="1:21">
      <c r="A291" s="20"/>
      <c r="B291" s="11"/>
      <c r="C291" s="11"/>
      <c r="D291" s="11"/>
      <c r="E291" s="11"/>
      <c r="F291" s="11"/>
      <c r="G291" s="11"/>
      <c r="H291" s="20"/>
      <c r="I291" s="11"/>
      <c r="J291" s="11"/>
      <c r="K291" s="11"/>
      <c r="L291" s="11"/>
      <c r="M291" s="11"/>
      <c r="N291" s="11"/>
      <c r="O291" s="20"/>
      <c r="P291" s="11"/>
      <c r="Q291" s="11"/>
      <c r="R291" s="11"/>
      <c r="S291" s="11"/>
      <c r="T291" s="20"/>
      <c r="U291" s="11"/>
    </row>
    <row r="292" spans="1:21">
      <c r="A292" s="20"/>
      <c r="B292" s="11"/>
      <c r="C292" s="11"/>
      <c r="D292" s="11"/>
      <c r="E292" s="11"/>
      <c r="F292" s="20"/>
      <c r="G292" s="11"/>
      <c r="H292" s="20"/>
      <c r="I292" s="11"/>
      <c r="J292" s="11"/>
      <c r="K292" s="11"/>
      <c r="L292" s="11"/>
      <c r="M292" s="20"/>
      <c r="N292" s="11"/>
      <c r="O292" s="20"/>
      <c r="P292" s="11"/>
      <c r="Q292" s="11"/>
      <c r="R292" s="11"/>
      <c r="S292" s="11"/>
      <c r="T292" s="20"/>
      <c r="U292" s="11"/>
    </row>
    <row r="293" spans="1:14">
      <c r="A293" s="20"/>
      <c r="B293" s="11"/>
      <c r="C293" s="11"/>
      <c r="D293" s="11"/>
      <c r="E293" s="11"/>
      <c r="F293" s="20"/>
      <c r="G293" s="11"/>
      <c r="H293" s="20"/>
      <c r="I293" s="11"/>
      <c r="J293" s="11"/>
      <c r="K293" s="11"/>
      <c r="L293" s="11"/>
      <c r="M293" s="20"/>
      <c r="N293" s="11"/>
    </row>
    <row r="294" spans="1:14">
      <c r="A294" s="20"/>
      <c r="B294" s="11"/>
      <c r="C294" s="11"/>
      <c r="D294" s="11"/>
      <c r="E294" s="11"/>
      <c r="F294" s="20"/>
      <c r="G294" s="11"/>
      <c r="H294" s="20"/>
      <c r="I294" s="11"/>
      <c r="J294" s="11"/>
      <c r="K294" s="11"/>
      <c r="L294" s="11"/>
      <c r="M294" s="20"/>
      <c r="N294" s="11"/>
    </row>
  </sheetData>
  <mergeCells count="2">
    <mergeCell ref="I24:L24"/>
    <mergeCell ref="T35:U35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4"/>
  <sheetViews>
    <sheetView topLeftCell="A31" workbookViewId="0">
      <selection activeCell="V61" sqref="V61"/>
    </sheetView>
  </sheetViews>
  <sheetFormatPr defaultColWidth="7.625" defaultRowHeight="15"/>
  <cols>
    <col min="1" max="21" width="8.625" style="17" customWidth="1"/>
    <col min="22" max="22" width="8.625" style="30" customWidth="1"/>
    <col min="23" max="23" width="8.625" style="36" customWidth="1"/>
    <col min="24" max="28" width="8.625" style="17" customWidth="1"/>
    <col min="29" max="29" width="7.625" style="17"/>
    <col min="30" max="16384" width="7.625" style="14"/>
  </cols>
  <sheetData>
    <row r="1" customHeight="1" spans="1:26">
      <c r="A1" s="11" t="str">
        <f>木桩!A1</f>
        <v>技能</v>
      </c>
      <c r="B1" s="11" t="str">
        <f>木桩!B1</f>
        <v>怒气</v>
      </c>
      <c r="C1" s="11" t="str">
        <f>木桩!C1</f>
        <v>实际系数</v>
      </c>
      <c r="D1" s="11" t="str">
        <f>木桩!D1</f>
        <v>基础伤害</v>
      </c>
      <c r="E1" s="11" t="str">
        <f>木桩!E1</f>
        <v>武伤系数</v>
      </c>
      <c r="F1" s="11" t="str">
        <f>木桩!F1</f>
        <v>伤害加成</v>
      </c>
      <c r="G1" s="11" t="str">
        <f>木桩!G1</f>
        <v>会心加成</v>
      </c>
      <c r="H1" s="11" t="str">
        <f>木桩!H1</f>
        <v>会效加成</v>
      </c>
      <c r="I1" s="11" t="s">
        <v>278</v>
      </c>
      <c r="J1" s="11" t="s">
        <v>26</v>
      </c>
      <c r="K1" s="11" t="s">
        <v>279</v>
      </c>
      <c r="L1" s="11" t="s">
        <v>36</v>
      </c>
      <c r="M1" s="11" t="s">
        <v>205</v>
      </c>
      <c r="N1" s="11" t="s">
        <v>15</v>
      </c>
      <c r="O1" s="11" t="s">
        <v>16</v>
      </c>
      <c r="P1" s="7" t="s">
        <v>280</v>
      </c>
      <c r="Q1" s="11" t="s">
        <v>75</v>
      </c>
      <c r="R1" s="11" t="s">
        <v>212</v>
      </c>
      <c r="S1" s="11" t="s">
        <v>213</v>
      </c>
      <c r="T1" s="20" t="s">
        <v>281</v>
      </c>
      <c r="U1" s="37" t="str">
        <f t="shared" ref="U1:V17" si="0">Y1</f>
        <v>实战属性</v>
      </c>
      <c r="V1" s="20"/>
      <c r="W1" s="41" t="str">
        <f>属性!H5</f>
        <v>裸buff属性</v>
      </c>
      <c r="X1" s="46"/>
      <c r="Y1" s="41" t="s">
        <v>197</v>
      </c>
      <c r="Z1" s="46"/>
    </row>
    <row r="2" customHeight="1" spans="1:27">
      <c r="A2" s="12" t="str">
        <f>木桩!A2</f>
        <v>昆吾·弦刃</v>
      </c>
      <c r="B2" s="11">
        <f>木桩!B2</f>
        <v>0</v>
      </c>
      <c r="C2" s="11">
        <f>木桩!C2</f>
        <v>0.854</v>
      </c>
      <c r="D2" s="11">
        <f>木桩!D2</f>
        <v>0</v>
      </c>
      <c r="E2" s="13">
        <f>木桩!E2</f>
        <v>0</v>
      </c>
      <c r="F2" s="13">
        <f ca="1">木桩!F2+Q$23</f>
        <v>0.0101333333333333</v>
      </c>
      <c r="G2" s="13">
        <f>木桩!G2</f>
        <v>0</v>
      </c>
      <c r="H2" s="13">
        <f>木桩!H2</f>
        <v>0</v>
      </c>
      <c r="I2" s="21">
        <f ca="1">(N:N*C:C+D:D+E:E*Q:Q)*(1+F:F)*(K:K*(L:L+H:H-1)+1-R:R-0.75*S:S)*(1+M:M)*INDEX($O$25:$O$29,MATCH($Q$27,$M$25:$M$29,))</f>
        <v>41934.6486707324</v>
      </c>
      <c r="J2" s="13">
        <f ca="1" t="shared" ref="J2:J18" si="1">INDEX(V:V,MATCH($1:$1,$U:$U,))+$G:$G</f>
        <v>0.433671717000561</v>
      </c>
      <c r="K2" s="15">
        <f ca="1" t="shared" ref="K2:K8" si="2">J:J+(0.211855500496661*J:J^6-0.937563819411654*J:J^5+1.77483619127542*J:J^4-1.89647323402313*J:J^3+1.2737744963305*J:J^2-0.565275505039552*J:J+0.164596522595162)*$D$28</f>
        <v>0.487811006623894</v>
      </c>
      <c r="L2" s="13">
        <f ca="1">INDEX(V2:V17,MATCH(1:1,U2:U17,))</f>
        <v>1.9433</v>
      </c>
      <c r="M2" s="13">
        <f ca="1">INDEX(V2:V17,MATCH(1:1,U2:U17,))</f>
        <v>0.902992590034019</v>
      </c>
      <c r="N2" s="21">
        <f ca="1">INDEX(V2:V17,MATCH(1:1,U2:U17,))+O:O*P:P</f>
        <v>17965.8209384615</v>
      </c>
      <c r="O2" s="21">
        <f ca="1">INDEX(V2:V17,MATCH(1:1,U2:U17,))</f>
        <v>7522.72307692308</v>
      </c>
      <c r="P2" s="40">
        <f t="shared" ref="P2:P8" si="3">60%+D$32*0.2*6/25+60%*(25+6*D$32)*(1+H$28)/H$27</f>
        <v>0.772</v>
      </c>
      <c r="Q2" s="21">
        <f ca="1">INDEX(V2:V17,MATCH(1:1,U2:U17,))</f>
        <v>751</v>
      </c>
      <c r="R2" s="13">
        <f ca="1">INDEX(V2:V17,MATCH(1:1,U2:U17,))</f>
        <v>0</v>
      </c>
      <c r="S2" s="13">
        <f ca="1">INDEX(V2:V17,MATCH(1:1,U2:U17,))</f>
        <v>0</v>
      </c>
      <c r="T2" s="20">
        <f>实战!T2</f>
        <v>45</v>
      </c>
      <c r="U2" s="20" t="str">
        <f t="shared" si="0"/>
        <v>身法</v>
      </c>
      <c r="V2" s="20">
        <f ca="1" t="shared" si="0"/>
        <v>1970.1</v>
      </c>
      <c r="W2" s="17" t="str">
        <f>属性!H6</f>
        <v>身法</v>
      </c>
      <c r="X2" s="17">
        <f>属性!I6</f>
        <v>1749</v>
      </c>
      <c r="Y2" s="17" t="s">
        <v>6</v>
      </c>
      <c r="Z2" s="17">
        <f ca="1">Z3*(1+G23)</f>
        <v>1970.1</v>
      </c>
      <c r="AA2" s="23"/>
    </row>
    <row r="3" customHeight="1" spans="1:27">
      <c r="A3" s="12" t="str">
        <f>木桩!A3</f>
        <v>昆吾·折锋</v>
      </c>
      <c r="B3" s="11">
        <f>木桩!B3</f>
        <v>0</v>
      </c>
      <c r="C3" s="14">
        <f>木桩!C3</f>
        <v>0.338</v>
      </c>
      <c r="D3" s="11">
        <f>木桩!D3</f>
        <v>0</v>
      </c>
      <c r="E3" s="13">
        <f>木桩!E3</f>
        <v>0</v>
      </c>
      <c r="F3" s="13">
        <f ca="1">木桩!F3+Q$23</f>
        <v>0.0101333333333333</v>
      </c>
      <c r="G3" s="13">
        <f>木桩!G3</f>
        <v>0</v>
      </c>
      <c r="H3" s="13">
        <f>木桩!H3</f>
        <v>0</v>
      </c>
      <c r="I3" s="21">
        <f ca="1" t="shared" ref="I3:I18" si="4">(N:N*C:C+D:D+E:E*Q:Q)*(1+F:F)*(K:K*(L:L+H:H-1)+1-R:R-0.75*S:S)*(1+M:M)*INDEX($O$25:$O$29,MATCH($Q$27,$M$25:$M$29,))</f>
        <v>16597.0857736622</v>
      </c>
      <c r="J3" s="13">
        <f ca="1" t="shared" si="1"/>
        <v>0.433671717000561</v>
      </c>
      <c r="K3" s="15">
        <f ca="1" t="shared" si="2"/>
        <v>0.487811006623894</v>
      </c>
      <c r="L3" s="13">
        <f ca="1">INDEX(V2:V17,MATCH(1:1,U2:U17,))</f>
        <v>1.9433</v>
      </c>
      <c r="M3" s="13">
        <f ca="1">INDEX(V2:V17,MATCH(1:1,U2:U17,))</f>
        <v>0.902992590034019</v>
      </c>
      <c r="N3" s="21">
        <f ca="1">INDEX(V2:V17,MATCH(1:1,U2:U17,))+O:O*P:P</f>
        <v>17965.8209384615</v>
      </c>
      <c r="O3" s="21">
        <f ca="1">INDEX(V2:V17,MATCH(1:1,U2:U17,))</f>
        <v>7522.72307692308</v>
      </c>
      <c r="P3" s="40">
        <f t="shared" si="3"/>
        <v>0.772</v>
      </c>
      <c r="Q3" s="21">
        <f ca="1">INDEX(V2:V17,MATCH(1:1,U2:U17,))</f>
        <v>751</v>
      </c>
      <c r="R3" s="13">
        <f ca="1">INDEX(V2:V17,MATCH(1:1,U2:U17,))</f>
        <v>0</v>
      </c>
      <c r="S3" s="13">
        <f ca="1">INDEX(V2:V17,MATCH(1:1,U2:U17,))</f>
        <v>0</v>
      </c>
      <c r="T3" s="20">
        <f>实战!T3</f>
        <v>20</v>
      </c>
      <c r="U3" s="20" t="str">
        <f t="shared" si="0"/>
        <v>基础身法</v>
      </c>
      <c r="V3" s="20">
        <f ca="1" t="shared" si="0"/>
        <v>1791</v>
      </c>
      <c r="W3" s="17" t="str">
        <f>属性!H7</f>
        <v>基础身法</v>
      </c>
      <c r="X3" s="17">
        <f>属性!I7</f>
        <v>1590</v>
      </c>
      <c r="Y3" s="17" t="s">
        <v>201</v>
      </c>
      <c r="Z3" s="17">
        <f ca="1">X3+G21</f>
        <v>1791</v>
      </c>
      <c r="AA3" s="23"/>
    </row>
    <row r="4" customHeight="1" spans="1:27">
      <c r="A4" s="12" t="str">
        <f>木桩!A4</f>
        <v>盾刀1</v>
      </c>
      <c r="B4" s="11">
        <f>木桩!B4</f>
        <v>5</v>
      </c>
      <c r="C4" s="11">
        <f>木桩!C4</f>
        <v>0.656</v>
      </c>
      <c r="D4" s="11">
        <f>木桩!D4</f>
        <v>137.5</v>
      </c>
      <c r="E4" s="13">
        <f>木桩!E4</f>
        <v>1</v>
      </c>
      <c r="F4" s="13">
        <f ca="1">木桩!F4+Q$23</f>
        <v>0.130133333333333</v>
      </c>
      <c r="G4" s="13">
        <f>木桩!G4</f>
        <v>0</v>
      </c>
      <c r="H4" s="13">
        <f>木桩!H4</f>
        <v>0</v>
      </c>
      <c r="I4" s="21">
        <f ca="1" t="shared" si="4"/>
        <v>38755.6876687396</v>
      </c>
      <c r="J4" s="13">
        <f ca="1" t="shared" si="1"/>
        <v>0.433671717000561</v>
      </c>
      <c r="K4" s="15">
        <f ca="1" t="shared" si="2"/>
        <v>0.487811006623894</v>
      </c>
      <c r="L4" s="13">
        <f ca="1">INDEX(V2:V17,MATCH(1:1,U2:U17,))</f>
        <v>1.9433</v>
      </c>
      <c r="M4" s="13">
        <f ca="1">INDEX(V2:V17,MATCH(1:1,U2:U17,))</f>
        <v>0.902992590034019</v>
      </c>
      <c r="N4" s="21">
        <f ca="1">INDEX(V2:V17,MATCH(1:1,U2:U17,))+O:O*P:P</f>
        <v>17965.8209384615</v>
      </c>
      <c r="O4" s="21">
        <f ca="1">INDEX(V2:V17,MATCH(1:1,U2:U17,))</f>
        <v>7522.72307692308</v>
      </c>
      <c r="P4" s="40">
        <f t="shared" si="3"/>
        <v>0.772</v>
      </c>
      <c r="Q4" s="21">
        <f ca="1">INDEX(V2:V17,MATCH(1:1,U2:U17,))</f>
        <v>751</v>
      </c>
      <c r="R4" s="13">
        <f ca="1">INDEX(V2:V17,MATCH(1:1,U2:U17,))</f>
        <v>0</v>
      </c>
      <c r="S4" s="13">
        <f ca="1">INDEX(V2:V17,MATCH(1:1,U2:U17,))</f>
        <v>0</v>
      </c>
      <c r="T4" s="20">
        <f>1-Q25/16</f>
        <v>0.9375</v>
      </c>
      <c r="U4" s="20" t="str">
        <f t="shared" si="0"/>
        <v>力道</v>
      </c>
      <c r="V4" s="20">
        <f ca="1" t="shared" si="0"/>
        <v>84</v>
      </c>
      <c r="W4" s="17" t="str">
        <f>属性!H8</f>
        <v>力道</v>
      </c>
      <c r="X4" s="17">
        <f>属性!I8</f>
        <v>32</v>
      </c>
      <c r="Y4" s="17" t="s">
        <v>191</v>
      </c>
      <c r="Z4" s="17">
        <f ca="1">(X4+H21)*(1+H23)</f>
        <v>84</v>
      </c>
      <c r="AA4" s="23"/>
    </row>
    <row r="5" customHeight="1" spans="1:27">
      <c r="A5" s="12" t="str">
        <f>木桩!A5</f>
        <v>废弃栏</v>
      </c>
      <c r="B5" s="11">
        <f>木桩!B5</f>
        <v>5</v>
      </c>
      <c r="C5" s="11">
        <f>木桩!C5</f>
        <v>0.9375</v>
      </c>
      <c r="D5" s="11">
        <f>木桩!D5</f>
        <v>137.5</v>
      </c>
      <c r="E5" s="13">
        <f>木桩!E5</f>
        <v>1</v>
      </c>
      <c r="F5" s="13">
        <f ca="1">木桩!F5+Q$23</f>
        <v>0.130133333333333</v>
      </c>
      <c r="G5" s="13">
        <f>木桩!G5</f>
        <v>0</v>
      </c>
      <c r="H5" s="13">
        <f>木桩!H5</f>
        <v>0</v>
      </c>
      <c r="I5" s="21">
        <f ca="1" t="shared" si="4"/>
        <v>54220.4952022788</v>
      </c>
      <c r="J5" s="13">
        <f ca="1" t="shared" si="1"/>
        <v>0.433671717000561</v>
      </c>
      <c r="K5" s="15">
        <f ca="1" t="shared" si="2"/>
        <v>0.487811006623894</v>
      </c>
      <c r="L5" s="13">
        <f ca="1">INDEX(V2:V17,MATCH(1:1,U2:U17,))</f>
        <v>1.9433</v>
      </c>
      <c r="M5" s="13">
        <f ca="1">INDEX(V2:V17,MATCH(1:1,U2:U17,))</f>
        <v>0.902992590034019</v>
      </c>
      <c r="N5" s="21">
        <f ca="1">INDEX(V2:V17,MATCH(1:1,U2:U17,))+O:O*P:P</f>
        <v>17965.8209384615</v>
      </c>
      <c r="O5" s="21">
        <f ca="1">INDEX(V2:V17,MATCH(1:1,U2:U17,))</f>
        <v>7522.72307692308</v>
      </c>
      <c r="P5" s="40">
        <f t="shared" si="3"/>
        <v>0.772</v>
      </c>
      <c r="Q5" s="21">
        <f ca="1">INDEX(V2:V17,MATCH(1:1,U2:U17,))</f>
        <v>751</v>
      </c>
      <c r="R5" s="13">
        <f ca="1">INDEX(V2:V17,MATCH(1:1,U2:U17,))</f>
        <v>0</v>
      </c>
      <c r="S5" s="13">
        <f ca="1">INDEX(V2:V17,MATCH(1:1,U2:U17,))</f>
        <v>0</v>
      </c>
      <c r="T5" s="20">
        <f>1-Q26/16</f>
        <v>0.875</v>
      </c>
      <c r="U5" s="20" t="str">
        <f t="shared" si="0"/>
        <v>面板攻击</v>
      </c>
      <c r="V5" s="20">
        <f ca="1" t="shared" si="0"/>
        <v>12158.2787230769</v>
      </c>
      <c r="W5" s="17" t="str">
        <f>属性!H9</f>
        <v>面板攻击</v>
      </c>
      <c r="X5" s="17">
        <f>属性!I9</f>
        <v>12484</v>
      </c>
      <c r="Y5" s="17" t="s">
        <v>15</v>
      </c>
      <c r="Z5" s="17">
        <f ca="1">Z6*(1+I23)+Z2*L26</f>
        <v>12158.2787230769</v>
      </c>
      <c r="AA5" s="23"/>
    </row>
    <row r="6" customHeight="1" spans="1:27">
      <c r="A6" s="12" t="str">
        <f>木桩!A6</f>
        <v>盾击</v>
      </c>
      <c r="B6" s="11">
        <f>木桩!B6</f>
        <v>5</v>
      </c>
      <c r="C6" s="11">
        <f>木桩!C6</f>
        <v>0.625</v>
      </c>
      <c r="D6" s="11">
        <f>木桩!D6</f>
        <v>109</v>
      </c>
      <c r="E6" s="13">
        <f>木桩!E6</f>
        <v>1</v>
      </c>
      <c r="F6" s="13">
        <f ca="1">木桩!F6+Q$23</f>
        <v>0.0101333333333333</v>
      </c>
      <c r="G6" s="13">
        <f>木桩!G6</f>
        <v>0</v>
      </c>
      <c r="H6" s="13">
        <f>木桩!H6</f>
        <v>0</v>
      </c>
      <c r="I6" s="21">
        <f ca="1" t="shared" si="4"/>
        <v>33040.4114588657</v>
      </c>
      <c r="J6" s="13">
        <f ca="1" t="shared" si="1"/>
        <v>0.433671717000561</v>
      </c>
      <c r="K6" s="15">
        <f ca="1" t="shared" si="2"/>
        <v>0.487811006623894</v>
      </c>
      <c r="L6" s="13">
        <f ca="1">INDEX(V2:V17,MATCH(1:1,U2:U17,))</f>
        <v>1.9433</v>
      </c>
      <c r="M6" s="13">
        <f ca="1">INDEX(V2:V17,MATCH(1:1,U2:U17,))</f>
        <v>0.902992590034019</v>
      </c>
      <c r="N6" s="21">
        <f ca="1">INDEX(V2:V17,MATCH(1:1,U2:U17,))+O:O*P:P</f>
        <v>17965.8209384615</v>
      </c>
      <c r="O6" s="21">
        <f ca="1">INDEX(V2:V17,MATCH(1:1,U2:U17,))</f>
        <v>7522.72307692308</v>
      </c>
      <c r="P6" s="40">
        <f t="shared" si="3"/>
        <v>0.772</v>
      </c>
      <c r="Q6" s="21">
        <f ca="1">INDEX(V2:V17,MATCH(1:1,U2:U17,))</f>
        <v>751</v>
      </c>
      <c r="R6" s="13">
        <f ca="1">INDEX(V2:V17,MATCH(1:1,U2:U17,))</f>
        <v>0</v>
      </c>
      <c r="S6" s="13">
        <f ca="1">INDEX(V2:V17,MATCH(1:1,U2:U17,))</f>
        <v>0</v>
      </c>
      <c r="T6" s="20">
        <f>1-Q25/16</f>
        <v>0.9375</v>
      </c>
      <c r="U6" s="20" t="str">
        <f t="shared" si="0"/>
        <v>基础攻击</v>
      </c>
      <c r="V6" s="20">
        <f ca="1" t="shared" si="0"/>
        <v>7522.72307692308</v>
      </c>
      <c r="W6" s="17" t="str">
        <f>属性!H10</f>
        <v>基础攻击</v>
      </c>
      <c r="X6" s="17">
        <f>属性!I10</f>
        <v>7315.92307692308</v>
      </c>
      <c r="Y6" s="17" t="s">
        <v>16</v>
      </c>
      <c r="Z6" s="17">
        <f ca="1">X6+I21+L28*(Z4-X4)</f>
        <v>7522.72307692308</v>
      </c>
      <c r="AA6" s="23"/>
    </row>
    <row r="7" customHeight="1" spans="1:27">
      <c r="A7" s="12" t="str">
        <f>木桩!A7</f>
        <v>盾压</v>
      </c>
      <c r="B7" s="11">
        <f>木桩!B7</f>
        <v>15</v>
      </c>
      <c r="C7" s="11">
        <f>木桩!C7</f>
        <v>1.243</v>
      </c>
      <c r="D7" s="11">
        <f>木桩!D7</f>
        <v>211</v>
      </c>
      <c r="E7" s="13">
        <f>木桩!E7</f>
        <v>1</v>
      </c>
      <c r="F7" s="13">
        <f ca="1">木桩!F7+Q$23</f>
        <v>0.200133333333333</v>
      </c>
      <c r="G7" s="13">
        <f>木桩!G7</f>
        <v>0.07</v>
      </c>
      <c r="H7" s="13">
        <f>木桩!H7</f>
        <v>0</v>
      </c>
      <c r="I7" s="21">
        <f ca="1" t="shared" si="4"/>
        <v>78760.5751178198</v>
      </c>
      <c r="J7" s="13">
        <f ca="1" t="shared" si="1"/>
        <v>0.50367171700056</v>
      </c>
      <c r="K7" s="15">
        <f ca="1" t="shared" si="2"/>
        <v>0.551662525139194</v>
      </c>
      <c r="L7" s="13">
        <f ca="1">INDEX(V2:V17,MATCH(1:1,U2:U17,))</f>
        <v>1.9433</v>
      </c>
      <c r="M7" s="13">
        <f ca="1">INDEX(V2:V17,MATCH(1:1,U2:U17,))</f>
        <v>0.902992590034019</v>
      </c>
      <c r="N7" s="21">
        <f ca="1">INDEX(V2:V17,MATCH(1:1,U2:U17,))+O:O*P:P</f>
        <v>17965.8209384615</v>
      </c>
      <c r="O7" s="21">
        <f ca="1">INDEX(V2:V17,MATCH(1:1,U2:U17,))</f>
        <v>7522.72307692308</v>
      </c>
      <c r="P7" s="40">
        <f t="shared" si="3"/>
        <v>0.772</v>
      </c>
      <c r="Q7" s="21">
        <f ca="1">INDEX(V2:V17,MATCH(1:1,U2:U17,))</f>
        <v>751</v>
      </c>
      <c r="R7" s="13">
        <f ca="1">INDEX(V2:V17,MATCH(1:1,U2:U17,))</f>
        <v>0</v>
      </c>
      <c r="S7" s="13">
        <f ca="1">INDEX(V2:V17,MATCH(1:1,U2:U17,))</f>
        <v>0</v>
      </c>
      <c r="T7" s="20">
        <f>1.5-Q24/16</f>
        <v>1.375</v>
      </c>
      <c r="U7" s="20" t="str">
        <f t="shared" si="0"/>
        <v>会心</v>
      </c>
      <c r="V7" s="20">
        <f ca="1" t="shared" si="0"/>
        <v>0.433671717000561</v>
      </c>
      <c r="W7" s="17" t="str">
        <f>属性!H11</f>
        <v>会心</v>
      </c>
      <c r="X7" s="17">
        <f>属性!I11</f>
        <v>0.2668</v>
      </c>
      <c r="Y7" s="17" t="s">
        <v>26</v>
      </c>
      <c r="Z7" s="17">
        <f ca="1">X7+K21/J25+(Z2-X2)*L29/J25+K23</f>
        <v>0.433671717000561</v>
      </c>
      <c r="AA7" s="23"/>
    </row>
    <row r="8" customHeight="1" spans="1:27">
      <c r="A8" s="12" t="str">
        <f>木桩!A8</f>
        <v>盾猛</v>
      </c>
      <c r="B8" s="11">
        <f>木桩!B8</f>
        <v>15</v>
      </c>
      <c r="C8" s="11">
        <f>木桩!C8</f>
        <v>2.4525</v>
      </c>
      <c r="D8" s="11">
        <f>木桩!D8</f>
        <v>340</v>
      </c>
      <c r="E8" s="13">
        <f>木桩!E8</f>
        <v>1</v>
      </c>
      <c r="F8" s="13">
        <f ca="1">木桩!F8+Q$23</f>
        <v>0.0101333333333333</v>
      </c>
      <c r="G8" s="13">
        <f>木桩!G8</f>
        <v>0.1</v>
      </c>
      <c r="H8" s="13">
        <f>木桩!H8</f>
        <v>0.1</v>
      </c>
      <c r="I8" s="21">
        <f ca="1" t="shared" si="4"/>
        <v>135607.742664439</v>
      </c>
      <c r="J8" s="13">
        <f ca="1" t="shared" si="1"/>
        <v>0.53367171700056</v>
      </c>
      <c r="K8" s="15">
        <f ca="1" t="shared" si="2"/>
        <v>0.579397723994168</v>
      </c>
      <c r="L8" s="13">
        <f ca="1">INDEX(V2:V17,MATCH(1:1,U2:U17,))</f>
        <v>1.9433</v>
      </c>
      <c r="M8" s="13">
        <f ca="1">INDEX(V2:V17,MATCH(1:1,U2:U17,))</f>
        <v>0.902992590034019</v>
      </c>
      <c r="N8" s="21">
        <f ca="1">INDEX(V2:V17,MATCH(1:1,U2:U17,))+O:O*P:P</f>
        <v>17965.8209384615</v>
      </c>
      <c r="O8" s="21">
        <f ca="1">INDEX(V2:V17,MATCH(1:1,U2:U17,))</f>
        <v>7522.72307692308</v>
      </c>
      <c r="P8" s="40">
        <f t="shared" si="3"/>
        <v>0.772</v>
      </c>
      <c r="Q8" s="21">
        <f ca="1">INDEX(V2:V17,MATCH(1:1,U2:U17,))</f>
        <v>751</v>
      </c>
      <c r="R8" s="13">
        <f ca="1">INDEX(V2:V17,MATCH(1:1,U2:U17,))</f>
        <v>0</v>
      </c>
      <c r="S8" s="13">
        <f ca="1">INDEX(V2:V17,MATCH(1:1,U2:U17,))</f>
        <v>0</v>
      </c>
      <c r="T8" s="20">
        <f>1.5-Q24/16</f>
        <v>1.375</v>
      </c>
      <c r="U8" s="20" t="str">
        <f t="shared" si="0"/>
        <v>会效</v>
      </c>
      <c r="V8" s="20">
        <f ca="1" t="shared" si="0"/>
        <v>1.9433</v>
      </c>
      <c r="W8" s="17" t="str">
        <f>属性!H12</f>
        <v>会效</v>
      </c>
      <c r="X8" s="17">
        <f>属性!I12</f>
        <v>1.8533</v>
      </c>
      <c r="Y8" s="17" t="s">
        <v>36</v>
      </c>
      <c r="Z8" s="17">
        <f ca="1">X8+(L21+(Z2-X2)*L30)/J26+L23</f>
        <v>1.9433</v>
      </c>
      <c r="AA8" s="23"/>
    </row>
    <row r="9" customHeight="1" spans="1:27">
      <c r="A9" s="12" t="str">
        <f>木桩!A9</f>
        <v>盾飞</v>
      </c>
      <c r="B9" s="11">
        <f>木桩!B9</f>
        <v>0</v>
      </c>
      <c r="C9" s="11">
        <f>木桩!C9</f>
        <v>0.168</v>
      </c>
      <c r="D9" s="11">
        <f>木桩!D9</f>
        <v>25</v>
      </c>
      <c r="E9" s="13">
        <f>木桩!E9</f>
        <v>1</v>
      </c>
      <c r="F9" s="13">
        <f ca="1">木桩!F9+Q$23</f>
        <v>0.130133333333333</v>
      </c>
      <c r="G9" s="13">
        <f>木桩!G9</f>
        <v>0.05</v>
      </c>
      <c r="H9" s="13">
        <f>木桩!H9</f>
        <v>0</v>
      </c>
      <c r="I9" s="21">
        <f ca="1" t="shared" si="4"/>
        <v>12530.687189731</v>
      </c>
      <c r="J9" s="13">
        <f ca="1" t="shared" si="1"/>
        <v>0.48367171700056</v>
      </c>
      <c r="K9" s="15">
        <f ca="1" t="shared" ref="K9:K14" si="5">J:J+K$19</f>
        <v>0.532112505375934</v>
      </c>
      <c r="L9" s="13">
        <f ca="1">INDEX(V2:V17,MATCH(1:1,U2:U17,))</f>
        <v>1.9433</v>
      </c>
      <c r="M9" s="13">
        <f ca="1">INDEX(V2:V17,MATCH(1:1,U2:U17,))</f>
        <v>0.902992590034019</v>
      </c>
      <c r="N9" s="21">
        <f ca="1">INDEX(V2:V17,MATCH(1:1,U2:U17,))+O:O*P:P</f>
        <v>19094.2294</v>
      </c>
      <c r="O9" s="21">
        <f ca="1">INDEX(V2:V17,MATCH(1:1,U2:U17,))</f>
        <v>7522.72307692308</v>
      </c>
      <c r="P9" s="40">
        <f t="shared" ref="P9:P14" si="6">60%+D$32*0.2*6/25+0.15*D$21+60%*(25+6*D$32)*(1+H$28)/H$27</f>
        <v>0.922</v>
      </c>
      <c r="Q9" s="21">
        <f ca="1">INDEX(V2:V17,MATCH(1:1,U2:U17,))</f>
        <v>751</v>
      </c>
      <c r="R9" s="13">
        <f ca="1">INDEX(V2:V17,MATCH(1:1,U2:U17,))</f>
        <v>0</v>
      </c>
      <c r="S9" s="13">
        <f ca="1">INDEX(V2:V17,MATCH(1:1,U2:U17,))</f>
        <v>0</v>
      </c>
      <c r="T9" s="20">
        <f>1.5-Q24/16</f>
        <v>1.375</v>
      </c>
      <c r="U9" s="20" t="str">
        <f t="shared" si="0"/>
        <v>破防值</v>
      </c>
      <c r="V9" s="20">
        <f ca="1">Z9</f>
        <v>13855.6989</v>
      </c>
      <c r="W9" s="17" t="str">
        <f>属性!H13</f>
        <v>破防值</v>
      </c>
      <c r="X9" s="17">
        <f>属性!I13</f>
        <v>7718.1326</v>
      </c>
      <c r="Y9" s="17" t="s">
        <v>206</v>
      </c>
      <c r="Z9" s="17">
        <f ca="1">Z10*(1+O23)</f>
        <v>13855.6989</v>
      </c>
      <c r="AA9" s="23"/>
    </row>
    <row r="10" customHeight="1" spans="1:27">
      <c r="A10" s="12" t="str">
        <f>木桩!A10</f>
        <v>劫刀</v>
      </c>
      <c r="B10" s="11">
        <f>木桩!B10</f>
        <v>-5</v>
      </c>
      <c r="C10" s="11">
        <f>木桩!C10</f>
        <v>1.1</v>
      </c>
      <c r="D10" s="11">
        <f>木桩!D10</f>
        <v>124.5</v>
      </c>
      <c r="E10" s="13">
        <f>木桩!E10</f>
        <v>1</v>
      </c>
      <c r="F10" s="13">
        <f ca="1">木桩!F10+Q$23</f>
        <v>0.230133333333333</v>
      </c>
      <c r="G10" s="13">
        <f>木桩!G10</f>
        <v>0.15</v>
      </c>
      <c r="H10" s="13">
        <f>木桩!H10</f>
        <v>0.15</v>
      </c>
      <c r="I10" s="21">
        <f ca="1" t="shared" si="4"/>
        <v>84341.3029799486</v>
      </c>
      <c r="J10" s="13">
        <f ca="1" t="shared" si="1"/>
        <v>0.583671717000561</v>
      </c>
      <c r="K10" s="15">
        <f ca="1" t="shared" si="5"/>
        <v>0.632112505375934</v>
      </c>
      <c r="L10" s="13">
        <f ca="1">INDEX(V2:V17,MATCH(1:1,U2:U17,))</f>
        <v>1.9433</v>
      </c>
      <c r="M10" s="13">
        <f ca="1">INDEX(V2:V17,MATCH(1:1,U2:U17,))</f>
        <v>0.902992590034019</v>
      </c>
      <c r="N10" s="21">
        <f ca="1">INDEX(V2:V17,MATCH(1:1,U2:U17,))+O:O*P:P</f>
        <v>19094.2294</v>
      </c>
      <c r="O10" s="21">
        <f ca="1">INDEX(V2:V17,MATCH(1:1,U2:U17,))</f>
        <v>7522.72307692308</v>
      </c>
      <c r="P10" s="40">
        <f t="shared" si="6"/>
        <v>0.922</v>
      </c>
      <c r="Q10" s="21">
        <f ca="1">INDEX(V2:V17,MATCH(1:1,U2:U17,))</f>
        <v>751</v>
      </c>
      <c r="R10" s="13">
        <f ca="1">INDEX(V2:V17,MATCH(1:1,U2:U17,))</f>
        <v>0</v>
      </c>
      <c r="S10" s="13">
        <f ca="1">INDEX(V2:V17,MATCH(1:1,U2:U17,))</f>
        <v>0</v>
      </c>
      <c r="T10" s="20">
        <f>1.5-Q24/16</f>
        <v>1.375</v>
      </c>
      <c r="U10" s="20" t="str">
        <f t="shared" si="0"/>
        <v>基础破防</v>
      </c>
      <c r="V10" s="20">
        <f ca="1">Z10</f>
        <v>9237.1326</v>
      </c>
      <c r="W10" s="17" t="str">
        <f>属性!H14</f>
        <v>基础破防</v>
      </c>
      <c r="X10" s="17">
        <f>属性!I14</f>
        <v>7718.1326</v>
      </c>
      <c r="Y10" s="17" t="s">
        <v>47</v>
      </c>
      <c r="Z10" s="17">
        <f ca="1">X10+O21+(Z4-X4)*L27</f>
        <v>9237.1326</v>
      </c>
      <c r="AA10" s="23"/>
    </row>
    <row r="11" customHeight="1" spans="1:27">
      <c r="A11" s="12" t="str">
        <f>木桩!A11</f>
        <v>斩刀</v>
      </c>
      <c r="B11" s="11">
        <f>木桩!B11</f>
        <v>-15</v>
      </c>
      <c r="C11" s="11">
        <f>木桩!C11</f>
        <v>1.193</v>
      </c>
      <c r="D11" s="11">
        <f>木桩!D11</f>
        <v>233</v>
      </c>
      <c r="E11" s="13">
        <f>木桩!E11</f>
        <v>1</v>
      </c>
      <c r="F11" s="13">
        <f ca="1">木桩!F11+Q$23</f>
        <v>0.180133333333333</v>
      </c>
      <c r="G11" s="13">
        <f>木桩!G11</f>
        <v>0.04</v>
      </c>
      <c r="H11" s="13">
        <f>木桩!H11</f>
        <v>0</v>
      </c>
      <c r="I11" s="21">
        <f ca="1" t="shared" si="4"/>
        <v>77561.8368776292</v>
      </c>
      <c r="J11" s="13">
        <f ca="1" t="shared" si="1"/>
        <v>0.47367171700056</v>
      </c>
      <c r="K11" s="15">
        <f ca="1" t="shared" si="5"/>
        <v>0.522112505375934</v>
      </c>
      <c r="L11" s="13">
        <f ca="1">INDEX(V2:V17,MATCH(1:1,U2:U17,))</f>
        <v>1.9433</v>
      </c>
      <c r="M11" s="13">
        <f ca="1">INDEX(V2:V17,MATCH(1:1,U2:U17,))</f>
        <v>0.902992590034019</v>
      </c>
      <c r="N11" s="21">
        <f ca="1">INDEX(V2:V17,MATCH(1:1,U2:U17,))+O:O*P:P</f>
        <v>19094.2294</v>
      </c>
      <c r="O11" s="21">
        <f ca="1">INDEX(V2:V17,MATCH(1:1,U2:U17,))</f>
        <v>7522.72307692308</v>
      </c>
      <c r="P11" s="40">
        <f t="shared" si="6"/>
        <v>0.922</v>
      </c>
      <c r="Q11" s="21">
        <f ca="1">INDEX(V2:V17,MATCH(1:1,U2:U17,))</f>
        <v>751</v>
      </c>
      <c r="R11" s="13">
        <f ca="1">INDEX(V2:V17,MATCH(1:1,U2:U17,))</f>
        <v>0</v>
      </c>
      <c r="S11" s="13">
        <f ca="1">INDEX(V2:V17,MATCH(1:1,U2:U17,))</f>
        <v>0</v>
      </c>
      <c r="T11" s="20">
        <f>1.5-Q24/16</f>
        <v>1.375</v>
      </c>
      <c r="U11" s="20" t="str">
        <f t="shared" si="0"/>
        <v>破防</v>
      </c>
      <c r="V11" s="20">
        <f ca="1" t="shared" si="0"/>
        <v>0.902992590034019</v>
      </c>
      <c r="W11" s="17" t="str">
        <f>属性!H15</f>
        <v>破防</v>
      </c>
      <c r="X11" s="17">
        <f>属性!I15</f>
        <v>0.503</v>
      </c>
      <c r="Y11" s="17" t="s">
        <v>205</v>
      </c>
      <c r="Z11" s="17">
        <f ca="1">Z9/J30</f>
        <v>0.902992590034019</v>
      </c>
      <c r="AA11" s="23"/>
    </row>
    <row r="12" customHeight="1" spans="1:27">
      <c r="A12" s="12" t="str">
        <f>木桩!A12</f>
        <v>闪刀</v>
      </c>
      <c r="B12" s="11">
        <f>木桩!B12</f>
        <v>-15</v>
      </c>
      <c r="C12" s="11">
        <f>木桩!C12</f>
        <v>0.9</v>
      </c>
      <c r="D12" s="11">
        <f>木桩!D12</f>
        <v>157.5</v>
      </c>
      <c r="E12" s="13">
        <f>木桩!E12</f>
        <v>1</v>
      </c>
      <c r="F12" s="13">
        <f ca="1">木桩!F12+Q$23</f>
        <v>0.0101333333333333</v>
      </c>
      <c r="G12" s="13">
        <f>木桩!G12</f>
        <v>0</v>
      </c>
      <c r="H12" s="13">
        <f>木桩!H12</f>
        <v>0</v>
      </c>
      <c r="I12" s="21">
        <f ca="1" t="shared" si="4"/>
        <v>49270.1915812325</v>
      </c>
      <c r="J12" s="13">
        <f ca="1" t="shared" si="1"/>
        <v>0.433671717000561</v>
      </c>
      <c r="K12" s="15">
        <f ca="1" t="shared" si="5"/>
        <v>0.482112505375934</v>
      </c>
      <c r="L12" s="13">
        <f ca="1">INDEX(V2:V17,MATCH(1:1,U2:U17,))</f>
        <v>1.9433</v>
      </c>
      <c r="M12" s="13">
        <f ca="1">INDEX(V2:V17,MATCH(1:1,U2:U17,))</f>
        <v>0.902992590034019</v>
      </c>
      <c r="N12" s="21">
        <f ca="1">INDEX(V2:V17,MATCH(1:1,U2:U17,))+O:O*P:P</f>
        <v>19094.2294</v>
      </c>
      <c r="O12" s="21">
        <f ca="1">INDEX(V2:V17,MATCH(1:1,U2:U17,))</f>
        <v>7522.72307692308</v>
      </c>
      <c r="P12" s="40">
        <f t="shared" si="6"/>
        <v>0.922</v>
      </c>
      <c r="Q12" s="21">
        <f ca="1">INDEX(V2:V17,MATCH(1:1,U2:U17,))</f>
        <v>751</v>
      </c>
      <c r="R12" s="13">
        <f ca="1">INDEX(V2:V17,MATCH(1:1,U2:U17,))</f>
        <v>0</v>
      </c>
      <c r="S12" s="13">
        <f ca="1">INDEX(V2:V17,MATCH(1:1,U2:U17,))</f>
        <v>0</v>
      </c>
      <c r="T12" s="20">
        <f>1.5-Q24/16</f>
        <v>1.375</v>
      </c>
      <c r="U12" s="20" t="str">
        <f t="shared" si="0"/>
        <v>加速</v>
      </c>
      <c r="V12" s="20">
        <f t="shared" si="0"/>
        <v>828</v>
      </c>
      <c r="W12" s="17" t="str">
        <f>属性!H16</f>
        <v>加速</v>
      </c>
      <c r="X12" s="17">
        <f>属性!I16</f>
        <v>828</v>
      </c>
      <c r="Y12" s="17" t="s">
        <v>83</v>
      </c>
      <c r="Z12" s="17">
        <f>X12</f>
        <v>828</v>
      </c>
      <c r="AA12" s="23"/>
    </row>
    <row r="13" customHeight="1" spans="1:27">
      <c r="A13" s="12" t="str">
        <f>木桩!A13</f>
        <v>绝刀</v>
      </c>
      <c r="B13" s="11">
        <f>木桩!B13</f>
        <v>0</v>
      </c>
      <c r="C13" s="11">
        <f>木桩!C13</f>
        <v>1.211</v>
      </c>
      <c r="D13" s="11">
        <f>木桩!D13</f>
        <v>186</v>
      </c>
      <c r="E13" s="13">
        <f>木桩!E13</f>
        <v>1</v>
      </c>
      <c r="F13" s="13">
        <f ca="1">木桩!F13+Q$23</f>
        <v>0.500133333333333</v>
      </c>
      <c r="G13" s="13">
        <f>木桩!G13</f>
        <v>0.04</v>
      </c>
      <c r="H13" s="13">
        <f>木桩!H13</f>
        <v>0</v>
      </c>
      <c r="I13" s="21">
        <f ca="1" t="shared" si="4"/>
        <v>99824.1557793392</v>
      </c>
      <c r="J13" s="13">
        <f ca="1" t="shared" si="1"/>
        <v>0.47367171700056</v>
      </c>
      <c r="K13" s="15">
        <f ca="1" t="shared" si="5"/>
        <v>0.522112505375934</v>
      </c>
      <c r="L13" s="13">
        <f ca="1">INDEX(V2:V17,MATCH(1:1,U2:U17,))</f>
        <v>1.9433</v>
      </c>
      <c r="M13" s="13">
        <f ca="1">INDEX(V2:V17,MATCH(1:1,U2:U17,))</f>
        <v>0.902992590034019</v>
      </c>
      <c r="N13" s="21">
        <f ca="1">INDEX(V2:V17,MATCH(1:1,U2:U17,))+O:O*P:P</f>
        <v>19094.2294</v>
      </c>
      <c r="O13" s="21">
        <f ca="1">INDEX(V2:V17,MATCH(1:1,U2:U17,))</f>
        <v>7522.72307692308</v>
      </c>
      <c r="P13" s="40">
        <f t="shared" si="6"/>
        <v>0.922</v>
      </c>
      <c r="Q13" s="21">
        <f ca="1">INDEX(V2:V17,MATCH(1:1,U2:U17,))</f>
        <v>751</v>
      </c>
      <c r="R13" s="13">
        <f ca="1">INDEX(V2:V17,MATCH(1:1,U2:U17,))</f>
        <v>0</v>
      </c>
      <c r="S13" s="13">
        <f ca="1">INDEX(V2:V17,MATCH(1:1,U2:U17,))</f>
        <v>0</v>
      </c>
      <c r="T13" s="20">
        <f>1.5-Q24/16</f>
        <v>1.375</v>
      </c>
      <c r="U13" s="20" t="str">
        <f t="shared" si="0"/>
        <v>命中</v>
      </c>
      <c r="V13" s="20">
        <f ca="1" t="shared" si="0"/>
        <v>1.13257753521884</v>
      </c>
      <c r="W13" s="17" t="str">
        <f>属性!H17</f>
        <v>命中</v>
      </c>
      <c r="X13" s="17">
        <f>属性!I17</f>
        <v>1.0715</v>
      </c>
      <c r="Y13" s="17" t="s">
        <v>56</v>
      </c>
      <c r="Z13" s="17">
        <f ca="1">X13+J23+J21/J27</f>
        <v>1.13257753521884</v>
      </c>
      <c r="AA13" s="23"/>
    </row>
    <row r="14" customHeight="1" spans="1:27">
      <c r="A14" s="11" t="str">
        <f>木桩!A14</f>
        <v>流血</v>
      </c>
      <c r="B14" s="11">
        <f>木桩!B14</f>
        <v>0</v>
      </c>
      <c r="C14" s="14">
        <f>木桩!C14</f>
        <v>0.34375</v>
      </c>
      <c r="D14" s="11">
        <f>木桩!D14</f>
        <v>47</v>
      </c>
      <c r="E14" s="13">
        <f>木桩!E14</f>
        <v>0</v>
      </c>
      <c r="F14" s="13">
        <f ca="1">木桩!F14+Q$23</f>
        <v>0.0101333333333333</v>
      </c>
      <c r="G14" s="13">
        <f>木桩!G14</f>
        <v>0</v>
      </c>
      <c r="H14" s="13">
        <f>木桩!H14</f>
        <v>0</v>
      </c>
      <c r="I14" s="21">
        <f ca="1" t="shared" si="4"/>
        <v>18001.5502869704</v>
      </c>
      <c r="J14" s="13">
        <f ca="1" t="shared" si="1"/>
        <v>0.433671717000561</v>
      </c>
      <c r="K14" s="15">
        <f ca="1" t="shared" si="5"/>
        <v>0.482112505375934</v>
      </c>
      <c r="L14" s="13">
        <f ca="1">INDEX(V2:V17,MATCH(1:1,U2:U17,))</f>
        <v>1.9433</v>
      </c>
      <c r="M14" s="13">
        <f ca="1">INDEX(V2:V17,MATCH(1:1,U2:U17,))</f>
        <v>0.902992590034019</v>
      </c>
      <c r="N14" s="21">
        <f ca="1">INDEX(V2:V17,MATCH(1:1,U2:U17,))+O:O*P:P</f>
        <v>19094.2294</v>
      </c>
      <c r="O14" s="21">
        <f ca="1">INDEX(V2:V17,MATCH(1:1,U2:U17,))</f>
        <v>7522.72307692308</v>
      </c>
      <c r="P14" s="40">
        <f t="shared" si="6"/>
        <v>0.922</v>
      </c>
      <c r="Q14" s="21">
        <f ca="1">INDEX(V2:V17,MATCH(1:1,U2:U17,))</f>
        <v>751</v>
      </c>
      <c r="R14" s="13">
        <f ca="1">INDEX(V2:V17,MATCH(1:1,U2:U17,))</f>
        <v>0</v>
      </c>
      <c r="S14" s="13">
        <f ca="1">INDEX(V2:V17,MATCH(1:1,U2:U17,))</f>
        <v>0</v>
      </c>
      <c r="T14" s="20">
        <f>(2-Q26/16)*NOT(D22)+(1-Q25/16)*D22</f>
        <v>0.9375</v>
      </c>
      <c r="U14" s="20" t="str">
        <f t="shared" si="0"/>
        <v>无双</v>
      </c>
      <c r="V14" s="20">
        <f ca="1" t="shared" si="0"/>
        <v>0.273371047077177</v>
      </c>
      <c r="W14" s="17" t="str">
        <f>属性!H18</f>
        <v>无双</v>
      </c>
      <c r="X14" s="17">
        <f>属性!I18</f>
        <v>0.2319</v>
      </c>
      <c r="Y14" s="17" t="s">
        <v>66</v>
      </c>
      <c r="Z14" s="17">
        <f ca="1">X14+N23+N21/J28</f>
        <v>0.273371047077177</v>
      </c>
      <c r="AA14" s="23"/>
    </row>
    <row r="15" customHeight="1" spans="1:27">
      <c r="A15" s="11" t="str">
        <f>木桩!A15</f>
        <v>卷雪刀</v>
      </c>
      <c r="B15" s="11">
        <f>木桩!B15</f>
        <v>0</v>
      </c>
      <c r="C15" s="11">
        <f>木桩!C15</f>
        <v>0.1375</v>
      </c>
      <c r="D15" s="11">
        <f>木桩!D15</f>
        <v>0</v>
      </c>
      <c r="E15" s="13">
        <f>木桩!E15</f>
        <v>1</v>
      </c>
      <c r="F15" s="13">
        <f ca="1">木桩!F15+Q$23</f>
        <v>0.0101333333333333</v>
      </c>
      <c r="G15" s="13">
        <f>木桩!G15</f>
        <v>0</v>
      </c>
      <c r="H15" s="13">
        <f>木桩!H15</f>
        <v>0</v>
      </c>
      <c r="I15" s="21">
        <f ca="1" t="shared" si="4"/>
        <v>8804.39046930782</v>
      </c>
      <c r="J15" s="13">
        <f ca="1" t="shared" si="1"/>
        <v>0.433671717000561</v>
      </c>
      <c r="K15" s="15">
        <f ca="1">J:J+(0.211855500496661*J:J^6-0.937563819411654*J:J^5+1.77483619127542*J:J^4-1.89647323402313*J:J^3+1.2737744963305*J:J^2-0.565275505039552*J:J+0.164596522595162)*$D$28</f>
        <v>0.487811006623894</v>
      </c>
      <c r="L15" s="13">
        <f ca="1">INDEX(V2:V17,MATCH(1:1,U2:U17,))</f>
        <v>1.9433</v>
      </c>
      <c r="M15" s="13">
        <f ca="1">INDEX(V2:V17,MATCH(1:1,U2:U17,))</f>
        <v>0.902992590034019</v>
      </c>
      <c r="N15" s="21">
        <f ca="1">INDEX(V2:V17,MATCH(1:1,U2:U17,))+O:O*P:P</f>
        <v>17965.8209384615</v>
      </c>
      <c r="O15" s="21">
        <f ca="1">INDEX(V2:V17,MATCH(1:1,U2:U17,))</f>
        <v>7522.72307692308</v>
      </c>
      <c r="P15" s="40">
        <f>60%+D$32*0.2*6/25+60%*(25+6*D$32)*(1+H$28)/H$27</f>
        <v>0.772</v>
      </c>
      <c r="Q15" s="21">
        <f ca="1">INDEX(V2:V17,MATCH(1:1,U2:U17,))</f>
        <v>751</v>
      </c>
      <c r="R15" s="13">
        <f ca="1">INDEX(V2:V17,MATCH(1:1,U2:U17,))</f>
        <v>0</v>
      </c>
      <c r="S15" s="13">
        <f ca="1">INDEX(V2:V17,MATCH(1:1,U2:U17,))</f>
        <v>0</v>
      </c>
      <c r="T15" s="20">
        <f>1.5-Q24/16</f>
        <v>1.375</v>
      </c>
      <c r="U15" s="20" t="str">
        <f t="shared" si="0"/>
        <v>武器伤害</v>
      </c>
      <c r="V15" s="20">
        <f ca="1" t="shared" si="0"/>
        <v>751</v>
      </c>
      <c r="W15" s="17" t="str">
        <f>属性!H19</f>
        <v>武器伤害</v>
      </c>
      <c r="X15" s="17">
        <f ca="1">属性!I19+P21</f>
        <v>751</v>
      </c>
      <c r="Y15" s="17" t="s">
        <v>75</v>
      </c>
      <c r="Z15" s="17">
        <f ca="1">X15</f>
        <v>751</v>
      </c>
      <c r="AA15" s="23"/>
    </row>
    <row r="16" customHeight="1" spans="1:27">
      <c r="A16" s="7" t="str">
        <f>木桩!A16</f>
        <v>卷雪刀1</v>
      </c>
      <c r="B16" s="7">
        <f>木桩!B16</f>
        <v>0</v>
      </c>
      <c r="C16" s="7">
        <f>木桩!C16</f>
        <v>0.1375</v>
      </c>
      <c r="D16" s="7">
        <f>木桩!D16</f>
        <v>0</v>
      </c>
      <c r="E16" s="16">
        <f>木桩!E16</f>
        <v>1</v>
      </c>
      <c r="F16" s="13">
        <f ca="1">木桩!F16+Q$23</f>
        <v>0.0101333333333333</v>
      </c>
      <c r="G16" s="16">
        <f>木桩!G16</f>
        <v>0</v>
      </c>
      <c r="H16" s="16">
        <f>木桩!H16</f>
        <v>0</v>
      </c>
      <c r="I16" s="21">
        <f ca="1" t="shared" si="4"/>
        <v>9194.48642968936</v>
      </c>
      <c r="J16" s="13">
        <f ca="1" t="shared" si="1"/>
        <v>0.433671717000561</v>
      </c>
      <c r="K16" s="15">
        <f ca="1">J:J+K$19</f>
        <v>0.482112505375934</v>
      </c>
      <c r="L16" s="16">
        <f ca="1">INDEX(V2:V17,MATCH(1:1,U2:U17,))</f>
        <v>1.9433</v>
      </c>
      <c r="M16" s="16">
        <f ca="1">INDEX(V2:V17,MATCH(1:1,U2:U17,))</f>
        <v>0.902992590034019</v>
      </c>
      <c r="N16" s="23">
        <f ca="1">INDEX(V2:V17,MATCH(1:1,U2:U17,))+O:O*P:P</f>
        <v>19094.2294</v>
      </c>
      <c r="O16" s="23">
        <f ca="1">INDEX(V2:V17,MATCH(1:1,U2:U17,))</f>
        <v>7522.72307692308</v>
      </c>
      <c r="P16" s="16">
        <f>P12</f>
        <v>0.922</v>
      </c>
      <c r="Q16" s="23">
        <f ca="1">INDEX(V2:V17,MATCH(1:1,U2:U17,))</f>
        <v>751</v>
      </c>
      <c r="R16" s="16">
        <f ca="1">INDEX(V2:V17,MATCH(1:1,U2:U17,))</f>
        <v>0</v>
      </c>
      <c r="S16" s="16">
        <f ca="1">INDEX(V2:V17,MATCH(1:1,U2:U17,))</f>
        <v>0</v>
      </c>
      <c r="T16" s="20">
        <f>1.5-Q24/16</f>
        <v>1.375</v>
      </c>
      <c r="U16" s="17" t="str">
        <f t="shared" si="0"/>
        <v>偏离率</v>
      </c>
      <c r="V16" s="30">
        <f ca="1" t="shared" si="0"/>
        <v>0</v>
      </c>
      <c r="W16" s="17" t="str">
        <f>属性!H20</f>
        <v>偏离率</v>
      </c>
      <c r="X16" s="16">
        <f>属性!I20</f>
        <v>0</v>
      </c>
      <c r="Y16" s="17" t="s">
        <v>212</v>
      </c>
      <c r="Z16" s="17">
        <f ca="1">IF(X16-Z13+X13&gt;0,X16-Z13+X13,0)</f>
        <v>0</v>
      </c>
      <c r="AA16" s="23"/>
    </row>
    <row r="17" customHeight="1" spans="1:27">
      <c r="A17" s="11" t="str">
        <f>木桩!A17</f>
        <v>绝刀1</v>
      </c>
      <c r="B17" s="11">
        <f>木桩!B17</f>
        <v>0</v>
      </c>
      <c r="C17" s="11">
        <f>木桩!C17</f>
        <v>1.211</v>
      </c>
      <c r="D17" s="11">
        <f>木桩!D17</f>
        <v>186</v>
      </c>
      <c r="E17" s="13">
        <f>木桩!E17</f>
        <v>1</v>
      </c>
      <c r="F17" s="13">
        <f ca="1">木桩!F17+Q$23</f>
        <v>0.500133333333333</v>
      </c>
      <c r="G17" s="13">
        <f>木桩!G17</f>
        <v>0.07</v>
      </c>
      <c r="H17" s="13">
        <f>木桩!H17</f>
        <v>0</v>
      </c>
      <c r="I17" s="21">
        <f ca="1" t="shared" si="4"/>
        <v>101688.501186205</v>
      </c>
      <c r="J17" s="13">
        <f ca="1" t="shared" si="1"/>
        <v>0.50367171700056</v>
      </c>
      <c r="K17" s="15">
        <f ca="1">J:J+(0.211855500496661*J:J^6-0.937563819411654*J:J^5+1.77483619127542*J:J^4-1.89647323402313*J:J^3+1.2737744963305*J:J^2-0.565275505039552*J:J+0.164596522595162)*$D$28</f>
        <v>0.551662525139194</v>
      </c>
      <c r="L17" s="13">
        <f ca="1">INDEX(V2:V17,MATCH(1:1,U2:U17,))</f>
        <v>1.9433</v>
      </c>
      <c r="M17" s="13">
        <f ca="1">INDEX(V2:V17,MATCH(1:1,U2:U17,))</f>
        <v>0.902992590034019</v>
      </c>
      <c r="N17" s="21">
        <f ca="1">INDEX(V2:V17,MATCH(1:1,U2:U17,))+O:O*P:P</f>
        <v>19094.2294</v>
      </c>
      <c r="O17" s="21">
        <f ca="1">INDEX(V2:V17,MATCH(1:1,U2:U17,))</f>
        <v>7522.72307692308</v>
      </c>
      <c r="P17" s="16">
        <f>P13</f>
        <v>0.922</v>
      </c>
      <c r="Q17" s="21">
        <f ca="1">INDEX(V2:V17,MATCH(1:1,U2:U17,))</f>
        <v>751</v>
      </c>
      <c r="R17" s="13">
        <f ca="1">INDEX(V2:V17,MATCH(1:1,U2:U17,))</f>
        <v>0</v>
      </c>
      <c r="S17" s="13">
        <f ca="1">INDEX(V2:V17,MATCH(1:1,U2:U17,))</f>
        <v>0</v>
      </c>
      <c r="T17" s="7">
        <v>0</v>
      </c>
      <c r="U17" s="20" t="str">
        <f t="shared" si="0"/>
        <v>识破率</v>
      </c>
      <c r="V17" s="20">
        <f ca="1" t="shared" si="0"/>
        <v>0</v>
      </c>
      <c r="W17" s="17" t="str">
        <f>属性!H21</f>
        <v>识破率</v>
      </c>
      <c r="X17" s="17">
        <f>属性!I21</f>
        <v>0</v>
      </c>
      <c r="Y17" s="17" t="s">
        <v>213</v>
      </c>
      <c r="Z17" s="17">
        <f ca="1">IF(X17-Z14+X14&gt;0,X17-Z14+X14,0)</f>
        <v>0</v>
      </c>
      <c r="AA17" s="23"/>
    </row>
    <row r="18" customHeight="1" spans="1:27">
      <c r="A18" s="11" t="str">
        <f>木桩!A18</f>
        <v>绝刀2</v>
      </c>
      <c r="B18" s="11">
        <f>木桩!B18</f>
        <v>0</v>
      </c>
      <c r="C18" s="11">
        <f>木桩!C18</f>
        <v>1.211</v>
      </c>
      <c r="D18" s="11">
        <f>木桩!D18</f>
        <v>186</v>
      </c>
      <c r="E18" s="13">
        <f>木桩!E18</f>
        <v>1</v>
      </c>
      <c r="F18" s="13">
        <f ca="1">木桩!F18+Q$23</f>
        <v>0.700133333333333</v>
      </c>
      <c r="G18" s="13">
        <f>木桩!G18</f>
        <v>0.04</v>
      </c>
      <c r="H18" s="13">
        <f>木桩!H18</f>
        <v>0</v>
      </c>
      <c r="I18" s="21">
        <f ca="1" t="shared" si="4"/>
        <v>113132.860220634</v>
      </c>
      <c r="J18" s="13">
        <f ca="1" t="shared" si="1"/>
        <v>0.47367171700056</v>
      </c>
      <c r="K18" s="15">
        <f ca="1">J:J+K$19</f>
        <v>0.522112505375934</v>
      </c>
      <c r="L18" s="13">
        <f ca="1">INDEX(V2:V17,MATCH(1:1,U2:U17,))</f>
        <v>1.9433</v>
      </c>
      <c r="M18" s="13">
        <f ca="1">INDEX(V2:V17,MATCH(1:1,U2:U17,))</f>
        <v>0.902992590034019</v>
      </c>
      <c r="N18" s="21">
        <f ca="1">INDEX(V2:V17,MATCH(1:1,U2:U17,))+O:O*P:P</f>
        <v>19094.2294</v>
      </c>
      <c r="O18" s="21">
        <f ca="1">INDEX(V2:V17,MATCH(1:1,U2:U17,))</f>
        <v>7522.72307692308</v>
      </c>
      <c r="P18" s="16">
        <f>P13</f>
        <v>0.922</v>
      </c>
      <c r="Q18" s="21">
        <f ca="1">INDEX(V2:V17,MATCH(1:1,U2:U17,))</f>
        <v>751</v>
      </c>
      <c r="R18" s="13">
        <f ca="1">INDEX(V2:V17,MATCH(1:1,U2:U17,))</f>
        <v>0</v>
      </c>
      <c r="S18" s="13">
        <f ca="1">INDEX(V2:V17,MATCH(1:1,U2:U17,))</f>
        <v>0</v>
      </c>
      <c r="T18" s="7">
        <v>0</v>
      </c>
      <c r="AA18" s="23"/>
    </row>
    <row r="19" customHeight="1" spans="5:27">
      <c r="E19" s="16"/>
      <c r="F19" s="16"/>
      <c r="G19" s="16"/>
      <c r="H19" s="16"/>
      <c r="I19" s="13" t="s">
        <v>291</v>
      </c>
      <c r="J19" s="24">
        <f ca="1">(0.75*J11+0.75*J12+8.5*J10+15*J9)/25</f>
        <v>0.515871717000561</v>
      </c>
      <c r="K19" s="7">
        <f ca="1">(0.450269547036277*J:J^6-1.63135022943507*J:J^5+2.53454201422095*J:J^4-2.30008535755169*J:J^3+1.39860127189957*J:J^2-0.596843023464342*J:J+0.171517229012336)*D28</f>
        <v>0.0484407883753734</v>
      </c>
      <c r="L19" s="16"/>
      <c r="M19" s="16"/>
      <c r="N19" s="23"/>
      <c r="O19" s="23"/>
      <c r="P19" s="16"/>
      <c r="Q19" s="23"/>
      <c r="R19" s="16"/>
      <c r="S19" s="16"/>
      <c r="V19" s="29"/>
      <c r="AA19" s="23"/>
    </row>
    <row r="20" customHeight="1" spans="5:27">
      <c r="E20" s="16"/>
      <c r="F20" s="16"/>
      <c r="G20" s="37" t="str">
        <f>属性!H1</f>
        <v>身法</v>
      </c>
      <c r="H20" s="37" t="str">
        <f>属性!I1</f>
        <v>力道</v>
      </c>
      <c r="I20" s="37" t="str">
        <f>属性!J1</f>
        <v>基础攻击</v>
      </c>
      <c r="J20" s="37" t="str">
        <f>属性!K1</f>
        <v>命中</v>
      </c>
      <c r="K20" s="41" t="str">
        <f>属性!L1</f>
        <v>会心</v>
      </c>
      <c r="L20" s="37" t="str">
        <f>属性!M1</f>
        <v>会效</v>
      </c>
      <c r="M20" s="37" t="str">
        <f>属性!N1</f>
        <v>加速</v>
      </c>
      <c r="N20" s="37" t="str">
        <f>属性!O1</f>
        <v>无双</v>
      </c>
      <c r="O20" s="37" t="str">
        <f>属性!P1</f>
        <v>基础破防</v>
      </c>
      <c r="P20" s="42" t="str">
        <f>属性!Q1</f>
        <v>武器伤害</v>
      </c>
      <c r="Q20" s="42" t="str">
        <f>属性!R1</f>
        <v>减防</v>
      </c>
      <c r="R20" s="16"/>
      <c r="S20" s="16"/>
      <c r="AA20" s="23"/>
    </row>
    <row r="21" customHeight="1" spans="1:27">
      <c r="A21" s="20" t="str">
        <f>属性!D1</f>
        <v>第一重</v>
      </c>
      <c r="B21" s="20" t="str">
        <f>属性!E1</f>
        <v>刀魂</v>
      </c>
      <c r="C21" s="11" t="s">
        <v>13</v>
      </c>
      <c r="D21" s="11" t="b">
        <f t="shared" ref="D21:D32" si="7">C21=B21</f>
        <v>1</v>
      </c>
      <c r="E21" s="11" t="s">
        <v>292</v>
      </c>
      <c r="F21" s="11" t="b">
        <f t="shared" ref="F21:F31" si="8">E21=B21</f>
        <v>0</v>
      </c>
      <c r="G21" s="20">
        <f ca="1">属性!H2</f>
        <v>201</v>
      </c>
      <c r="H21" s="20">
        <f ca="1">属性!I2</f>
        <v>52</v>
      </c>
      <c r="I21" s="17">
        <f ca="1">属性!J2</f>
        <v>199</v>
      </c>
      <c r="J21" s="17">
        <f ca="1">属性!K2</f>
        <v>294</v>
      </c>
      <c r="K21" s="20">
        <f ca="1">属性!L2+0.1</f>
        <v>194.1</v>
      </c>
      <c r="L21" s="43">
        <f ca="1">属性!M2</f>
        <v>0</v>
      </c>
      <c r="M21" s="20">
        <f ca="1">属性!N2</f>
        <v>0</v>
      </c>
      <c r="N21" s="20">
        <f ca="1">属性!O2</f>
        <v>100</v>
      </c>
      <c r="O21" s="20">
        <f ca="1">属性!P2</f>
        <v>1506</v>
      </c>
      <c r="P21" s="32">
        <f ca="1">属性!Q2</f>
        <v>0</v>
      </c>
      <c r="Q21" s="34">
        <f ca="1">属性!R2</f>
        <v>200</v>
      </c>
      <c r="R21" s="16"/>
      <c r="S21" s="16"/>
      <c r="AA21" s="23"/>
    </row>
    <row r="22" customHeight="1" spans="1:27">
      <c r="A22" s="20" t="str">
        <f>属性!D2</f>
        <v>第二重</v>
      </c>
      <c r="B22" s="20" t="str">
        <f>属性!E2</f>
        <v>炼狱</v>
      </c>
      <c r="C22" s="11" t="s">
        <v>24</v>
      </c>
      <c r="D22" s="11" t="b">
        <f t="shared" si="7"/>
        <v>1</v>
      </c>
      <c r="E22" s="11"/>
      <c r="F22" s="11"/>
      <c r="G22" s="38" t="str">
        <f>属性!H3</f>
        <v>身法</v>
      </c>
      <c r="H22" s="39" t="str">
        <f>属性!I3</f>
        <v>力道</v>
      </c>
      <c r="I22" s="39" t="str">
        <f>属性!J3</f>
        <v>面板攻击</v>
      </c>
      <c r="J22" s="39" t="str">
        <f>属性!K3</f>
        <v>命中</v>
      </c>
      <c r="K22" s="39" t="str">
        <f>属性!L3</f>
        <v>会心</v>
      </c>
      <c r="L22" s="39" t="str">
        <f>属性!M3</f>
        <v>会效</v>
      </c>
      <c r="M22" s="39" t="str">
        <f>属性!N3</f>
        <v>加速</v>
      </c>
      <c r="N22" s="39" t="str">
        <f>属性!O3</f>
        <v>无双</v>
      </c>
      <c r="O22" s="39" t="str">
        <f>属性!P3</f>
        <v>面板破防</v>
      </c>
      <c r="P22" s="44" t="str">
        <f>属性!Q3</f>
        <v>易伤</v>
      </c>
      <c r="Q22" s="44" t="str">
        <f>属性!R3</f>
        <v>伤害加成</v>
      </c>
      <c r="R22" s="16"/>
      <c r="S22" s="16"/>
      <c r="X22" s="23"/>
      <c r="AA22" s="23"/>
    </row>
    <row r="23" customHeight="1" spans="1:27">
      <c r="A23" s="20" t="str">
        <f>属性!D3</f>
        <v>第三重</v>
      </c>
      <c r="B23" s="20" t="str">
        <f>属性!E3</f>
        <v>飞瀑</v>
      </c>
      <c r="C23" s="11" t="s">
        <v>34</v>
      </c>
      <c r="D23" s="11" t="b">
        <f t="shared" si="7"/>
        <v>1</v>
      </c>
      <c r="E23" s="7"/>
      <c r="F23" s="7"/>
      <c r="G23" s="17">
        <f ca="1">属性!H4</f>
        <v>0.1</v>
      </c>
      <c r="H23" s="20">
        <f ca="1">属性!I4</f>
        <v>0</v>
      </c>
      <c r="I23" s="20">
        <f ca="1">属性!J4</f>
        <v>0.171</v>
      </c>
      <c r="J23" s="20">
        <f ca="1">属性!K4</f>
        <v>0.04</v>
      </c>
      <c r="K23" s="20">
        <f ca="1">属性!L4</f>
        <v>0.145</v>
      </c>
      <c r="L23" s="20">
        <f ca="1">属性!M4</f>
        <v>0.09</v>
      </c>
      <c r="M23" s="20">
        <f ca="1">属性!N4</f>
        <v>0</v>
      </c>
      <c r="N23" s="20">
        <f ca="1">属性!O4</f>
        <v>0.03</v>
      </c>
      <c r="O23" s="13">
        <f ca="1">属性!P4</f>
        <v>0.5</v>
      </c>
      <c r="P23" s="45">
        <f ca="1">属性!Q4</f>
        <v>0</v>
      </c>
      <c r="Q23" s="34">
        <f ca="1">属性!R4</f>
        <v>0.0101333333333333</v>
      </c>
      <c r="R23" s="16"/>
      <c r="S23" s="16"/>
      <c r="X23" s="23"/>
      <c r="AA23" s="23"/>
    </row>
    <row r="24" customHeight="1" spans="1:27">
      <c r="A24" s="20" t="str">
        <f>属性!D4</f>
        <v>第四重</v>
      </c>
      <c r="B24" s="20" t="str">
        <f>属性!E4</f>
        <v>劫生</v>
      </c>
      <c r="C24" s="11" t="s">
        <v>44</v>
      </c>
      <c r="D24" s="11" t="b">
        <f t="shared" si="7"/>
        <v>1</v>
      </c>
      <c r="E24" s="11"/>
      <c r="F24" s="11"/>
      <c r="H24" s="36"/>
      <c r="I24" s="46" t="s">
        <v>198</v>
      </c>
      <c r="J24" s="46"/>
      <c r="K24" s="46"/>
      <c r="L24" s="46"/>
      <c r="M24" s="47" t="s">
        <v>215</v>
      </c>
      <c r="N24" s="47" t="str">
        <f>属性!H29</f>
        <v>实战</v>
      </c>
      <c r="O24" s="43" t="str">
        <f>属性!I29</f>
        <v>实战盾击</v>
      </c>
      <c r="P24" s="26" t="s">
        <v>295</v>
      </c>
      <c r="Q24" s="11">
        <f>IF($V$12&gt;18,1)+IF($V$12&gt;827,1)+IF($V$12&gt;1728,1)+IF($V$12&gt;2703,1)</f>
        <v>2</v>
      </c>
      <c r="R24" s="16"/>
      <c r="S24" s="16"/>
      <c r="V24" s="32"/>
      <c r="X24" s="23"/>
      <c r="AA24" s="23"/>
    </row>
    <row r="25" spans="1:27">
      <c r="A25" s="20" t="str">
        <f>属性!D5</f>
        <v>第五重</v>
      </c>
      <c r="B25" s="20" t="str">
        <f>属性!E5</f>
        <v>锋鸣</v>
      </c>
      <c r="C25" s="11" t="s">
        <v>293</v>
      </c>
      <c r="D25" s="11" t="b">
        <f t="shared" si="7"/>
        <v>0</v>
      </c>
      <c r="E25" s="11" t="s">
        <v>54</v>
      </c>
      <c r="F25" s="11" t="b">
        <f t="shared" si="8"/>
        <v>1</v>
      </c>
      <c r="I25" s="20" t="s">
        <v>26</v>
      </c>
      <c r="J25" s="20">
        <v>15344.2</v>
      </c>
      <c r="K25" s="20" t="s">
        <v>200</v>
      </c>
      <c r="L25" s="20"/>
      <c r="M25" s="11" t="s">
        <v>93</v>
      </c>
      <c r="N25" s="15">
        <f ca="1">属性!H30</f>
        <v>0.948871388530846</v>
      </c>
      <c r="O25" s="15">
        <f ca="1">属性!I30</f>
        <v>0.973765015090248</v>
      </c>
      <c r="P25" s="26" t="s">
        <v>296</v>
      </c>
      <c r="Q25" s="30">
        <f>IF($V$12&gt;18,1)+IF($V$12&gt;1268,1)+IF($V$12&gt;2703,1)</f>
        <v>1</v>
      </c>
      <c r="R25" s="16"/>
      <c r="S25" s="16"/>
      <c r="V25" s="32"/>
      <c r="X25" s="23"/>
      <c r="AA25" s="23"/>
    </row>
    <row r="26" spans="1:27">
      <c r="A26" s="20" t="str">
        <f>属性!D6</f>
        <v>第六重</v>
      </c>
      <c r="B26" s="20" t="str">
        <f>属性!E6</f>
        <v>割裂</v>
      </c>
      <c r="C26" s="11" t="s">
        <v>64</v>
      </c>
      <c r="D26" s="11" t="b">
        <f t="shared" si="7"/>
        <v>1</v>
      </c>
      <c r="E26" s="11" t="s">
        <v>294</v>
      </c>
      <c r="F26" s="11" t="b">
        <f t="shared" si="8"/>
        <v>0</v>
      </c>
      <c r="I26" s="20" t="s">
        <v>36</v>
      </c>
      <c r="J26" s="20">
        <v>5370.3</v>
      </c>
      <c r="K26" s="20"/>
      <c r="L26" s="20">
        <v>1.7</v>
      </c>
      <c r="M26" s="11" t="s">
        <v>229</v>
      </c>
      <c r="N26" s="15">
        <f ca="1">属性!H31</f>
        <v>0.91750264956783</v>
      </c>
      <c r="O26" s="15">
        <f ca="1">属性!I31</f>
        <v>0.956976669392992</v>
      </c>
      <c r="P26" s="26" t="s">
        <v>297</v>
      </c>
      <c r="Q26" s="30">
        <f>IF($V$12&gt;18,1)+IF($V$12&gt;625,1)+IF($V$12&gt;1268,1)+IF($V$12&gt;1949,1)+IF($V$12&gt;2703,1)</f>
        <v>2</v>
      </c>
      <c r="R26" s="16"/>
      <c r="S26" s="16"/>
      <c r="V26" s="32"/>
      <c r="X26" s="23"/>
      <c r="AA26" s="23"/>
    </row>
    <row r="27" spans="1:27">
      <c r="A27" s="20" t="str">
        <f>属性!D7</f>
        <v>第七重</v>
      </c>
      <c r="B27" s="20" t="str">
        <f>属性!E7</f>
        <v>活脉</v>
      </c>
      <c r="C27" s="11" t="s">
        <v>72</v>
      </c>
      <c r="D27" s="11" t="b">
        <f t="shared" si="7"/>
        <v>1</v>
      </c>
      <c r="E27" s="11"/>
      <c r="F27" s="11" t="b">
        <f t="shared" si="8"/>
        <v>0</v>
      </c>
      <c r="G27" s="17" t="str">
        <f>木桩!G27</f>
        <v>战斗时间</v>
      </c>
      <c r="H27" s="30">
        <f>木桩!H27</f>
        <v>300</v>
      </c>
      <c r="I27" s="20" t="s">
        <v>56</v>
      </c>
      <c r="J27" s="20">
        <v>13948.5</v>
      </c>
      <c r="K27" s="20" t="s">
        <v>203</v>
      </c>
      <c r="L27" s="20">
        <v>0.25</v>
      </c>
      <c r="M27" s="11" t="s">
        <v>299</v>
      </c>
      <c r="N27" s="15">
        <f ca="1">属性!H32</f>
        <v>0.898870262292047</v>
      </c>
      <c r="O27" s="15">
        <f ca="1">属性!I32</f>
        <v>0.946742155208707</v>
      </c>
      <c r="P27" s="47" t="s">
        <v>92</v>
      </c>
      <c r="Q27" s="20" t="str">
        <f>苍云!C11</f>
        <v>102级</v>
      </c>
      <c r="V27" s="32"/>
      <c r="X27" s="23"/>
      <c r="AA27" s="23"/>
    </row>
    <row r="28" spans="1:27">
      <c r="A28" s="20" t="str">
        <f>属性!D8</f>
        <v>第八重</v>
      </c>
      <c r="B28" s="20" t="str">
        <f>属性!E8</f>
        <v>恋战</v>
      </c>
      <c r="C28" s="11" t="s">
        <v>81</v>
      </c>
      <c r="D28" s="11" t="b">
        <f t="shared" si="7"/>
        <v>1</v>
      </c>
      <c r="E28" s="11" t="s">
        <v>269</v>
      </c>
      <c r="F28" s="11" t="b">
        <f t="shared" si="8"/>
        <v>0</v>
      </c>
      <c r="G28" s="17" t="str">
        <f>木桩!G28</f>
        <v>竞技场套装</v>
      </c>
      <c r="H28" s="16" t="b">
        <f>木桩!H28</f>
        <v>1</v>
      </c>
      <c r="I28" s="20" t="s">
        <v>66</v>
      </c>
      <c r="J28" s="20">
        <v>8717.6</v>
      </c>
      <c r="K28" s="20"/>
      <c r="L28" s="20">
        <v>0.15</v>
      </c>
      <c r="M28" s="17" t="s">
        <v>179</v>
      </c>
      <c r="N28" s="15">
        <f ca="1">属性!H33</f>
        <v>0.91750264956783</v>
      </c>
      <c r="O28" s="15">
        <f ca="1">属性!I33</f>
        <v>0.956976669392992</v>
      </c>
      <c r="P28" s="47" t="s">
        <v>100</v>
      </c>
      <c r="Q28" s="20" t="str">
        <f>LEFT(苍云!$C$12,1)</f>
        <v>5</v>
      </c>
      <c r="V28" s="32"/>
      <c r="X28" s="23"/>
      <c r="AA28" s="23"/>
    </row>
    <row r="29" spans="1:24">
      <c r="A29" s="20" t="str">
        <f>属性!D9</f>
        <v>第九重</v>
      </c>
      <c r="B29" s="20" t="str">
        <f>属性!E9</f>
        <v>从容</v>
      </c>
      <c r="C29" s="11" t="s">
        <v>99</v>
      </c>
      <c r="D29" s="11" t="b">
        <f t="shared" si="7"/>
        <v>0</v>
      </c>
      <c r="E29" s="11"/>
      <c r="F29" s="11" t="b">
        <f t="shared" si="8"/>
        <v>0</v>
      </c>
      <c r="G29" s="20" t="str">
        <f>木桩!G29</f>
        <v>套装特效</v>
      </c>
      <c r="H29" s="20" t="b">
        <f>木桩!H29</f>
        <v>1</v>
      </c>
      <c r="I29" s="20" t="s">
        <v>83</v>
      </c>
      <c r="J29" s="20">
        <v>18830.9</v>
      </c>
      <c r="K29" s="20" t="s">
        <v>204</v>
      </c>
      <c r="L29" s="20">
        <v>0.64</v>
      </c>
      <c r="M29" s="20" t="s">
        <v>180</v>
      </c>
      <c r="N29" s="15">
        <f ca="1">属性!H34</f>
        <v>0.91750264956783</v>
      </c>
      <c r="O29" s="15">
        <f ca="1">属性!I34</f>
        <v>0.956976669392992</v>
      </c>
      <c r="P29" s="20" t="str">
        <f>属性!F5</f>
        <v>战斗时间</v>
      </c>
      <c r="Q29" s="20">
        <f>属性!G5</f>
        <v>300</v>
      </c>
      <c r="X29" s="23"/>
    </row>
    <row r="30" spans="1:24">
      <c r="A30" s="20" t="str">
        <f>属性!D10</f>
        <v>第十重</v>
      </c>
      <c r="B30" s="20" t="str">
        <f>属性!E10</f>
        <v>愤恨</v>
      </c>
      <c r="C30" s="11" t="s">
        <v>91</v>
      </c>
      <c r="D30" s="11" t="b">
        <f t="shared" si="7"/>
        <v>0</v>
      </c>
      <c r="E30" s="11"/>
      <c r="F30" s="11" t="b">
        <f t="shared" si="8"/>
        <v>0</v>
      </c>
      <c r="G30" s="20" t="str">
        <f>木桩!G30</f>
        <v>橙武</v>
      </c>
      <c r="H30" s="20" t="b">
        <f>木桩!H30</f>
        <v>1</v>
      </c>
      <c r="I30" s="20" t="s">
        <v>205</v>
      </c>
      <c r="J30" s="20">
        <v>15344.2</v>
      </c>
      <c r="K30" s="20"/>
      <c r="L30" s="20">
        <v>0</v>
      </c>
      <c r="N30" s="15"/>
      <c r="O30" s="15"/>
      <c r="P30" s="17" t="s">
        <v>302</v>
      </c>
      <c r="Q30" s="11">
        <f ca="1">$I$14/$T$14</f>
        <v>19201.6536394351</v>
      </c>
      <c r="X30" s="23"/>
    </row>
    <row r="31" spans="1:24">
      <c r="A31" s="20" t="str">
        <f>属性!D11</f>
        <v>第十一重</v>
      </c>
      <c r="B31" s="20" t="str">
        <f>属性!E11</f>
        <v>蔑视</v>
      </c>
      <c r="C31" s="11" t="s">
        <v>107</v>
      </c>
      <c r="D31" s="11" t="b">
        <f t="shared" si="7"/>
        <v>1</v>
      </c>
      <c r="E31" s="11"/>
      <c r="F31" s="11" t="b">
        <f t="shared" si="8"/>
        <v>0</v>
      </c>
      <c r="G31" s="20" t="str">
        <f>木桩!G31</f>
        <v>小橙武</v>
      </c>
      <c r="H31" s="20" t="b">
        <f>木桩!H31</f>
        <v>0</v>
      </c>
      <c r="N31" s="7"/>
      <c r="O31" s="7"/>
      <c r="P31" s="17" t="s">
        <v>303</v>
      </c>
      <c r="Q31" s="17">
        <f ca="1">(I13-I10)*5/60*H30</f>
        <v>1290.23773328255</v>
      </c>
      <c r="X31" s="23"/>
    </row>
    <row r="32" spans="1:24">
      <c r="A32" s="20" t="str">
        <f>属性!D12</f>
        <v>第十二重</v>
      </c>
      <c r="B32" s="20" t="str">
        <f>属性!E12</f>
        <v>骇日</v>
      </c>
      <c r="C32" s="11" t="s">
        <v>116</v>
      </c>
      <c r="D32" s="11" t="b">
        <f t="shared" si="7"/>
        <v>1</v>
      </c>
      <c r="E32" s="11"/>
      <c r="F32" s="11"/>
      <c r="P32" s="11" t="s">
        <v>305</v>
      </c>
      <c r="Q32" s="20">
        <f ca="1">$I$2/$T$2</f>
        <v>931.881081571831</v>
      </c>
      <c r="X32" s="23"/>
    </row>
    <row r="33" spans="16:22">
      <c r="P33" s="17" t="s">
        <v>306</v>
      </c>
      <c r="Q33" s="20">
        <f ca="1">$I$3/$T$3</f>
        <v>829.854288683112</v>
      </c>
      <c r="U33" s="20"/>
      <c r="V33" s="32"/>
    </row>
    <row r="34" spans="22:22">
      <c r="V34" s="32"/>
    </row>
    <row r="35" spans="1:23">
      <c r="A35" s="11" t="s">
        <v>271</v>
      </c>
      <c r="B35" s="20" t="s">
        <v>272</v>
      </c>
      <c r="C35" s="20" t="s">
        <v>304</v>
      </c>
      <c r="D35" s="20" t="s">
        <v>281</v>
      </c>
      <c r="E35" s="20" t="s">
        <v>278</v>
      </c>
      <c r="H35" s="20"/>
      <c r="I35" s="20"/>
      <c r="J35" s="20"/>
      <c r="K35" s="20"/>
      <c r="L35" s="20"/>
      <c r="M35" s="20"/>
      <c r="N35" s="20"/>
      <c r="O35" s="11"/>
      <c r="P35" s="11"/>
      <c r="Q35" s="11"/>
      <c r="R35" s="11"/>
      <c r="S35" s="11"/>
      <c r="T35" s="7"/>
      <c r="U35" s="7"/>
      <c r="V35" s="32"/>
      <c r="W35" s="34"/>
    </row>
    <row r="36" spans="1:23">
      <c r="A36" s="11" t="s">
        <v>55</v>
      </c>
      <c r="B36" s="20">
        <f ca="1" t="shared" ref="B36:B48" si="9">IFERROR(VLOOKUP(A36,实战技能表,MATCH("怒气",$A$1:$T$1,0),0),0)*C36</f>
        <v>15</v>
      </c>
      <c r="C36" s="20">
        <v>1</v>
      </c>
      <c r="D36" s="20">
        <f ca="1" t="shared" ref="D36:D48" si="10">IFERROR(VLOOKUP(A36,实战技能表,MATCH("时间",$A$1:$T$1,0),0),0)*C36</f>
        <v>1.375</v>
      </c>
      <c r="E36" s="20">
        <f ca="1" t="shared" ref="E36:E48" si="11">IFERROR(VLOOKUP(A36,实战技能表,MATCH("dmg",$A$1:$T$1,0),0),0)*C36</f>
        <v>135607.742664439</v>
      </c>
      <c r="H36" s="20"/>
      <c r="I36" s="20"/>
      <c r="J36" s="20"/>
      <c r="K36" s="20"/>
      <c r="L36" s="20"/>
      <c r="M36" s="20"/>
      <c r="N36" s="20"/>
      <c r="O36" s="11"/>
      <c r="P36" s="11"/>
      <c r="Q36" s="11"/>
      <c r="R36" s="11"/>
      <c r="S36" s="11"/>
      <c r="T36" s="11"/>
      <c r="U36" s="20"/>
      <c r="V36" s="32"/>
      <c r="W36" s="32"/>
    </row>
    <row r="37" spans="1:23">
      <c r="A37" s="11" t="s">
        <v>82</v>
      </c>
      <c r="B37" s="20">
        <f ca="1" t="shared" si="9"/>
        <v>4.5</v>
      </c>
      <c r="C37" s="20">
        <v>0.3</v>
      </c>
      <c r="D37" s="20">
        <f ca="1" t="shared" si="10"/>
        <v>0.4125</v>
      </c>
      <c r="E37" s="20">
        <f ca="1" t="shared" si="11"/>
        <v>23628.1725353459</v>
      </c>
      <c r="H37" s="20"/>
      <c r="I37" s="20"/>
      <c r="J37" s="20"/>
      <c r="K37" s="20"/>
      <c r="L37" s="20"/>
      <c r="M37" s="20"/>
      <c r="N37" s="20"/>
      <c r="O37" s="11"/>
      <c r="P37" s="11"/>
      <c r="Q37" s="11"/>
      <c r="R37" s="11"/>
      <c r="S37" s="11"/>
      <c r="T37" s="11"/>
      <c r="U37" s="20"/>
      <c r="V37" s="32"/>
      <c r="W37" s="32"/>
    </row>
    <row r="38" spans="1:23">
      <c r="A38" s="11" t="s">
        <v>65</v>
      </c>
      <c r="B38" s="20">
        <f ca="1" t="shared" si="9"/>
        <v>-11.25</v>
      </c>
      <c r="C38" s="20">
        <v>0.75</v>
      </c>
      <c r="D38" s="20">
        <f ca="1" t="shared" si="10"/>
        <v>1.03125</v>
      </c>
      <c r="E38" s="20">
        <f ca="1" t="shared" si="11"/>
        <v>58171.3776582219</v>
      </c>
      <c r="H38" s="20"/>
      <c r="I38" s="20"/>
      <c r="J38" s="20"/>
      <c r="K38" s="20"/>
      <c r="L38" s="20"/>
      <c r="M38" s="20"/>
      <c r="N38" s="20"/>
      <c r="O38" s="11"/>
      <c r="P38" s="11"/>
      <c r="Q38" s="11"/>
      <c r="R38" s="11"/>
      <c r="S38" s="11"/>
      <c r="T38" s="11"/>
      <c r="U38" s="20"/>
      <c r="V38" s="32"/>
      <c r="W38" s="32"/>
    </row>
    <row r="39" spans="1:23">
      <c r="A39" s="20" t="s">
        <v>73</v>
      </c>
      <c r="B39" s="20">
        <f ca="1" t="shared" si="9"/>
        <v>-11.25</v>
      </c>
      <c r="C39" s="20">
        <v>0.75</v>
      </c>
      <c r="D39" s="20">
        <f ca="1" t="shared" si="10"/>
        <v>1.03125</v>
      </c>
      <c r="E39" s="20">
        <f ca="1" t="shared" si="11"/>
        <v>36952.6436859244</v>
      </c>
      <c r="H39" s="20"/>
      <c r="I39" s="20"/>
      <c r="J39" s="20"/>
      <c r="K39" s="20"/>
      <c r="L39" s="20"/>
      <c r="M39" s="20"/>
      <c r="N39" s="20"/>
      <c r="O39" s="11"/>
      <c r="P39" s="11"/>
      <c r="Q39" s="11"/>
      <c r="R39" s="11"/>
      <c r="S39" s="11"/>
      <c r="T39" s="11"/>
      <c r="U39" s="20"/>
      <c r="V39" s="32"/>
      <c r="W39" s="32"/>
    </row>
    <row r="40" spans="1:23">
      <c r="A40" s="11" t="s">
        <v>14</v>
      </c>
      <c r="B40" s="20">
        <f ca="1" t="shared" si="9"/>
        <v>-2.5</v>
      </c>
      <c r="C40" s="20">
        <v>0.5</v>
      </c>
      <c r="D40" s="20">
        <f ca="1" t="shared" si="10"/>
        <v>0.6875</v>
      </c>
      <c r="E40" s="20">
        <f ca="1" t="shared" si="11"/>
        <v>42170.6514899743</v>
      </c>
      <c r="H40" s="20"/>
      <c r="I40" s="20"/>
      <c r="J40" s="20"/>
      <c r="K40" s="20"/>
      <c r="L40" s="20"/>
      <c r="M40" s="20"/>
      <c r="N40" s="20"/>
      <c r="O40" s="11"/>
      <c r="P40" s="11"/>
      <c r="Q40" s="11"/>
      <c r="R40" s="11"/>
      <c r="S40" s="11"/>
      <c r="T40" s="11"/>
      <c r="U40" s="20"/>
      <c r="V40" s="32"/>
      <c r="W40" s="32"/>
    </row>
    <row r="41" spans="1:23">
      <c r="A41" s="11" t="s">
        <v>14</v>
      </c>
      <c r="B41" s="20">
        <f ca="1" t="shared" si="9"/>
        <v>-5</v>
      </c>
      <c r="C41" s="20">
        <v>1</v>
      </c>
      <c r="D41" s="20">
        <f ca="1" t="shared" si="10"/>
        <v>1.375</v>
      </c>
      <c r="E41" s="20">
        <f ca="1" t="shared" si="11"/>
        <v>84341.3029799486</v>
      </c>
      <c r="H41" s="20"/>
      <c r="I41" s="20"/>
      <c r="J41" s="20"/>
      <c r="K41" s="20"/>
      <c r="L41" s="20"/>
      <c r="M41" s="20"/>
      <c r="N41" s="20"/>
      <c r="O41" s="11"/>
      <c r="P41" s="11"/>
      <c r="Q41" s="11"/>
      <c r="R41" s="11"/>
      <c r="S41" s="11"/>
      <c r="T41" s="11"/>
      <c r="U41" s="20"/>
      <c r="V41" s="32"/>
      <c r="W41" s="32"/>
    </row>
    <row r="42" spans="1:23">
      <c r="A42" s="11" t="s">
        <v>14</v>
      </c>
      <c r="B42" s="20">
        <f ca="1" t="shared" si="9"/>
        <v>-5</v>
      </c>
      <c r="C42" s="20">
        <v>1</v>
      </c>
      <c r="D42" s="20">
        <f ca="1" t="shared" si="10"/>
        <v>1.375</v>
      </c>
      <c r="E42" s="20">
        <f ca="1" t="shared" si="11"/>
        <v>84341.3029799486</v>
      </c>
      <c r="H42" s="20"/>
      <c r="I42" s="20"/>
      <c r="J42" s="20"/>
      <c r="K42" s="20"/>
      <c r="L42" s="20"/>
      <c r="M42" s="20"/>
      <c r="N42" s="20"/>
      <c r="O42" s="11"/>
      <c r="P42" s="11"/>
      <c r="Q42" s="11"/>
      <c r="R42" s="11"/>
      <c r="S42" s="11"/>
      <c r="T42" s="11"/>
      <c r="U42" s="20"/>
      <c r="V42" s="32"/>
      <c r="W42" s="32"/>
    </row>
    <row r="43" spans="1:23">
      <c r="A43" s="11" t="s">
        <v>14</v>
      </c>
      <c r="B43" s="20">
        <f ca="1" t="shared" si="9"/>
        <v>-5</v>
      </c>
      <c r="C43" s="20">
        <v>1</v>
      </c>
      <c r="D43" s="20">
        <f ca="1" t="shared" si="10"/>
        <v>1.375</v>
      </c>
      <c r="E43" s="20">
        <f ca="1" t="shared" si="11"/>
        <v>84341.3029799486</v>
      </c>
      <c r="H43" s="20"/>
      <c r="I43" s="20"/>
      <c r="J43" s="20"/>
      <c r="K43" s="20"/>
      <c r="L43" s="20"/>
      <c r="M43" s="20"/>
      <c r="N43" s="20"/>
      <c r="O43" s="11"/>
      <c r="P43" s="11"/>
      <c r="Q43" s="11"/>
      <c r="R43" s="11"/>
      <c r="S43" s="11"/>
      <c r="T43" s="11"/>
      <c r="U43" s="20"/>
      <c r="V43" s="32"/>
      <c r="W43" s="32"/>
    </row>
    <row r="44" spans="1:23">
      <c r="A44" s="11" t="s">
        <v>14</v>
      </c>
      <c r="B44" s="20">
        <f ca="1" t="shared" si="9"/>
        <v>-5</v>
      </c>
      <c r="C44" s="20">
        <v>1</v>
      </c>
      <c r="D44" s="20">
        <f ca="1" t="shared" si="10"/>
        <v>1.375</v>
      </c>
      <c r="E44" s="20">
        <f ca="1" t="shared" si="11"/>
        <v>84341.3029799486</v>
      </c>
      <c r="H44" s="20"/>
      <c r="I44" s="20"/>
      <c r="J44" s="20"/>
      <c r="K44" s="20"/>
      <c r="L44" s="20"/>
      <c r="M44" s="20"/>
      <c r="N44" s="20"/>
      <c r="O44" s="11"/>
      <c r="P44" s="11"/>
      <c r="Q44" s="11"/>
      <c r="R44" s="11"/>
      <c r="S44" s="11"/>
      <c r="T44" s="11"/>
      <c r="U44" s="20"/>
      <c r="V44" s="32"/>
      <c r="W44" s="32"/>
    </row>
    <row r="45" spans="1:23">
      <c r="A45" s="11" t="s">
        <v>14</v>
      </c>
      <c r="B45" s="20">
        <f ca="1" t="shared" si="9"/>
        <v>-5</v>
      </c>
      <c r="C45" s="20">
        <v>1</v>
      </c>
      <c r="D45" s="20">
        <f ca="1" t="shared" si="10"/>
        <v>1.375</v>
      </c>
      <c r="E45" s="20">
        <f ca="1" t="shared" si="11"/>
        <v>84341.3029799486</v>
      </c>
      <c r="H45" s="20"/>
      <c r="I45" s="20"/>
      <c r="J45" s="20"/>
      <c r="K45" s="20"/>
      <c r="L45" s="20"/>
      <c r="M45" s="20"/>
      <c r="N45" s="20"/>
      <c r="O45" s="11"/>
      <c r="P45" s="11"/>
      <c r="Q45" s="11"/>
      <c r="R45" s="11"/>
      <c r="S45" s="11"/>
      <c r="T45" s="11"/>
      <c r="U45" s="20"/>
      <c r="V45" s="32"/>
      <c r="W45" s="32"/>
    </row>
    <row r="46" spans="1:23">
      <c r="A46" s="11" t="s">
        <v>14</v>
      </c>
      <c r="B46" s="20">
        <f ca="1" t="shared" si="9"/>
        <v>-5</v>
      </c>
      <c r="C46" s="20">
        <v>1</v>
      </c>
      <c r="D46" s="20">
        <f ca="1" t="shared" si="10"/>
        <v>1.375</v>
      </c>
      <c r="E46" s="20">
        <f ca="1" t="shared" si="11"/>
        <v>84341.3029799486</v>
      </c>
      <c r="H46" s="20"/>
      <c r="I46" s="20"/>
      <c r="J46" s="20"/>
      <c r="K46" s="20"/>
      <c r="L46" s="20"/>
      <c r="M46" s="20"/>
      <c r="N46" s="20"/>
      <c r="O46" s="11"/>
      <c r="P46" s="11"/>
      <c r="Q46" s="11"/>
      <c r="R46" s="11"/>
      <c r="S46" s="11"/>
      <c r="T46" s="11"/>
      <c r="U46" s="20"/>
      <c r="V46" s="32"/>
      <c r="W46" s="32"/>
    </row>
    <row r="47" spans="1:23">
      <c r="A47" s="11" t="s">
        <v>14</v>
      </c>
      <c r="B47" s="20">
        <f ca="1" t="shared" si="9"/>
        <v>-5</v>
      </c>
      <c r="C47" s="20">
        <v>1</v>
      </c>
      <c r="D47" s="20">
        <f ca="1" t="shared" si="10"/>
        <v>1.375</v>
      </c>
      <c r="E47" s="20">
        <f ca="1" t="shared" si="11"/>
        <v>84341.3029799486</v>
      </c>
      <c r="H47" s="20"/>
      <c r="I47" s="20"/>
      <c r="J47" s="20"/>
      <c r="K47" s="20"/>
      <c r="L47" s="20"/>
      <c r="M47" s="7"/>
      <c r="N47" s="7"/>
      <c r="O47" s="11"/>
      <c r="P47" s="11"/>
      <c r="Q47" s="11"/>
      <c r="R47" s="11"/>
      <c r="S47" s="11"/>
      <c r="T47" s="11"/>
      <c r="U47" s="20"/>
      <c r="V47" s="32"/>
      <c r="W47" s="32"/>
    </row>
    <row r="48" spans="1:23">
      <c r="A48" s="11" t="s">
        <v>14</v>
      </c>
      <c r="B48" s="20">
        <f ca="1" t="shared" si="9"/>
        <v>-5</v>
      </c>
      <c r="C48" s="20">
        <v>1</v>
      </c>
      <c r="D48" s="20">
        <f ca="1" t="shared" si="10"/>
        <v>1.375</v>
      </c>
      <c r="E48" s="20">
        <f ca="1" t="shared" si="11"/>
        <v>84341.3029799486</v>
      </c>
      <c r="H48" s="20"/>
      <c r="I48" s="20"/>
      <c r="J48" s="20"/>
      <c r="K48" s="20"/>
      <c r="L48" s="20"/>
      <c r="M48" s="7"/>
      <c r="N48" s="7"/>
      <c r="O48" s="11"/>
      <c r="P48" s="11"/>
      <c r="Q48" s="11"/>
      <c r="R48" s="11"/>
      <c r="S48" s="11"/>
      <c r="T48" s="11"/>
      <c r="U48" s="20"/>
      <c r="V48" s="32"/>
      <c r="W48" s="32"/>
    </row>
    <row r="49" spans="1:23">
      <c r="A49" s="11"/>
      <c r="B49" s="7"/>
      <c r="C49" s="11">
        <f>SUM(C38:C48)</f>
        <v>10</v>
      </c>
      <c r="D49" s="11">
        <f ca="1">SUM(D39:D48)+C49/16</f>
        <v>13.34375</v>
      </c>
      <c r="E49" s="7">
        <f ca="1">INT(D49+1)*$I$9</f>
        <v>175429.620656233</v>
      </c>
      <c r="F49" s="11">
        <f ca="1">D49*$I$16/$T$15+(D50-D49)*$I$15/$T$15</f>
        <v>103275.316282336</v>
      </c>
      <c r="H49" s="20"/>
      <c r="I49" s="20"/>
      <c r="J49" s="20"/>
      <c r="K49" s="20"/>
      <c r="L49" s="20"/>
      <c r="O49" s="11"/>
      <c r="P49" s="11"/>
      <c r="Q49" s="11"/>
      <c r="R49" s="11"/>
      <c r="S49" s="11"/>
      <c r="T49" s="11"/>
      <c r="U49" s="20"/>
      <c r="V49" s="32"/>
      <c r="W49" s="32"/>
    </row>
    <row r="50" spans="1:23">
      <c r="A50" s="11"/>
      <c r="B50" s="11">
        <f ca="1">SUM(B36:B48)</f>
        <v>-45.5</v>
      </c>
      <c r="C50" s="11">
        <f>SUM(C36:C48)</f>
        <v>11.3</v>
      </c>
      <c r="D50" s="11">
        <f ca="1">SUM(D36:D48)</f>
        <v>15.5375</v>
      </c>
      <c r="E50" s="11">
        <f ca="1">SUM(E36:E49)</f>
        <v>1146690.63252973</v>
      </c>
      <c r="H50" s="20"/>
      <c r="I50" s="20"/>
      <c r="J50" s="20"/>
      <c r="K50" s="20"/>
      <c r="L50" s="20"/>
      <c r="O50" s="11"/>
      <c r="P50" s="11"/>
      <c r="Q50" s="11"/>
      <c r="R50" s="11"/>
      <c r="S50" s="11"/>
      <c r="T50" s="7"/>
      <c r="U50" s="20"/>
      <c r="V50" s="32"/>
      <c r="W50" s="32"/>
    </row>
    <row r="51" spans="1:23">
      <c r="A51" s="11"/>
      <c r="B51" s="11">
        <v>0</v>
      </c>
      <c r="C51" s="11">
        <f>C50*B51</f>
        <v>0</v>
      </c>
      <c r="D51" s="11">
        <f ca="1">D50+C51/16</f>
        <v>15.5375</v>
      </c>
      <c r="E51" s="11">
        <f ca="1">E50/D51</f>
        <v>73801.4888192906</v>
      </c>
      <c r="F51" s="11">
        <f ca="1">F49/D51</f>
        <v>6646.84256040776</v>
      </c>
      <c r="G51" s="11">
        <f ca="1" t="shared" ref="G51:G55" si="12">(E51+F51+$Q$30+$Q$31+$Q$32+$Q$33)*(1+$P$23)</f>
        <v>102701.958122671</v>
      </c>
      <c r="H51" s="20"/>
      <c r="I51" s="20"/>
      <c r="J51" s="20"/>
      <c r="K51" s="20"/>
      <c r="L51" s="20"/>
      <c r="O51" s="11"/>
      <c r="P51" s="11"/>
      <c r="Q51" s="11"/>
      <c r="R51" s="11"/>
      <c r="S51" s="11"/>
      <c r="T51" s="11"/>
      <c r="U51" s="20"/>
      <c r="V51" s="32"/>
      <c r="W51" s="32"/>
    </row>
    <row r="52" spans="1:23">
      <c r="A52" s="11"/>
      <c r="B52" s="11">
        <v>1</v>
      </c>
      <c r="C52" s="11">
        <f>C50*B52</f>
        <v>11.3</v>
      </c>
      <c r="D52" s="11">
        <f ca="1">D50+C52/16</f>
        <v>16.24375</v>
      </c>
      <c r="E52" s="11">
        <f ca="1">E50/D52</f>
        <v>70592.7284358432</v>
      </c>
      <c r="F52" s="11">
        <f ca="1">F49/D52</f>
        <v>6357.84940560743</v>
      </c>
      <c r="G52" s="11">
        <f ca="1" t="shared" si="12"/>
        <v>99204.2045844232</v>
      </c>
      <c r="H52" s="20">
        <f ca="1">(G52-实战!G52)*10</f>
        <v>3.83636692524306</v>
      </c>
      <c r="I52" s="20"/>
      <c r="J52" s="20"/>
      <c r="K52" s="20"/>
      <c r="L52" s="20"/>
      <c r="O52" s="11"/>
      <c r="P52" s="11"/>
      <c r="Q52" s="7"/>
      <c r="R52" s="11"/>
      <c r="S52" s="11"/>
      <c r="T52" s="11"/>
      <c r="U52" s="20"/>
      <c r="V52" s="32"/>
      <c r="W52" s="32"/>
    </row>
    <row r="53" spans="1:23">
      <c r="A53" s="11"/>
      <c r="B53" s="11">
        <v>3</v>
      </c>
      <c r="C53" s="11">
        <f>C50*B53</f>
        <v>33.9</v>
      </c>
      <c r="D53" s="11">
        <f ca="1">D50+C53/16</f>
        <v>17.65625</v>
      </c>
      <c r="E53" s="11">
        <f ca="1">E50/D53</f>
        <v>64945.3101609758</v>
      </c>
      <c r="F53" s="20">
        <f ca="1">F49/D53</f>
        <v>5849.22145315883</v>
      </c>
      <c r="G53" s="11">
        <f ca="1" t="shared" si="12"/>
        <v>93048.1583571071</v>
      </c>
      <c r="H53" s="20"/>
      <c r="I53" s="20"/>
      <c r="J53" s="20"/>
      <c r="K53" s="20"/>
      <c r="L53" s="20"/>
      <c r="O53" s="7"/>
      <c r="P53" s="11"/>
      <c r="Q53" s="7"/>
      <c r="R53" s="11"/>
      <c r="S53" s="11"/>
      <c r="T53" s="11"/>
      <c r="U53" s="20"/>
      <c r="V53" s="32"/>
      <c r="W53" s="32"/>
    </row>
    <row r="54" spans="1:23">
      <c r="A54" s="11"/>
      <c r="B54" s="11">
        <v>5</v>
      </c>
      <c r="C54" s="11">
        <f>C50*B54</f>
        <v>56.5</v>
      </c>
      <c r="D54" s="11">
        <f ca="1">D50+C54/16</f>
        <v>19.06875</v>
      </c>
      <c r="E54" s="11">
        <f ca="1">E50/D54</f>
        <v>60134.5464453479</v>
      </c>
      <c r="F54" s="20">
        <f ca="1">F49/D54</f>
        <v>5415.94578996188</v>
      </c>
      <c r="G54" s="11">
        <f ca="1" t="shared" si="12"/>
        <v>87804.1189782823</v>
      </c>
      <c r="H54" s="11"/>
      <c r="I54" s="20"/>
      <c r="J54" s="20"/>
      <c r="K54" s="20"/>
      <c r="L54" s="20"/>
      <c r="O54" s="11"/>
      <c r="P54" s="11"/>
      <c r="Q54" s="7"/>
      <c r="R54" s="11"/>
      <c r="S54" s="11"/>
      <c r="T54" s="11"/>
      <c r="U54" s="20"/>
      <c r="V54" s="32"/>
      <c r="W54" s="32"/>
    </row>
    <row r="55" spans="1:23">
      <c r="A55" s="11"/>
      <c r="B55" s="11">
        <v>7</v>
      </c>
      <c r="C55" s="11">
        <f>C50*B55</f>
        <v>79.1</v>
      </c>
      <c r="D55" s="11">
        <f ca="1">D50+C55/16</f>
        <v>20.48125</v>
      </c>
      <c r="E55" s="11">
        <f ca="1">E50/D55</f>
        <v>55987.3363456688</v>
      </c>
      <c r="F55" s="20">
        <f ca="1">F49/D55</f>
        <v>5042.43228720589</v>
      </c>
      <c r="G55" s="11">
        <f ca="1" t="shared" si="12"/>
        <v>83283.3953758472</v>
      </c>
      <c r="H55" s="11"/>
      <c r="I55" s="20"/>
      <c r="J55" s="20"/>
      <c r="K55" s="20"/>
      <c r="L55" s="20"/>
      <c r="O55" s="11"/>
      <c r="P55" s="11"/>
      <c r="Q55" s="7"/>
      <c r="R55" s="11"/>
      <c r="S55" s="11"/>
      <c r="T55" s="11"/>
      <c r="U55" s="20"/>
      <c r="V55" s="32"/>
      <c r="W55" s="32"/>
    </row>
    <row r="56" spans="8:23">
      <c r="H56" s="20"/>
      <c r="I56" s="20"/>
      <c r="J56" s="20"/>
      <c r="K56" s="20"/>
      <c r="L56" s="20"/>
      <c r="M56" s="20"/>
      <c r="N56" s="20"/>
      <c r="O56" s="11"/>
      <c r="P56" s="11"/>
      <c r="Q56" s="7"/>
      <c r="R56" s="11"/>
      <c r="S56" s="11"/>
      <c r="T56" s="11"/>
      <c r="U56" s="20"/>
      <c r="V56" s="32"/>
      <c r="W56" s="32"/>
    </row>
    <row r="57" spans="8:24">
      <c r="H57" s="20"/>
      <c r="I57" s="20"/>
      <c r="J57" s="20"/>
      <c r="K57" s="20"/>
      <c r="L57" s="20"/>
      <c r="M57" s="20"/>
      <c r="N57" s="20"/>
      <c r="O57" s="11"/>
      <c r="P57" s="11"/>
      <c r="Q57" s="7"/>
      <c r="R57" s="11"/>
      <c r="S57" s="11"/>
      <c r="T57" s="11"/>
      <c r="U57" s="20"/>
      <c r="V57" s="32"/>
      <c r="W57" s="32"/>
      <c r="X57" s="32"/>
    </row>
    <row r="58" spans="1:23">
      <c r="A58" s="20"/>
      <c r="B58" s="20"/>
      <c r="C58" s="20"/>
      <c r="D58" s="20"/>
      <c r="E58" s="20"/>
      <c r="H58" s="20"/>
      <c r="I58" s="20"/>
      <c r="J58" s="20"/>
      <c r="K58" s="20"/>
      <c r="L58" s="20"/>
      <c r="M58" s="20"/>
      <c r="N58" s="20"/>
      <c r="O58" s="11"/>
      <c r="P58" s="11"/>
      <c r="Q58" s="7"/>
      <c r="R58" s="11"/>
      <c r="S58" s="11"/>
      <c r="T58" s="11"/>
      <c r="U58" s="20"/>
      <c r="V58" s="32"/>
      <c r="W58" s="34"/>
    </row>
    <row r="59" spans="1:23">
      <c r="A59" s="20"/>
      <c r="B59" s="20"/>
      <c r="C59" s="20"/>
      <c r="D59" s="20"/>
      <c r="E59" s="20"/>
      <c r="H59" s="20"/>
      <c r="I59" s="20"/>
      <c r="J59" s="20"/>
      <c r="K59" s="20"/>
      <c r="L59" s="20"/>
      <c r="M59" s="20"/>
      <c r="N59" s="20"/>
      <c r="O59" s="11"/>
      <c r="P59" s="11"/>
      <c r="Q59" s="7"/>
      <c r="R59" s="11"/>
      <c r="S59" s="11"/>
      <c r="T59" s="11"/>
      <c r="U59" s="20"/>
      <c r="V59" s="32"/>
      <c r="W59" s="34"/>
    </row>
    <row r="60" spans="1:23">
      <c r="A60" s="20"/>
      <c r="B60" s="20"/>
      <c r="C60" s="20"/>
      <c r="D60" s="20"/>
      <c r="E60" s="20"/>
      <c r="H60" s="20"/>
      <c r="I60" s="20"/>
      <c r="J60" s="20"/>
      <c r="K60" s="20"/>
      <c r="L60" s="20"/>
      <c r="M60" s="20"/>
      <c r="N60" s="20"/>
      <c r="O60" s="11"/>
      <c r="P60" s="11"/>
      <c r="Q60" s="7"/>
      <c r="R60" s="11"/>
      <c r="S60" s="11"/>
      <c r="T60" s="11"/>
      <c r="U60" s="20"/>
      <c r="V60" s="32"/>
      <c r="W60" s="34"/>
    </row>
    <row r="61" spans="1:23">
      <c r="A61" s="20"/>
      <c r="B61" s="20"/>
      <c r="C61" s="20"/>
      <c r="D61" s="20"/>
      <c r="E61" s="20"/>
      <c r="H61" s="20"/>
      <c r="I61" s="20"/>
      <c r="J61" s="20"/>
      <c r="K61" s="20"/>
      <c r="L61" s="20"/>
      <c r="M61" s="20"/>
      <c r="N61" s="20"/>
      <c r="O61" s="11"/>
      <c r="P61" s="11"/>
      <c r="Q61" s="7"/>
      <c r="R61" s="11"/>
      <c r="S61" s="11"/>
      <c r="T61" s="11"/>
      <c r="U61" s="20"/>
      <c r="V61" s="32"/>
      <c r="W61" s="34"/>
    </row>
    <row r="62" spans="1:23">
      <c r="A62" s="20"/>
      <c r="B62" s="20"/>
      <c r="C62" s="20"/>
      <c r="D62" s="20"/>
      <c r="E62" s="20"/>
      <c r="H62" s="20"/>
      <c r="I62" s="20"/>
      <c r="J62" s="20"/>
      <c r="K62" s="20"/>
      <c r="L62" s="20"/>
      <c r="M62" s="20"/>
      <c r="N62" s="20"/>
      <c r="O62" s="11"/>
      <c r="P62" s="11"/>
      <c r="Q62" s="7"/>
      <c r="R62" s="11"/>
      <c r="S62" s="11"/>
      <c r="T62" s="11"/>
      <c r="U62" s="20"/>
      <c r="V62" s="32"/>
      <c r="W62" s="34"/>
    </row>
    <row r="63" spans="1:23">
      <c r="A63" s="20"/>
      <c r="B63" s="20"/>
      <c r="C63" s="20"/>
      <c r="D63" s="20"/>
      <c r="E63" s="20"/>
      <c r="H63" s="20"/>
      <c r="I63" s="20"/>
      <c r="J63" s="20"/>
      <c r="K63" s="20"/>
      <c r="L63" s="20"/>
      <c r="M63" s="20"/>
      <c r="N63" s="20"/>
      <c r="O63" s="11"/>
      <c r="U63" s="20"/>
      <c r="V63" s="32"/>
      <c r="W63" s="34"/>
    </row>
    <row r="64" spans="1:23">
      <c r="A64" s="20"/>
      <c r="B64" s="20"/>
      <c r="C64" s="20"/>
      <c r="D64" s="20"/>
      <c r="E64" s="20"/>
      <c r="H64" s="20"/>
      <c r="I64" s="20"/>
      <c r="J64" s="20"/>
      <c r="K64" s="20"/>
      <c r="L64" s="20"/>
      <c r="M64" s="20"/>
      <c r="N64" s="20"/>
      <c r="P64" s="7"/>
      <c r="Q64" s="11"/>
      <c r="R64" s="11"/>
      <c r="S64" s="7"/>
      <c r="T64" s="11"/>
      <c r="U64" s="20"/>
      <c r="V64" s="32"/>
      <c r="W64" s="34"/>
    </row>
    <row r="65" spans="1:23">
      <c r="A65" s="20"/>
      <c r="B65" s="20"/>
      <c r="C65" s="20"/>
      <c r="D65" s="20"/>
      <c r="E65" s="20"/>
      <c r="H65" s="20"/>
      <c r="I65" s="20"/>
      <c r="J65" s="20"/>
      <c r="K65" s="20"/>
      <c r="L65" s="20"/>
      <c r="M65" s="20"/>
      <c r="N65" s="20"/>
      <c r="O65" s="11"/>
      <c r="P65" s="11"/>
      <c r="Q65" s="11"/>
      <c r="R65" s="11"/>
      <c r="S65" s="11"/>
      <c r="T65" s="11"/>
      <c r="U65" s="20"/>
      <c r="V65" s="32"/>
      <c r="W65" s="34"/>
    </row>
    <row r="66" spans="1:23">
      <c r="A66" s="20"/>
      <c r="B66" s="20"/>
      <c r="C66" s="20"/>
      <c r="D66" s="20"/>
      <c r="E66" s="20"/>
      <c r="H66" s="20"/>
      <c r="I66" s="20"/>
      <c r="J66" s="20"/>
      <c r="K66" s="20"/>
      <c r="L66" s="20"/>
      <c r="M66" s="20"/>
      <c r="N66" s="20"/>
      <c r="O66" s="11"/>
      <c r="P66" s="11"/>
      <c r="Q66" s="11"/>
      <c r="R66" s="11"/>
      <c r="S66" s="11"/>
      <c r="T66" s="11"/>
      <c r="U66" s="11"/>
      <c r="V66" s="32"/>
      <c r="W66" s="34"/>
    </row>
    <row r="67" spans="1:23">
      <c r="A67" s="20"/>
      <c r="B67" s="20"/>
      <c r="C67" s="20"/>
      <c r="D67" s="20"/>
      <c r="E67" s="20"/>
      <c r="H67" s="20"/>
      <c r="I67" s="20"/>
      <c r="J67" s="20"/>
      <c r="K67" s="20"/>
      <c r="L67" s="20"/>
      <c r="O67" s="11"/>
      <c r="P67" s="11"/>
      <c r="Q67" s="11"/>
      <c r="R67" s="11"/>
      <c r="S67" s="11"/>
      <c r="T67" s="11"/>
      <c r="U67" s="11"/>
      <c r="V67" s="32"/>
      <c r="W67" s="34"/>
    </row>
    <row r="68" spans="1:2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O68" s="11"/>
      <c r="P68" s="11"/>
      <c r="Q68" s="11"/>
      <c r="R68" s="11"/>
      <c r="S68" s="11"/>
      <c r="T68" s="20"/>
      <c r="U68" s="11"/>
      <c r="V68" s="32"/>
      <c r="W68" s="34"/>
    </row>
    <row r="69" spans="1:23">
      <c r="A69" s="20"/>
      <c r="B69" s="20"/>
      <c r="C69" s="20"/>
      <c r="D69" s="20"/>
      <c r="E69" s="20"/>
      <c r="F69" s="20"/>
      <c r="G69" s="20"/>
      <c r="H69" s="11"/>
      <c r="I69" s="20"/>
      <c r="J69" s="20"/>
      <c r="K69" s="20"/>
      <c r="L69" s="20"/>
      <c r="O69" s="11"/>
      <c r="P69" s="11"/>
      <c r="Q69" s="11"/>
      <c r="R69" s="11"/>
      <c r="S69" s="11"/>
      <c r="T69" s="20"/>
      <c r="U69" s="11"/>
      <c r="V69" s="32"/>
      <c r="W69" s="34"/>
    </row>
    <row r="70" spans="1:23">
      <c r="A70" s="20"/>
      <c r="B70" s="20"/>
      <c r="C70" s="20"/>
      <c r="D70" s="20"/>
      <c r="E70" s="20"/>
      <c r="F70" s="20"/>
      <c r="G70" s="20"/>
      <c r="H70" s="11"/>
      <c r="I70" s="20"/>
      <c r="J70" s="20"/>
      <c r="K70" s="20"/>
      <c r="L70" s="20"/>
      <c r="O70" s="11"/>
      <c r="P70" s="11"/>
      <c r="Q70" s="11"/>
      <c r="R70" s="11"/>
      <c r="S70" s="11"/>
      <c r="T70" s="20"/>
      <c r="U70" s="11"/>
      <c r="V70" s="32"/>
      <c r="W70" s="34"/>
    </row>
    <row r="71" spans="1:23">
      <c r="A71" s="11"/>
      <c r="B71" s="7"/>
      <c r="C71" s="11"/>
      <c r="D71" s="11"/>
      <c r="E71" s="7"/>
      <c r="F71" s="11"/>
      <c r="G71" s="11"/>
      <c r="H71" s="20"/>
      <c r="I71" s="7"/>
      <c r="J71" s="11"/>
      <c r="K71" s="11"/>
      <c r="L71" s="7"/>
      <c r="M71" s="11"/>
      <c r="N71" s="11"/>
      <c r="U71" s="20"/>
      <c r="V71" s="32"/>
      <c r="W71" s="34"/>
    </row>
    <row r="72" spans="1:23">
      <c r="A72" s="7"/>
      <c r="B72" s="11"/>
      <c r="C72" s="11"/>
      <c r="D72" s="11"/>
      <c r="E72" s="11"/>
      <c r="F72" s="11"/>
      <c r="G72" s="11"/>
      <c r="H72" s="20"/>
      <c r="I72" s="11"/>
      <c r="J72" s="11"/>
      <c r="K72" s="11"/>
      <c r="L72" s="11"/>
      <c r="N72" s="11"/>
      <c r="O72" s="20"/>
      <c r="U72" s="20"/>
      <c r="V72" s="32"/>
      <c r="W72" s="34"/>
    </row>
    <row r="73" spans="1:23">
      <c r="A73" s="11"/>
      <c r="B73" s="11"/>
      <c r="C73" s="11"/>
      <c r="D73" s="11"/>
      <c r="E73" s="11"/>
      <c r="F73" s="11"/>
      <c r="G73" s="11"/>
      <c r="H73" s="20"/>
      <c r="I73" s="11"/>
      <c r="J73" s="11"/>
      <c r="K73" s="11"/>
      <c r="L73" s="11"/>
      <c r="M73" s="11"/>
      <c r="N73" s="11"/>
      <c r="O73" s="20"/>
      <c r="U73" s="20"/>
      <c r="V73" s="32"/>
      <c r="W73" s="34"/>
    </row>
    <row r="74" spans="1:23">
      <c r="A74" s="11"/>
      <c r="B74" s="11"/>
      <c r="C74" s="11"/>
      <c r="D74" s="11"/>
      <c r="E74" s="11"/>
      <c r="F74" s="11"/>
      <c r="G74" s="11"/>
      <c r="H74" s="20"/>
      <c r="I74" s="11"/>
      <c r="J74" s="11"/>
      <c r="K74" s="11"/>
      <c r="L74" s="11"/>
      <c r="M74" s="11"/>
      <c r="N74" s="11"/>
      <c r="O74" s="20"/>
      <c r="U74" s="20"/>
      <c r="V74" s="32"/>
      <c r="W74" s="34"/>
    </row>
    <row r="75" spans="1:23">
      <c r="A75" s="11"/>
      <c r="B75" s="11"/>
      <c r="C75" s="11"/>
      <c r="D75" s="11"/>
      <c r="E75" s="11"/>
      <c r="F75" s="20"/>
      <c r="G75" s="11"/>
      <c r="H75" s="20"/>
      <c r="I75" s="11"/>
      <c r="J75" s="11"/>
      <c r="K75" s="11"/>
      <c r="L75" s="11"/>
      <c r="M75" s="20"/>
      <c r="N75" s="11"/>
      <c r="O75" s="20"/>
      <c r="U75" s="20"/>
      <c r="V75" s="32"/>
      <c r="W75" s="34"/>
    </row>
    <row r="76" spans="1:23">
      <c r="A76" s="11"/>
      <c r="B76" s="11"/>
      <c r="C76" s="11"/>
      <c r="D76" s="11"/>
      <c r="E76" s="11"/>
      <c r="F76" s="20"/>
      <c r="G76" s="11"/>
      <c r="H76" s="20"/>
      <c r="I76" s="11"/>
      <c r="J76" s="11"/>
      <c r="K76" s="11"/>
      <c r="L76" s="11"/>
      <c r="M76" s="20"/>
      <c r="N76" s="11"/>
      <c r="O76" s="20"/>
      <c r="U76" s="20"/>
      <c r="V76" s="32"/>
      <c r="W76" s="34"/>
    </row>
    <row r="77" spans="1:23">
      <c r="A77" s="11"/>
      <c r="B77" s="11"/>
      <c r="C77" s="11"/>
      <c r="D77" s="11"/>
      <c r="E77" s="11"/>
      <c r="F77" s="20"/>
      <c r="G77" s="11"/>
      <c r="H77" s="20"/>
      <c r="I77" s="11"/>
      <c r="J77" s="11"/>
      <c r="K77" s="11"/>
      <c r="L77" s="11"/>
      <c r="M77" s="20"/>
      <c r="N77" s="11"/>
      <c r="O77" s="20"/>
      <c r="U77" s="20"/>
      <c r="V77" s="32"/>
      <c r="W77" s="34"/>
    </row>
    <row r="78" spans="8:23">
      <c r="H78" s="11"/>
      <c r="I78" s="11"/>
      <c r="J78" s="1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32"/>
      <c r="W78" s="34"/>
    </row>
    <row r="79" spans="8:23">
      <c r="H79" s="11"/>
      <c r="I79" s="11"/>
      <c r="J79" s="1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32"/>
      <c r="W79" s="34"/>
    </row>
    <row r="80" spans="1:2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32"/>
      <c r="W80" s="34"/>
    </row>
    <row r="81" spans="1:2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32"/>
      <c r="W81" s="34"/>
    </row>
    <row r="82" spans="1:2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32"/>
      <c r="W82" s="34"/>
    </row>
    <row r="83" spans="1:2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32"/>
      <c r="W83" s="34"/>
    </row>
    <row r="84" spans="1:2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32"/>
      <c r="W84" s="34"/>
    </row>
    <row r="85" spans="1:2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32"/>
      <c r="W85" s="34"/>
    </row>
    <row r="86" spans="1:2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32"/>
      <c r="W86" s="34"/>
    </row>
    <row r="87" spans="1:2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32"/>
      <c r="W87" s="34"/>
    </row>
    <row r="88" spans="1:2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32"/>
      <c r="W88" s="34"/>
    </row>
    <row r="89" spans="1:2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32"/>
      <c r="W89" s="34"/>
    </row>
    <row r="90" spans="1:2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32"/>
      <c r="W90" s="34"/>
    </row>
    <row r="91" spans="1:2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32"/>
      <c r="W91" s="34"/>
    </row>
    <row r="92" spans="1:2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32"/>
      <c r="W92" s="34"/>
    </row>
    <row r="93" spans="1:23">
      <c r="A93" s="20"/>
      <c r="B93" s="20"/>
      <c r="C93" s="20"/>
      <c r="D93" s="20"/>
      <c r="E93" s="20"/>
      <c r="F93" s="11"/>
      <c r="G93" s="7"/>
      <c r="H93" s="20"/>
      <c r="I93" s="20"/>
      <c r="J93" s="20"/>
      <c r="K93" s="20"/>
      <c r="L93" s="20"/>
      <c r="M93" s="11"/>
      <c r="N93" s="7"/>
      <c r="O93" s="20"/>
      <c r="P93" s="20"/>
      <c r="Q93" s="20"/>
      <c r="R93" s="20"/>
      <c r="S93" s="20"/>
      <c r="T93" s="11"/>
      <c r="U93" s="7"/>
      <c r="V93" s="32"/>
      <c r="W93" s="34"/>
    </row>
    <row r="94" spans="1:23">
      <c r="A94" s="20"/>
      <c r="B94" s="20"/>
      <c r="C94" s="20"/>
      <c r="D94" s="20"/>
      <c r="E94" s="20"/>
      <c r="F94" s="7"/>
      <c r="G94" s="11"/>
      <c r="H94" s="20"/>
      <c r="I94" s="20"/>
      <c r="J94" s="20"/>
      <c r="K94" s="20"/>
      <c r="L94" s="20"/>
      <c r="M94" s="7"/>
      <c r="N94" s="11"/>
      <c r="O94" s="20"/>
      <c r="P94" s="20"/>
      <c r="Q94" s="20"/>
      <c r="R94" s="20"/>
      <c r="S94" s="20"/>
      <c r="T94" s="7"/>
      <c r="U94" s="11"/>
      <c r="V94" s="32"/>
      <c r="W94" s="34"/>
    </row>
    <row r="95" spans="1:23">
      <c r="A95" s="20"/>
      <c r="B95" s="20"/>
      <c r="C95" s="20"/>
      <c r="D95" s="20"/>
      <c r="E95" s="20"/>
      <c r="F95" s="11"/>
      <c r="G95" s="11"/>
      <c r="H95" s="20"/>
      <c r="I95" s="20"/>
      <c r="J95" s="20"/>
      <c r="K95" s="20"/>
      <c r="L95" s="20"/>
      <c r="M95" s="11"/>
      <c r="N95" s="11"/>
      <c r="O95" s="20"/>
      <c r="P95" s="20"/>
      <c r="Q95" s="20"/>
      <c r="R95" s="20"/>
      <c r="S95" s="20"/>
      <c r="T95" s="11"/>
      <c r="U95" s="11"/>
      <c r="V95" s="32"/>
      <c r="W95" s="34"/>
    </row>
    <row r="96" spans="1:23">
      <c r="A96" s="20"/>
      <c r="B96" s="7"/>
      <c r="C96" s="11"/>
      <c r="D96" s="11"/>
      <c r="E96" s="7"/>
      <c r="F96" s="11"/>
      <c r="G96" s="11"/>
      <c r="H96" s="20"/>
      <c r="I96" s="20"/>
      <c r="J96" s="20"/>
      <c r="K96" s="20"/>
      <c r="L96" s="20"/>
      <c r="O96" s="20"/>
      <c r="P96" s="20"/>
      <c r="Q96" s="20"/>
      <c r="R96" s="20"/>
      <c r="S96" s="20"/>
      <c r="V96" s="32"/>
      <c r="W96" s="34"/>
    </row>
    <row r="97" spans="1:23">
      <c r="A97" s="20"/>
      <c r="B97" s="11"/>
      <c r="C97" s="11"/>
      <c r="D97" s="11"/>
      <c r="E97" s="11"/>
      <c r="G97" s="11"/>
      <c r="H97" s="20"/>
      <c r="I97" s="7"/>
      <c r="J97" s="11"/>
      <c r="K97" s="11"/>
      <c r="L97" s="7"/>
      <c r="M97" s="11"/>
      <c r="N97" s="11"/>
      <c r="O97" s="20"/>
      <c r="P97" s="20"/>
      <c r="Q97" s="20"/>
      <c r="R97" s="20"/>
      <c r="S97" s="20"/>
      <c r="V97" s="32"/>
      <c r="W97" s="34"/>
    </row>
    <row r="98" spans="1:23">
      <c r="A98" s="20"/>
      <c r="B98" s="11"/>
      <c r="C98" s="11"/>
      <c r="D98" s="11"/>
      <c r="E98" s="11"/>
      <c r="F98" s="11"/>
      <c r="G98" s="11"/>
      <c r="H98" s="20"/>
      <c r="I98" s="11"/>
      <c r="J98" s="11"/>
      <c r="K98" s="11"/>
      <c r="L98" s="11"/>
      <c r="N98" s="11"/>
      <c r="O98" s="20"/>
      <c r="P98" s="7"/>
      <c r="Q98" s="11"/>
      <c r="R98" s="11"/>
      <c r="S98" s="7"/>
      <c r="T98" s="11"/>
      <c r="U98" s="11"/>
      <c r="V98" s="32"/>
      <c r="W98" s="34"/>
    </row>
    <row r="99" spans="1:23">
      <c r="A99" s="20"/>
      <c r="B99" s="11"/>
      <c r="C99" s="11"/>
      <c r="D99" s="11"/>
      <c r="E99" s="11"/>
      <c r="F99" s="11"/>
      <c r="G99" s="11"/>
      <c r="H99" s="20"/>
      <c r="I99" s="11"/>
      <c r="J99" s="11"/>
      <c r="K99" s="11"/>
      <c r="L99" s="11"/>
      <c r="M99" s="11"/>
      <c r="N99" s="11"/>
      <c r="O99" s="20"/>
      <c r="P99" s="11"/>
      <c r="Q99" s="11"/>
      <c r="R99" s="11"/>
      <c r="S99" s="11"/>
      <c r="U99" s="11"/>
      <c r="V99" s="32"/>
      <c r="W99" s="34"/>
    </row>
    <row r="100" spans="1:23">
      <c r="A100" s="20"/>
      <c r="B100" s="11"/>
      <c r="C100" s="11"/>
      <c r="D100" s="11"/>
      <c r="E100" s="11"/>
      <c r="F100" s="20"/>
      <c r="G100" s="11"/>
      <c r="H100" s="20"/>
      <c r="I100" s="11"/>
      <c r="J100" s="11"/>
      <c r="K100" s="11"/>
      <c r="L100" s="11"/>
      <c r="M100" s="11"/>
      <c r="N100" s="11"/>
      <c r="O100" s="20"/>
      <c r="P100" s="11"/>
      <c r="Q100" s="11"/>
      <c r="R100" s="11"/>
      <c r="S100" s="11"/>
      <c r="T100" s="11"/>
      <c r="U100" s="11"/>
      <c r="V100" s="32"/>
      <c r="W100" s="34"/>
    </row>
    <row r="101" spans="1:23">
      <c r="A101" s="20"/>
      <c r="B101" s="11"/>
      <c r="C101" s="11"/>
      <c r="D101" s="11"/>
      <c r="E101" s="11"/>
      <c r="F101" s="20"/>
      <c r="G101" s="11"/>
      <c r="H101" s="20"/>
      <c r="I101" s="11"/>
      <c r="J101" s="11"/>
      <c r="K101" s="11"/>
      <c r="L101" s="11"/>
      <c r="M101" s="20"/>
      <c r="N101" s="11"/>
      <c r="O101" s="20"/>
      <c r="P101" s="11"/>
      <c r="Q101" s="11"/>
      <c r="R101" s="11"/>
      <c r="S101" s="11"/>
      <c r="T101" s="11"/>
      <c r="U101" s="11"/>
      <c r="V101" s="32"/>
      <c r="W101" s="34"/>
    </row>
    <row r="102" spans="1:23">
      <c r="A102" s="20"/>
      <c r="B102" s="11"/>
      <c r="C102" s="11"/>
      <c r="D102" s="11"/>
      <c r="E102" s="11"/>
      <c r="F102" s="20"/>
      <c r="G102" s="11"/>
      <c r="H102" s="20"/>
      <c r="I102" s="11"/>
      <c r="J102" s="11"/>
      <c r="K102" s="11"/>
      <c r="L102" s="11"/>
      <c r="M102" s="20"/>
      <c r="N102" s="11"/>
      <c r="O102" s="20"/>
      <c r="P102" s="11"/>
      <c r="Q102" s="11"/>
      <c r="R102" s="11"/>
      <c r="S102" s="11"/>
      <c r="T102" s="20"/>
      <c r="U102" s="11"/>
      <c r="V102" s="32"/>
      <c r="W102" s="34"/>
    </row>
    <row r="103" spans="9:23">
      <c r="I103" s="11"/>
      <c r="J103" s="11"/>
      <c r="K103" s="11"/>
      <c r="L103" s="11"/>
      <c r="M103" s="20"/>
      <c r="N103" s="11"/>
      <c r="P103" s="11"/>
      <c r="Q103" s="11"/>
      <c r="R103" s="11"/>
      <c r="S103" s="11"/>
      <c r="T103" s="20"/>
      <c r="U103" s="11"/>
      <c r="V103" s="32"/>
      <c r="W103" s="34"/>
    </row>
    <row r="104" spans="16:23">
      <c r="P104" s="11"/>
      <c r="Q104" s="11"/>
      <c r="R104" s="11"/>
      <c r="S104" s="11"/>
      <c r="T104" s="20"/>
      <c r="U104" s="11"/>
      <c r="V104" s="32"/>
      <c r="W104" s="34"/>
    </row>
    <row r="105" spans="17:23">
      <c r="Q105" s="20"/>
      <c r="R105" s="20"/>
      <c r="S105" s="20"/>
      <c r="T105" s="20"/>
      <c r="U105" s="20"/>
      <c r="V105" s="32"/>
      <c r="W105" s="34"/>
    </row>
    <row r="106" spans="4:23">
      <c r="D106" s="20"/>
      <c r="E106" s="20"/>
      <c r="F106" s="20"/>
      <c r="G106" s="20"/>
      <c r="H106" s="20"/>
      <c r="I106" s="20"/>
      <c r="R106" s="20"/>
      <c r="V106" s="17"/>
      <c r="W106" s="17"/>
    </row>
    <row r="107" spans="18:23">
      <c r="R107" s="20"/>
      <c r="V107" s="17"/>
      <c r="W107" s="17"/>
    </row>
    <row r="108" spans="18:23">
      <c r="R108" s="20"/>
      <c r="V108" s="17"/>
      <c r="W108" s="17"/>
    </row>
    <row r="109" spans="18:23">
      <c r="R109" s="20"/>
      <c r="V109" s="17"/>
      <c r="W109" s="17"/>
    </row>
    <row r="110" spans="18:23">
      <c r="R110" s="20"/>
      <c r="V110" s="17"/>
      <c r="W110" s="17"/>
    </row>
    <row r="111" spans="18:23">
      <c r="R111" s="20"/>
      <c r="V111" s="17"/>
      <c r="W111" s="17"/>
    </row>
    <row r="112" spans="10:23">
      <c r="J112" s="20"/>
      <c r="R112" s="20"/>
      <c r="S112" s="20"/>
      <c r="T112" s="20"/>
      <c r="V112" s="17"/>
      <c r="W112" s="17"/>
    </row>
    <row r="113" spans="4:23">
      <c r="D113" s="16"/>
      <c r="E113" s="16"/>
      <c r="F113" s="16"/>
      <c r="G113" s="16"/>
      <c r="H113" s="16"/>
      <c r="I113" s="16"/>
      <c r="J113" s="13"/>
      <c r="K113" s="16"/>
      <c r="L113" s="16"/>
      <c r="M113" s="16"/>
      <c r="N113" s="16"/>
      <c r="O113" s="16"/>
      <c r="R113" s="20"/>
      <c r="S113" s="20"/>
      <c r="T113" s="20"/>
      <c r="U113" s="16"/>
      <c r="V113" s="17"/>
      <c r="W113" s="17"/>
    </row>
    <row r="114" spans="20:23">
      <c r="T114" s="20"/>
      <c r="V114" s="20"/>
      <c r="W114" s="17"/>
    </row>
    <row r="115" spans="20:23">
      <c r="T115" s="20"/>
      <c r="V115" s="20"/>
      <c r="W115" s="17"/>
    </row>
    <row r="116" spans="20:23">
      <c r="T116" s="20"/>
      <c r="V116" s="20"/>
      <c r="W116" s="17"/>
    </row>
    <row r="117" spans="20:23">
      <c r="T117" s="20"/>
      <c r="V117" s="20"/>
      <c r="W117" s="17"/>
    </row>
    <row r="118" spans="20:23">
      <c r="T118" s="20"/>
      <c r="V118" s="20"/>
      <c r="W118" s="17"/>
    </row>
    <row r="119" spans="18:23">
      <c r="R119" s="20"/>
      <c r="T119" s="20"/>
      <c r="V119" s="17"/>
      <c r="W119" s="17"/>
    </row>
    <row r="120" spans="4:23">
      <c r="D120" s="16"/>
      <c r="E120" s="16"/>
      <c r="F120" s="16"/>
      <c r="G120" s="16"/>
      <c r="H120" s="16"/>
      <c r="I120" s="16"/>
      <c r="J120" s="13"/>
      <c r="K120" s="16"/>
      <c r="L120" s="16"/>
      <c r="M120" s="16"/>
      <c r="N120" s="16"/>
      <c r="O120" s="16"/>
      <c r="R120" s="20"/>
      <c r="T120" s="20"/>
      <c r="U120" s="16"/>
      <c r="V120" s="17"/>
      <c r="W120" s="17"/>
    </row>
    <row r="121" spans="18:23">
      <c r="R121" s="20"/>
      <c r="T121" s="20"/>
      <c r="V121" s="20"/>
      <c r="W121" s="17"/>
    </row>
    <row r="122" spans="18:23">
      <c r="R122" s="20"/>
      <c r="T122" s="20"/>
      <c r="V122" s="20"/>
      <c r="W122" s="17"/>
    </row>
    <row r="123" spans="18:23">
      <c r="R123" s="20"/>
      <c r="T123" s="20"/>
      <c r="V123" s="20"/>
      <c r="W123" s="17"/>
    </row>
    <row r="124" spans="18:23">
      <c r="R124" s="20"/>
      <c r="T124" s="20"/>
      <c r="V124" s="20"/>
      <c r="W124" s="17"/>
    </row>
    <row r="125" spans="18:23">
      <c r="R125" s="20"/>
      <c r="T125" s="20"/>
      <c r="V125" s="20"/>
      <c r="W125" s="17"/>
    </row>
    <row r="126" spans="8:23">
      <c r="H126" s="11"/>
      <c r="R126" s="20"/>
      <c r="T126" s="20"/>
      <c r="V126" s="17"/>
      <c r="W126" s="17"/>
    </row>
    <row r="127" spans="4:23">
      <c r="D127" s="16"/>
      <c r="E127" s="16"/>
      <c r="F127" s="16"/>
      <c r="G127" s="16"/>
      <c r="H127" s="16"/>
      <c r="I127" s="16"/>
      <c r="J127" s="13"/>
      <c r="K127" s="16"/>
      <c r="L127" s="16"/>
      <c r="M127" s="16"/>
      <c r="N127" s="16"/>
      <c r="O127" s="16"/>
      <c r="R127" s="20"/>
      <c r="T127" s="20"/>
      <c r="U127" s="16"/>
      <c r="V127" s="17"/>
      <c r="W127" s="17"/>
    </row>
    <row r="128" spans="18:23">
      <c r="R128" s="20"/>
      <c r="T128" s="20"/>
      <c r="V128" s="20"/>
      <c r="W128" s="17"/>
    </row>
    <row r="129" spans="18:23">
      <c r="R129" s="20"/>
      <c r="T129" s="20"/>
      <c r="V129" s="20"/>
      <c r="W129" s="17"/>
    </row>
    <row r="130" spans="18:23">
      <c r="R130" s="20"/>
      <c r="T130" s="20"/>
      <c r="V130" s="20"/>
      <c r="W130" s="17"/>
    </row>
    <row r="131" spans="18:23">
      <c r="R131" s="20"/>
      <c r="T131" s="20"/>
      <c r="V131" s="20"/>
      <c r="W131" s="17"/>
    </row>
    <row r="132" spans="18:23">
      <c r="R132" s="20"/>
      <c r="T132" s="20"/>
      <c r="V132" s="20"/>
      <c r="W132" s="17"/>
    </row>
    <row r="133" spans="18:23">
      <c r="R133" s="20"/>
      <c r="T133" s="20"/>
      <c r="V133" s="17"/>
      <c r="W133" s="17"/>
    </row>
    <row r="134" spans="4:23">
      <c r="D134" s="16"/>
      <c r="E134" s="16"/>
      <c r="F134" s="16"/>
      <c r="G134" s="16"/>
      <c r="H134" s="16"/>
      <c r="I134" s="16"/>
      <c r="J134" s="13"/>
      <c r="K134" s="16"/>
      <c r="L134" s="16"/>
      <c r="M134" s="16"/>
      <c r="N134" s="16"/>
      <c r="O134" s="16"/>
      <c r="R134" s="20"/>
      <c r="T134" s="20"/>
      <c r="U134" s="16"/>
      <c r="V134" s="17"/>
      <c r="W134" s="17"/>
    </row>
    <row r="135" spans="18:23">
      <c r="R135" s="20"/>
      <c r="T135" s="20"/>
      <c r="V135" s="20"/>
      <c r="W135" s="17"/>
    </row>
    <row r="136" spans="18:23">
      <c r="R136" s="20"/>
      <c r="T136" s="20"/>
      <c r="V136" s="20"/>
      <c r="W136" s="17"/>
    </row>
    <row r="137" spans="18:23">
      <c r="R137" s="20"/>
      <c r="T137" s="20"/>
      <c r="V137" s="20"/>
      <c r="W137" s="17"/>
    </row>
    <row r="138" spans="22:23">
      <c r="V138" s="20"/>
      <c r="W138" s="17"/>
    </row>
    <row r="139" spans="22:23">
      <c r="V139" s="20"/>
      <c r="W139" s="17"/>
    </row>
    <row r="140" spans="22:23">
      <c r="V140" s="17"/>
      <c r="W140" s="20"/>
    </row>
    <row r="141" spans="4:23">
      <c r="D141" s="16"/>
      <c r="E141" s="16"/>
      <c r="F141" s="16"/>
      <c r="G141" s="16"/>
      <c r="H141" s="16"/>
      <c r="I141" s="16"/>
      <c r="J141" s="13"/>
      <c r="K141" s="16"/>
      <c r="L141" s="16"/>
      <c r="M141" s="16"/>
      <c r="N141" s="16"/>
      <c r="O141" s="16"/>
      <c r="V141" s="17"/>
      <c r="W141" s="17"/>
    </row>
    <row r="142" spans="22:23">
      <c r="V142" s="20"/>
      <c r="W142" s="17"/>
    </row>
    <row r="143" spans="22:23">
      <c r="V143" s="20"/>
      <c r="W143" s="17"/>
    </row>
    <row r="144" spans="22:23">
      <c r="V144" s="20"/>
      <c r="W144" s="17"/>
    </row>
    <row r="145" spans="22:23">
      <c r="V145" s="20"/>
      <c r="W145" s="17"/>
    </row>
    <row r="146" spans="1:2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17"/>
    </row>
    <row r="147" spans="1:2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spans="1:2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</row>
    <row r="149" spans="1:2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0" spans="1:2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</row>
    <row r="151" spans="1:2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spans="1:2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</row>
    <row r="153" spans="1:2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</row>
    <row r="154" spans="1:2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</row>
    <row r="155" spans="1:2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</row>
    <row r="156" spans="1:2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</row>
    <row r="157" spans="1:2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</row>
    <row r="158" spans="1:2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</row>
    <row r="159" spans="1:19">
      <c r="A159" s="20"/>
      <c r="B159" s="20"/>
      <c r="C159" s="20"/>
      <c r="D159" s="20"/>
      <c r="E159" s="20"/>
      <c r="H159" s="20"/>
      <c r="I159" s="20"/>
      <c r="J159" s="20"/>
      <c r="K159" s="20"/>
      <c r="L159" s="20"/>
      <c r="O159" s="20"/>
      <c r="P159" s="20"/>
      <c r="Q159" s="20"/>
      <c r="R159" s="20"/>
      <c r="S159" s="20"/>
    </row>
    <row r="160" spans="1:19">
      <c r="A160" s="20"/>
      <c r="B160" s="20"/>
      <c r="C160" s="20"/>
      <c r="D160" s="20"/>
      <c r="E160" s="20"/>
      <c r="H160" s="20"/>
      <c r="I160" s="20"/>
      <c r="J160" s="20"/>
      <c r="K160" s="20"/>
      <c r="L160" s="20"/>
      <c r="O160" s="20"/>
      <c r="P160" s="20"/>
      <c r="Q160" s="20"/>
      <c r="R160" s="20"/>
      <c r="S160" s="20"/>
    </row>
    <row r="161" spans="1:21">
      <c r="A161" s="20"/>
      <c r="B161" s="7"/>
      <c r="C161" s="11"/>
      <c r="D161" s="11"/>
      <c r="E161" s="7"/>
      <c r="F161" s="11"/>
      <c r="G161" s="11"/>
      <c r="H161" s="20"/>
      <c r="I161" s="7"/>
      <c r="J161" s="11"/>
      <c r="K161" s="11"/>
      <c r="L161" s="7"/>
      <c r="M161" s="11"/>
      <c r="N161" s="11"/>
      <c r="O161" s="20"/>
      <c r="P161" s="7"/>
      <c r="Q161" s="11"/>
      <c r="R161" s="11"/>
      <c r="S161" s="7"/>
      <c r="T161" s="11"/>
      <c r="U161" s="11"/>
    </row>
    <row r="162" spans="1:21">
      <c r="A162" s="20"/>
      <c r="B162" s="11"/>
      <c r="C162" s="11"/>
      <c r="D162" s="11"/>
      <c r="E162" s="11"/>
      <c r="F162" s="11"/>
      <c r="G162" s="11"/>
      <c r="H162" s="20"/>
      <c r="I162" s="11"/>
      <c r="J162" s="11"/>
      <c r="K162" s="11"/>
      <c r="L162" s="11"/>
      <c r="M162" s="11"/>
      <c r="N162" s="11"/>
      <c r="O162" s="20"/>
      <c r="P162" s="11"/>
      <c r="Q162" s="11"/>
      <c r="R162" s="11"/>
      <c r="S162" s="11"/>
      <c r="T162" s="11"/>
      <c r="U162" s="11"/>
    </row>
    <row r="163" spans="1:21">
      <c r="A163" s="20"/>
      <c r="B163" s="11"/>
      <c r="C163" s="11"/>
      <c r="D163" s="11"/>
      <c r="E163" s="11"/>
      <c r="F163" s="11"/>
      <c r="G163" s="11"/>
      <c r="H163" s="20"/>
      <c r="I163" s="11"/>
      <c r="J163" s="11"/>
      <c r="K163" s="11"/>
      <c r="L163" s="11"/>
      <c r="M163" s="11"/>
      <c r="N163" s="11"/>
      <c r="O163" s="20"/>
      <c r="P163" s="11"/>
      <c r="Q163" s="11"/>
      <c r="R163" s="11"/>
      <c r="S163" s="11"/>
      <c r="T163" s="11"/>
      <c r="U163" s="11"/>
    </row>
    <row r="164" spans="1:21">
      <c r="A164" s="20"/>
      <c r="B164" s="11"/>
      <c r="C164" s="11"/>
      <c r="D164" s="11"/>
      <c r="E164" s="11"/>
      <c r="F164" s="11"/>
      <c r="G164" s="11"/>
      <c r="H164" s="20"/>
      <c r="I164" s="11"/>
      <c r="J164" s="11"/>
      <c r="K164" s="11"/>
      <c r="L164" s="11"/>
      <c r="M164" s="11"/>
      <c r="N164" s="11"/>
      <c r="O164" s="20"/>
      <c r="P164" s="11"/>
      <c r="Q164" s="11"/>
      <c r="R164" s="11"/>
      <c r="S164" s="11"/>
      <c r="T164" s="11"/>
      <c r="U164" s="11"/>
    </row>
    <row r="165" spans="1:21">
      <c r="A165" s="20"/>
      <c r="B165" s="11"/>
      <c r="C165" s="11"/>
      <c r="D165" s="11"/>
      <c r="E165" s="11"/>
      <c r="F165" s="20"/>
      <c r="G165" s="11"/>
      <c r="H165" s="20"/>
      <c r="I165" s="11"/>
      <c r="J165" s="11"/>
      <c r="K165" s="11"/>
      <c r="L165" s="11"/>
      <c r="M165" s="20"/>
      <c r="N165" s="11"/>
      <c r="O165" s="20"/>
      <c r="P165" s="11"/>
      <c r="Q165" s="11"/>
      <c r="R165" s="11"/>
      <c r="S165" s="11"/>
      <c r="T165" s="20"/>
      <c r="U165" s="11"/>
    </row>
    <row r="166" spans="1:21">
      <c r="A166" s="20"/>
      <c r="B166" s="11"/>
      <c r="C166" s="11"/>
      <c r="D166" s="11"/>
      <c r="E166" s="11"/>
      <c r="F166" s="20"/>
      <c r="G166" s="11"/>
      <c r="H166" s="20"/>
      <c r="I166" s="11"/>
      <c r="J166" s="11"/>
      <c r="K166" s="11"/>
      <c r="L166" s="11"/>
      <c r="M166" s="20"/>
      <c r="N166" s="11"/>
      <c r="O166" s="20"/>
      <c r="P166" s="11"/>
      <c r="Q166" s="11"/>
      <c r="R166" s="11"/>
      <c r="S166" s="11"/>
      <c r="T166" s="20"/>
      <c r="U166" s="11"/>
    </row>
    <row r="167" spans="1:21">
      <c r="A167" s="20"/>
      <c r="B167" s="11"/>
      <c r="C167" s="11"/>
      <c r="D167" s="11"/>
      <c r="E167" s="11"/>
      <c r="F167" s="20"/>
      <c r="G167" s="11"/>
      <c r="H167" s="20"/>
      <c r="I167" s="11"/>
      <c r="J167" s="11"/>
      <c r="K167" s="11"/>
      <c r="L167" s="11"/>
      <c r="M167" s="20"/>
      <c r="N167" s="11"/>
      <c r="O167" s="20"/>
      <c r="P167" s="11"/>
      <c r="Q167" s="11"/>
      <c r="R167" s="11"/>
      <c r="S167" s="11"/>
      <c r="T167" s="20"/>
      <c r="U167" s="11"/>
    </row>
    <row r="168" spans="8:8">
      <c r="H168" s="11"/>
    </row>
    <row r="169" spans="8:8">
      <c r="H169" s="11"/>
    </row>
    <row r="170" spans="8:8">
      <c r="H170" s="11"/>
    </row>
    <row r="171" spans="1:22">
      <c r="A171" s="20"/>
      <c r="B171" s="20"/>
      <c r="C171" s="20"/>
      <c r="D171" s="20"/>
      <c r="E171" s="20"/>
      <c r="F171" s="20"/>
      <c r="G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>
      <c r="A172" s="20"/>
      <c r="B172" s="20"/>
      <c r="C172" s="20"/>
      <c r="D172" s="20"/>
      <c r="E172" s="20"/>
      <c r="F172" s="20"/>
      <c r="G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>
      <c r="A173" s="20"/>
      <c r="B173" s="20"/>
      <c r="C173" s="20"/>
      <c r="D173" s="20"/>
      <c r="E173" s="20"/>
      <c r="F173" s="20"/>
      <c r="G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>
      <c r="A174" s="20"/>
      <c r="B174" s="20"/>
      <c r="C174" s="20"/>
      <c r="D174" s="20"/>
      <c r="E174" s="20"/>
      <c r="F174" s="20"/>
      <c r="G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>
      <c r="A175" s="20"/>
      <c r="B175" s="20"/>
      <c r="C175" s="20"/>
      <c r="D175" s="20"/>
      <c r="E175" s="20"/>
      <c r="F175" s="20"/>
      <c r="G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>
      <c r="A176" s="20"/>
      <c r="B176" s="20"/>
      <c r="C176" s="20"/>
      <c r="D176" s="20"/>
      <c r="E176" s="20"/>
      <c r="F176" s="20"/>
      <c r="G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>
      <c r="A177" s="20"/>
      <c r="B177" s="20"/>
      <c r="C177" s="20"/>
      <c r="D177" s="20"/>
      <c r="E177" s="20"/>
      <c r="F177" s="20"/>
      <c r="G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>
      <c r="A178" s="20"/>
      <c r="B178" s="20"/>
      <c r="C178" s="20"/>
      <c r="D178" s="20"/>
      <c r="E178" s="20"/>
      <c r="F178" s="20"/>
      <c r="G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>
      <c r="A179" s="20"/>
      <c r="B179" s="20"/>
      <c r="C179" s="20"/>
      <c r="D179" s="20"/>
      <c r="E179" s="20"/>
      <c r="F179" s="20"/>
      <c r="G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>
      <c r="A180" s="20"/>
      <c r="B180" s="20"/>
      <c r="C180" s="20"/>
      <c r="D180" s="20"/>
      <c r="E180" s="20"/>
      <c r="F180" s="20"/>
      <c r="G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>
      <c r="A181" s="20"/>
      <c r="B181" s="20"/>
      <c r="C181" s="20"/>
      <c r="D181" s="20"/>
      <c r="E181" s="20"/>
      <c r="F181" s="7"/>
      <c r="G181" s="11"/>
      <c r="I181" s="20"/>
      <c r="J181" s="20"/>
      <c r="K181" s="20"/>
      <c r="L181" s="20"/>
      <c r="M181" s="20"/>
      <c r="N181" s="7"/>
      <c r="O181" s="11"/>
      <c r="P181" s="20"/>
      <c r="Q181" s="20"/>
      <c r="R181" s="20"/>
      <c r="S181" s="20"/>
      <c r="T181" s="20"/>
      <c r="U181" s="7"/>
      <c r="V181" s="11"/>
    </row>
    <row r="182" spans="1:22">
      <c r="A182" s="20"/>
      <c r="B182" s="20"/>
      <c r="C182" s="20"/>
      <c r="D182" s="20"/>
      <c r="E182" s="20"/>
      <c r="I182" s="20"/>
      <c r="J182" s="20"/>
      <c r="K182" s="20"/>
      <c r="L182" s="20"/>
      <c r="M182" s="20"/>
      <c r="P182" s="20"/>
      <c r="Q182" s="20"/>
      <c r="R182" s="20"/>
      <c r="S182" s="20"/>
      <c r="T182" s="20"/>
      <c r="V182" s="17"/>
    </row>
    <row r="183" spans="1:22">
      <c r="A183" s="20"/>
      <c r="B183" s="20"/>
      <c r="C183" s="20"/>
      <c r="D183" s="20"/>
      <c r="E183" s="20"/>
      <c r="I183" s="20"/>
      <c r="J183" s="20"/>
      <c r="K183" s="20"/>
      <c r="L183" s="20"/>
      <c r="M183" s="20"/>
      <c r="P183" s="20"/>
      <c r="Q183" s="20"/>
      <c r="R183" s="20"/>
      <c r="S183" s="20"/>
      <c r="T183" s="20"/>
      <c r="V183" s="17"/>
    </row>
    <row r="184" spans="1:22">
      <c r="A184" s="20"/>
      <c r="B184" s="20"/>
      <c r="C184" s="20"/>
      <c r="D184" s="20"/>
      <c r="E184" s="20"/>
      <c r="I184" s="20"/>
      <c r="J184" s="20"/>
      <c r="K184" s="20"/>
      <c r="L184" s="20"/>
      <c r="M184" s="20"/>
      <c r="P184" s="20"/>
      <c r="Q184" s="20"/>
      <c r="R184" s="20"/>
      <c r="S184" s="20"/>
      <c r="T184" s="20"/>
      <c r="V184" s="17"/>
    </row>
    <row r="185" spans="1:22">
      <c r="A185" s="20"/>
      <c r="B185" s="20"/>
      <c r="C185" s="11"/>
      <c r="D185" s="11"/>
      <c r="E185" s="7"/>
      <c r="F185" s="11"/>
      <c r="G185" s="11"/>
      <c r="I185" s="20"/>
      <c r="J185" s="20"/>
      <c r="K185" s="20"/>
      <c r="L185" s="20"/>
      <c r="M185" s="20"/>
      <c r="P185" s="20"/>
      <c r="Q185" s="20"/>
      <c r="R185" s="11"/>
      <c r="S185" s="11"/>
      <c r="T185" s="7"/>
      <c r="U185" s="11"/>
      <c r="V185" s="11"/>
    </row>
    <row r="186" spans="1:22">
      <c r="A186" s="20"/>
      <c r="B186" s="11"/>
      <c r="C186" s="11"/>
      <c r="D186" s="11"/>
      <c r="E186" s="11"/>
      <c r="F186" s="11"/>
      <c r="G186" s="11"/>
      <c r="I186" s="20"/>
      <c r="J186" s="20"/>
      <c r="K186" s="20"/>
      <c r="L186" s="20"/>
      <c r="M186" s="20"/>
      <c r="P186" s="20"/>
      <c r="Q186" s="11"/>
      <c r="R186" s="11"/>
      <c r="S186" s="11"/>
      <c r="T186" s="11"/>
      <c r="U186" s="11"/>
      <c r="V186" s="11"/>
    </row>
    <row r="187" spans="1:22">
      <c r="A187" s="20"/>
      <c r="B187" s="11"/>
      <c r="C187" s="11"/>
      <c r="D187" s="11"/>
      <c r="E187" s="11"/>
      <c r="F187" s="11"/>
      <c r="G187" s="11"/>
      <c r="I187" s="20"/>
      <c r="J187" s="20"/>
      <c r="K187" s="20"/>
      <c r="L187" s="20"/>
      <c r="M187" s="20"/>
      <c r="P187" s="20"/>
      <c r="Q187" s="11"/>
      <c r="R187" s="11"/>
      <c r="S187" s="11"/>
      <c r="T187" s="11"/>
      <c r="U187" s="11"/>
      <c r="V187" s="11"/>
    </row>
    <row r="188" spans="1:22">
      <c r="A188" s="20"/>
      <c r="B188" s="11"/>
      <c r="C188" s="11"/>
      <c r="D188" s="11"/>
      <c r="E188" s="11"/>
      <c r="F188" s="11"/>
      <c r="G188" s="11"/>
      <c r="I188" s="20"/>
      <c r="J188" s="20"/>
      <c r="K188" s="11"/>
      <c r="L188" s="11"/>
      <c r="M188" s="7"/>
      <c r="N188" s="11"/>
      <c r="O188" s="11"/>
      <c r="P188" s="20"/>
      <c r="Q188" s="11"/>
      <c r="R188" s="11"/>
      <c r="S188" s="11"/>
      <c r="T188" s="11"/>
      <c r="U188" s="11"/>
      <c r="V188" s="11"/>
    </row>
    <row r="189" spans="1:22">
      <c r="A189" s="20"/>
      <c r="B189" s="11"/>
      <c r="C189" s="11"/>
      <c r="D189" s="11"/>
      <c r="E189" s="11"/>
      <c r="F189" s="20"/>
      <c r="G189" s="11"/>
      <c r="J189" s="11"/>
      <c r="K189" s="11"/>
      <c r="L189" s="11"/>
      <c r="M189" s="11"/>
      <c r="N189" s="11"/>
      <c r="O189" s="11"/>
      <c r="P189" s="20"/>
      <c r="Q189" s="11"/>
      <c r="R189" s="11"/>
      <c r="S189" s="11"/>
      <c r="T189" s="11"/>
      <c r="U189" s="20"/>
      <c r="V189" s="11"/>
    </row>
    <row r="190" spans="1:22">
      <c r="A190" s="20"/>
      <c r="B190" s="11"/>
      <c r="C190" s="11"/>
      <c r="D190" s="11"/>
      <c r="E190" s="11"/>
      <c r="F190" s="20"/>
      <c r="G190" s="11"/>
      <c r="J190" s="11"/>
      <c r="K190" s="11"/>
      <c r="L190" s="11"/>
      <c r="M190" s="11"/>
      <c r="N190" s="11"/>
      <c r="O190" s="11"/>
      <c r="P190" s="20"/>
      <c r="Q190" s="11"/>
      <c r="R190" s="11"/>
      <c r="S190" s="11"/>
      <c r="T190" s="11"/>
      <c r="U190" s="20"/>
      <c r="V190" s="11"/>
    </row>
    <row r="191" spans="1:22">
      <c r="A191" s="20"/>
      <c r="B191" s="11"/>
      <c r="C191" s="11"/>
      <c r="D191" s="11"/>
      <c r="E191" s="11"/>
      <c r="F191" s="20"/>
      <c r="G191" s="11"/>
      <c r="J191" s="11"/>
      <c r="K191" s="11"/>
      <c r="L191" s="11"/>
      <c r="M191" s="11"/>
      <c r="N191" s="11"/>
      <c r="O191" s="11"/>
      <c r="P191" s="20"/>
      <c r="Q191" s="11"/>
      <c r="R191" s="11"/>
      <c r="S191" s="11"/>
      <c r="T191" s="11"/>
      <c r="U191" s="20"/>
      <c r="V191" s="11"/>
    </row>
    <row r="192" spans="10:15">
      <c r="J192" s="11"/>
      <c r="K192" s="11"/>
      <c r="L192" s="11"/>
      <c r="M192" s="11"/>
      <c r="N192" s="20"/>
      <c r="O192" s="11"/>
    </row>
    <row r="193" spans="10:15">
      <c r="J193" s="11"/>
      <c r="K193" s="11"/>
      <c r="L193" s="11"/>
      <c r="M193" s="11"/>
      <c r="N193" s="20"/>
      <c r="O193" s="11"/>
    </row>
    <row r="194" spans="10:15">
      <c r="J194" s="11"/>
      <c r="K194" s="11"/>
      <c r="L194" s="11"/>
      <c r="M194" s="11"/>
      <c r="N194" s="20"/>
      <c r="O194" s="11"/>
    </row>
    <row r="206" spans="1:2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</row>
    <row r="207" spans="1:2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</row>
    <row r="208" spans="1:2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</row>
    <row r="209" spans="1:2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</row>
    <row r="210" spans="1:2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</row>
    <row r="211" spans="1:2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</row>
    <row r="212" spans="1:2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</row>
    <row r="213" spans="1:2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</row>
    <row r="214" spans="1:2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</row>
    <row r="215" spans="1:2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</row>
    <row r="216" spans="1:2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</row>
    <row r="217" spans="1:21">
      <c r="A217" s="20"/>
      <c r="B217" s="20"/>
      <c r="C217" s="20"/>
      <c r="D217" s="20"/>
      <c r="E217" s="20"/>
      <c r="F217" s="7"/>
      <c r="G217" s="7"/>
      <c r="H217" s="20"/>
      <c r="I217" s="20"/>
      <c r="J217" s="20"/>
      <c r="K217" s="20"/>
      <c r="L217" s="20"/>
      <c r="M217" s="7"/>
      <c r="N217" s="7"/>
      <c r="O217" s="20"/>
      <c r="P217" s="20"/>
      <c r="Q217" s="20"/>
      <c r="R217" s="20"/>
      <c r="S217" s="20"/>
      <c r="T217" s="7"/>
      <c r="U217" s="7"/>
    </row>
    <row r="218" spans="1:21">
      <c r="A218" s="20"/>
      <c r="B218" s="20"/>
      <c r="C218" s="20"/>
      <c r="D218" s="20"/>
      <c r="E218" s="20"/>
      <c r="F218" s="7"/>
      <c r="G218" s="7"/>
      <c r="H218" s="20"/>
      <c r="I218" s="20"/>
      <c r="J218" s="20"/>
      <c r="K218" s="20"/>
      <c r="L218" s="20"/>
      <c r="M218" s="7"/>
      <c r="N218" s="7"/>
      <c r="O218" s="20"/>
      <c r="P218" s="20"/>
      <c r="Q218" s="20"/>
      <c r="R218" s="20"/>
      <c r="S218" s="20"/>
      <c r="T218" s="7"/>
      <c r="U218" s="7"/>
    </row>
    <row r="219" spans="1:21">
      <c r="A219" s="20"/>
      <c r="B219" s="7"/>
      <c r="C219" s="11"/>
      <c r="D219" s="11"/>
      <c r="E219" s="7"/>
      <c r="F219" s="11"/>
      <c r="G219" s="20"/>
      <c r="H219" s="20"/>
      <c r="I219" s="7"/>
      <c r="J219" s="11"/>
      <c r="K219" s="11"/>
      <c r="L219" s="7"/>
      <c r="M219" s="11"/>
      <c r="N219" s="20"/>
      <c r="O219" s="20"/>
      <c r="P219" s="7"/>
      <c r="Q219" s="11"/>
      <c r="R219" s="11"/>
      <c r="S219" s="7"/>
      <c r="T219" s="11"/>
      <c r="U219" s="20"/>
    </row>
    <row r="220" spans="1:21">
      <c r="A220" s="20"/>
      <c r="B220" s="11"/>
      <c r="C220" s="11"/>
      <c r="D220" s="11"/>
      <c r="E220" s="11"/>
      <c r="F220" s="20"/>
      <c r="G220" s="20"/>
      <c r="H220" s="20"/>
      <c r="I220" s="11"/>
      <c r="J220" s="11"/>
      <c r="K220" s="11"/>
      <c r="L220" s="11"/>
      <c r="M220" s="20"/>
      <c r="N220" s="20"/>
      <c r="O220" s="20"/>
      <c r="P220" s="11"/>
      <c r="Q220" s="11"/>
      <c r="R220" s="11"/>
      <c r="S220" s="11"/>
      <c r="T220" s="20"/>
      <c r="U220" s="20"/>
    </row>
    <row r="221" spans="1:21">
      <c r="A221" s="20"/>
      <c r="B221" s="11"/>
      <c r="C221" s="11"/>
      <c r="D221" s="11"/>
      <c r="E221" s="11"/>
      <c r="F221" s="11"/>
      <c r="G221" s="11"/>
      <c r="H221" s="20"/>
      <c r="I221" s="11"/>
      <c r="J221" s="11"/>
      <c r="K221" s="11"/>
      <c r="L221" s="11"/>
      <c r="M221" s="11"/>
      <c r="N221" s="11"/>
      <c r="O221" s="20"/>
      <c r="P221" s="11"/>
      <c r="Q221" s="11"/>
      <c r="R221" s="11"/>
      <c r="S221" s="11"/>
      <c r="T221" s="11"/>
      <c r="U221" s="11"/>
    </row>
    <row r="222" spans="1:21">
      <c r="A222" s="20"/>
      <c r="B222" s="11"/>
      <c r="C222" s="11"/>
      <c r="D222" s="11"/>
      <c r="E222" s="11"/>
      <c r="F222" s="11"/>
      <c r="G222" s="11"/>
      <c r="H222" s="20"/>
      <c r="I222" s="11"/>
      <c r="J222" s="11"/>
      <c r="K222" s="11"/>
      <c r="L222" s="11"/>
      <c r="M222" s="11"/>
      <c r="N222" s="11"/>
      <c r="O222" s="20"/>
      <c r="P222" s="11"/>
      <c r="Q222" s="11"/>
      <c r="R222" s="11"/>
      <c r="S222" s="11"/>
      <c r="T222" s="11"/>
      <c r="U222" s="11"/>
    </row>
    <row r="223" spans="1:21">
      <c r="A223" s="20"/>
      <c r="B223" s="11"/>
      <c r="C223" s="11"/>
      <c r="D223" s="11"/>
      <c r="E223" s="11"/>
      <c r="F223" s="20"/>
      <c r="G223" s="11"/>
      <c r="H223" s="20"/>
      <c r="I223" s="11"/>
      <c r="J223" s="11"/>
      <c r="K223" s="11"/>
      <c r="L223" s="11"/>
      <c r="M223" s="20"/>
      <c r="N223" s="11"/>
      <c r="O223" s="20"/>
      <c r="P223" s="11"/>
      <c r="Q223" s="11"/>
      <c r="R223" s="11"/>
      <c r="S223" s="11"/>
      <c r="T223" s="20"/>
      <c r="U223" s="11"/>
    </row>
    <row r="224" spans="1:21">
      <c r="A224" s="11"/>
      <c r="B224" s="11"/>
      <c r="C224" s="11"/>
      <c r="D224" s="11"/>
      <c r="E224" s="11"/>
      <c r="F224" s="20"/>
      <c r="G224" s="11"/>
      <c r="H224" s="11"/>
      <c r="I224" s="11"/>
      <c r="J224" s="11"/>
      <c r="K224" s="11"/>
      <c r="L224" s="11"/>
      <c r="M224" s="20"/>
      <c r="N224" s="11"/>
      <c r="O224" s="11"/>
      <c r="P224" s="11"/>
      <c r="Q224" s="11"/>
      <c r="R224" s="11"/>
      <c r="S224" s="11"/>
      <c r="T224" s="20"/>
      <c r="U224" s="11"/>
    </row>
    <row r="225" spans="1:21">
      <c r="A225" s="11"/>
      <c r="B225" s="11"/>
      <c r="C225" s="11"/>
      <c r="D225" s="11"/>
      <c r="E225" s="11"/>
      <c r="F225" s="20"/>
      <c r="G225" s="11"/>
      <c r="H225" s="11"/>
      <c r="I225" s="11"/>
      <c r="J225" s="11"/>
      <c r="K225" s="11"/>
      <c r="L225" s="11"/>
      <c r="M225" s="20"/>
      <c r="N225" s="11"/>
      <c r="O225" s="11"/>
      <c r="P225" s="11"/>
      <c r="Q225" s="11"/>
      <c r="R225" s="11"/>
      <c r="S225" s="11"/>
      <c r="T225" s="20"/>
      <c r="U225" s="11"/>
    </row>
    <row r="226" spans="8:8">
      <c r="H226" s="7"/>
    </row>
    <row r="227" spans="1:2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</row>
    <row r="228" spans="1:2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</row>
    <row r="229" spans="1:2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</row>
    <row r="230" spans="1:2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</row>
    <row r="231" spans="1:2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</row>
    <row r="232" spans="1:2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</row>
    <row r="233" spans="1:2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</row>
    <row r="234" spans="1:2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</row>
    <row r="235" spans="1:2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</row>
    <row r="236" spans="1:2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</row>
    <row r="237" spans="1:2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</row>
    <row r="238" spans="1:21">
      <c r="A238" s="20"/>
      <c r="B238" s="20"/>
      <c r="C238" s="20"/>
      <c r="D238" s="20"/>
      <c r="E238" s="20"/>
      <c r="F238" s="7"/>
      <c r="G238" s="7"/>
      <c r="H238" s="20"/>
      <c r="I238" s="20"/>
      <c r="J238" s="20"/>
      <c r="K238" s="20"/>
      <c r="L238" s="20"/>
      <c r="M238" s="7"/>
      <c r="N238" s="7"/>
      <c r="O238" s="20"/>
      <c r="P238" s="20"/>
      <c r="Q238" s="20"/>
      <c r="R238" s="20"/>
      <c r="S238" s="20"/>
      <c r="T238" s="7"/>
      <c r="U238" s="7"/>
    </row>
    <row r="239" spans="1:21">
      <c r="A239" s="20"/>
      <c r="B239" s="20"/>
      <c r="C239" s="20"/>
      <c r="D239" s="20"/>
      <c r="E239" s="20"/>
      <c r="F239" s="7"/>
      <c r="G239" s="7"/>
      <c r="H239" s="20"/>
      <c r="I239" s="20"/>
      <c r="J239" s="20"/>
      <c r="K239" s="20"/>
      <c r="L239" s="20"/>
      <c r="M239" s="7"/>
      <c r="N239" s="7"/>
      <c r="O239" s="20"/>
      <c r="P239" s="20"/>
      <c r="Q239" s="20"/>
      <c r="R239" s="20"/>
      <c r="S239" s="20"/>
      <c r="T239" s="7"/>
      <c r="U239" s="7"/>
    </row>
    <row r="240" spans="1:21">
      <c r="A240" s="20"/>
      <c r="B240" s="7"/>
      <c r="C240" s="11"/>
      <c r="D240" s="11"/>
      <c r="E240" s="7"/>
      <c r="F240" s="11"/>
      <c r="G240" s="20"/>
      <c r="H240" s="20"/>
      <c r="I240" s="7"/>
      <c r="J240" s="11"/>
      <c r="K240" s="11"/>
      <c r="L240" s="7"/>
      <c r="M240" s="11"/>
      <c r="N240" s="20"/>
      <c r="O240" s="20"/>
      <c r="P240" s="7"/>
      <c r="Q240" s="11"/>
      <c r="R240" s="11"/>
      <c r="S240" s="7"/>
      <c r="T240" s="11"/>
      <c r="U240" s="20"/>
    </row>
    <row r="241" spans="1:21">
      <c r="A241" s="20"/>
      <c r="B241" s="11"/>
      <c r="C241" s="11"/>
      <c r="D241" s="11"/>
      <c r="E241" s="11"/>
      <c r="F241" s="20"/>
      <c r="G241" s="20"/>
      <c r="H241" s="20"/>
      <c r="I241" s="11"/>
      <c r="J241" s="11"/>
      <c r="K241" s="11"/>
      <c r="L241" s="11"/>
      <c r="M241" s="20"/>
      <c r="N241" s="20"/>
      <c r="O241" s="20"/>
      <c r="P241" s="11"/>
      <c r="Q241" s="11"/>
      <c r="R241" s="11"/>
      <c r="S241" s="11"/>
      <c r="T241" s="20"/>
      <c r="U241" s="20"/>
    </row>
    <row r="242" spans="1:21">
      <c r="A242" s="20"/>
      <c r="B242" s="11"/>
      <c r="C242" s="11"/>
      <c r="D242" s="11"/>
      <c r="E242" s="11"/>
      <c r="F242" s="11"/>
      <c r="G242" s="11"/>
      <c r="H242" s="20"/>
      <c r="I242" s="11"/>
      <c r="J242" s="11"/>
      <c r="K242" s="11"/>
      <c r="L242" s="11"/>
      <c r="M242" s="11"/>
      <c r="N242" s="11"/>
      <c r="O242" s="20"/>
      <c r="P242" s="11"/>
      <c r="Q242" s="11"/>
      <c r="R242" s="11"/>
      <c r="S242" s="11"/>
      <c r="T242" s="11"/>
      <c r="U242" s="11"/>
    </row>
    <row r="243" spans="1:21">
      <c r="A243" s="20"/>
      <c r="B243" s="11"/>
      <c r="C243" s="11"/>
      <c r="D243" s="11"/>
      <c r="E243" s="11"/>
      <c r="F243" s="11"/>
      <c r="G243" s="11"/>
      <c r="H243" s="20"/>
      <c r="I243" s="11"/>
      <c r="J243" s="11"/>
      <c r="K243" s="11"/>
      <c r="L243" s="11"/>
      <c r="M243" s="11"/>
      <c r="N243" s="11"/>
      <c r="O243" s="20"/>
      <c r="P243" s="11"/>
      <c r="Q243" s="11"/>
      <c r="R243" s="11"/>
      <c r="S243" s="11"/>
      <c r="T243" s="11"/>
      <c r="U243" s="11"/>
    </row>
    <row r="244" spans="1:21">
      <c r="A244" s="20"/>
      <c r="B244" s="11"/>
      <c r="C244" s="11"/>
      <c r="D244" s="11"/>
      <c r="E244" s="11"/>
      <c r="F244" s="20"/>
      <c r="G244" s="11"/>
      <c r="H244" s="20"/>
      <c r="I244" s="11"/>
      <c r="J244" s="11"/>
      <c r="K244" s="11"/>
      <c r="L244" s="11"/>
      <c r="M244" s="20"/>
      <c r="N244" s="11"/>
      <c r="O244" s="20"/>
      <c r="P244" s="11"/>
      <c r="Q244" s="11"/>
      <c r="R244" s="11"/>
      <c r="S244" s="11"/>
      <c r="T244" s="20"/>
      <c r="U244" s="11"/>
    </row>
    <row r="245" spans="1:21">
      <c r="A245" s="11"/>
      <c r="B245" s="11"/>
      <c r="C245" s="11"/>
      <c r="D245" s="11"/>
      <c r="E245" s="11"/>
      <c r="F245" s="20"/>
      <c r="G245" s="11"/>
      <c r="H245" s="11"/>
      <c r="I245" s="11"/>
      <c r="J245" s="11"/>
      <c r="K245" s="11"/>
      <c r="L245" s="11"/>
      <c r="M245" s="20"/>
      <c r="N245" s="11"/>
      <c r="O245" s="11"/>
      <c r="P245" s="11"/>
      <c r="Q245" s="11"/>
      <c r="R245" s="11"/>
      <c r="S245" s="11"/>
      <c r="T245" s="20"/>
      <c r="U245" s="11"/>
    </row>
    <row r="246" spans="1:21">
      <c r="A246" s="11"/>
      <c r="B246" s="11"/>
      <c r="C246" s="11"/>
      <c r="D246" s="11"/>
      <c r="E246" s="11"/>
      <c r="F246" s="20"/>
      <c r="G246" s="11"/>
      <c r="H246" s="11"/>
      <c r="I246" s="11"/>
      <c r="J246" s="11"/>
      <c r="K246" s="11"/>
      <c r="L246" s="11"/>
      <c r="M246" s="20"/>
      <c r="N246" s="11"/>
      <c r="O246" s="11"/>
      <c r="P246" s="11"/>
      <c r="Q246" s="11"/>
      <c r="R246" s="11"/>
      <c r="S246" s="11"/>
      <c r="T246" s="20"/>
      <c r="U246" s="11"/>
    </row>
    <row r="248" spans="1:1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P248" s="36"/>
    </row>
    <row r="249" spans="1:1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P249" s="36"/>
    </row>
    <row r="250" spans="1:1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P250" s="36"/>
    </row>
    <row r="251" spans="1:1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P251" s="36"/>
    </row>
    <row r="252" spans="1:1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P252" s="36"/>
    </row>
    <row r="253" spans="1:1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P253" s="36"/>
    </row>
    <row r="254" spans="1:1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spans="1:14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</row>
    <row r="256" spans="1:14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</row>
    <row r="257" spans="1:14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</row>
    <row r="258" spans="1:14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</row>
    <row r="259" spans="1:14">
      <c r="A259" s="20"/>
      <c r="B259" s="20"/>
      <c r="C259" s="20"/>
      <c r="D259" s="20"/>
      <c r="E259" s="20"/>
      <c r="F259" s="7"/>
      <c r="G259" s="7"/>
      <c r="H259" s="20"/>
      <c r="I259" s="20"/>
      <c r="J259" s="20"/>
      <c r="K259" s="20"/>
      <c r="L259" s="20"/>
      <c r="M259" s="7"/>
      <c r="N259" s="7"/>
    </row>
    <row r="260" spans="2:14">
      <c r="B260" s="20"/>
      <c r="C260" s="20"/>
      <c r="D260" s="20"/>
      <c r="E260" s="20"/>
      <c r="F260" s="7"/>
      <c r="G260" s="7"/>
      <c r="I260" s="20"/>
      <c r="J260" s="20"/>
      <c r="K260" s="20"/>
      <c r="L260" s="20"/>
      <c r="M260" s="7"/>
      <c r="N260" s="7"/>
    </row>
    <row r="261" spans="1:12">
      <c r="A261" s="20"/>
      <c r="B261" s="20"/>
      <c r="C261" s="20"/>
      <c r="D261" s="20"/>
      <c r="E261" s="20"/>
      <c r="H261" s="20"/>
      <c r="I261" s="20"/>
      <c r="J261" s="20"/>
      <c r="K261" s="20"/>
      <c r="L261" s="20"/>
    </row>
    <row r="262" spans="1:8">
      <c r="A262" s="20"/>
      <c r="H262" s="20"/>
    </row>
    <row r="263" spans="1:14">
      <c r="A263" s="20"/>
      <c r="B263" s="7"/>
      <c r="C263" s="11"/>
      <c r="D263" s="11"/>
      <c r="E263" s="7"/>
      <c r="F263" s="11"/>
      <c r="G263" s="20"/>
      <c r="H263" s="20"/>
      <c r="I263" s="7"/>
      <c r="J263" s="11"/>
      <c r="K263" s="11"/>
      <c r="L263" s="7"/>
      <c r="M263" s="11"/>
      <c r="N263" s="20"/>
    </row>
    <row r="264" spans="1:14">
      <c r="A264" s="20"/>
      <c r="B264" s="11"/>
      <c r="C264" s="11"/>
      <c r="D264" s="11"/>
      <c r="E264" s="11"/>
      <c r="F264" s="20"/>
      <c r="G264" s="20"/>
      <c r="H264" s="20"/>
      <c r="I264" s="11"/>
      <c r="J264" s="11"/>
      <c r="K264" s="11"/>
      <c r="L264" s="11"/>
      <c r="M264" s="20"/>
      <c r="N264" s="20"/>
    </row>
    <row r="265" spans="1:14">
      <c r="A265" s="20"/>
      <c r="B265" s="11"/>
      <c r="C265" s="11"/>
      <c r="D265" s="11"/>
      <c r="E265" s="11"/>
      <c r="F265" s="11"/>
      <c r="G265" s="11"/>
      <c r="H265" s="20"/>
      <c r="I265" s="11"/>
      <c r="J265" s="11"/>
      <c r="K265" s="11"/>
      <c r="L265" s="11"/>
      <c r="M265" s="11"/>
      <c r="N265" s="11"/>
    </row>
    <row r="266" spans="1: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>
      <c r="A267" s="11"/>
      <c r="B267" s="11"/>
      <c r="C267" s="11"/>
      <c r="D267" s="11"/>
      <c r="E267" s="11"/>
      <c r="F267" s="20"/>
      <c r="G267" s="11"/>
      <c r="H267" s="11"/>
      <c r="I267" s="11"/>
      <c r="J267" s="11"/>
      <c r="K267" s="11"/>
      <c r="L267" s="11"/>
      <c r="M267" s="20"/>
      <c r="N267" s="11"/>
    </row>
    <row r="268" spans="2:14">
      <c r="B268" s="11"/>
      <c r="C268" s="11"/>
      <c r="D268" s="11"/>
      <c r="E268" s="11"/>
      <c r="F268" s="20"/>
      <c r="G268" s="11"/>
      <c r="I268" s="11"/>
      <c r="J268" s="11"/>
      <c r="K268" s="11"/>
      <c r="L268" s="11"/>
      <c r="M268" s="20"/>
      <c r="N268" s="11"/>
    </row>
    <row r="269" spans="2:14">
      <c r="B269" s="11"/>
      <c r="C269" s="11"/>
      <c r="D269" s="11"/>
      <c r="E269" s="11"/>
      <c r="F269" s="20"/>
      <c r="G269" s="11"/>
      <c r="I269" s="11"/>
      <c r="J269" s="11"/>
      <c r="K269" s="11"/>
      <c r="L269" s="11"/>
      <c r="M269" s="20"/>
      <c r="N269" s="11"/>
    </row>
    <row r="271" spans="1:2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</row>
    <row r="272" spans="1:2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</row>
    <row r="273" spans="1:2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</row>
    <row r="274" spans="1:2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</row>
    <row r="275" spans="1:2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</row>
    <row r="276" spans="1:2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</row>
    <row r="277" spans="1:2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</row>
    <row r="278" spans="1:2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</row>
    <row r="279" spans="1:2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</row>
    <row r="280" spans="1:2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</row>
    <row r="281" spans="1:2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</row>
    <row r="282" spans="1:2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</row>
    <row r="283" spans="1:2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11"/>
      <c r="U283" s="7"/>
    </row>
    <row r="284" spans="1:21">
      <c r="A284" s="20"/>
      <c r="B284" s="20"/>
      <c r="C284" s="20"/>
      <c r="D284" s="20"/>
      <c r="E284" s="20"/>
      <c r="F284" s="11"/>
      <c r="G284" s="7"/>
      <c r="H284" s="20"/>
      <c r="I284" s="20"/>
      <c r="J284" s="20"/>
      <c r="K284" s="20"/>
      <c r="L284" s="20"/>
      <c r="M284" s="11"/>
      <c r="N284" s="7"/>
      <c r="O284" s="20"/>
      <c r="P284" s="20"/>
      <c r="Q284" s="20"/>
      <c r="R284" s="20"/>
      <c r="S284" s="20"/>
      <c r="T284" s="7"/>
      <c r="U284" s="11"/>
    </row>
    <row r="285" spans="1:21">
      <c r="A285" s="20"/>
      <c r="B285" s="20"/>
      <c r="C285" s="20"/>
      <c r="D285" s="20"/>
      <c r="E285" s="20"/>
      <c r="F285" s="7"/>
      <c r="G285" s="11"/>
      <c r="H285" s="20"/>
      <c r="I285" s="20"/>
      <c r="J285" s="20"/>
      <c r="K285" s="20"/>
      <c r="L285" s="20"/>
      <c r="M285" s="7"/>
      <c r="N285" s="11"/>
      <c r="O285" s="20"/>
      <c r="P285" s="20"/>
      <c r="Q285" s="20"/>
      <c r="R285" s="20"/>
      <c r="S285" s="20"/>
      <c r="T285" s="11"/>
      <c r="U285" s="11"/>
    </row>
    <row r="286" spans="1:21">
      <c r="A286" s="20"/>
      <c r="B286" s="20"/>
      <c r="C286" s="20"/>
      <c r="D286" s="20"/>
      <c r="E286" s="20"/>
      <c r="F286" s="11"/>
      <c r="G286" s="11"/>
      <c r="H286" s="20"/>
      <c r="I286" s="20"/>
      <c r="J286" s="20"/>
      <c r="K286" s="20"/>
      <c r="L286" s="20"/>
      <c r="M286" s="11"/>
      <c r="N286" s="11"/>
      <c r="O286" s="20"/>
      <c r="P286" s="7"/>
      <c r="Q286" s="11"/>
      <c r="R286" s="11"/>
      <c r="S286" s="7"/>
      <c r="T286" s="11"/>
      <c r="U286" s="11"/>
    </row>
    <row r="287" spans="1:21">
      <c r="A287" s="20"/>
      <c r="B287" s="20"/>
      <c r="C287" s="20"/>
      <c r="D287" s="20"/>
      <c r="E287" s="20"/>
      <c r="H287" s="20"/>
      <c r="I287" s="20"/>
      <c r="J287" s="20"/>
      <c r="K287" s="20"/>
      <c r="L287" s="20"/>
      <c r="O287" s="20"/>
      <c r="P287" s="11"/>
      <c r="Q287" s="11"/>
      <c r="R287" s="11"/>
      <c r="S287" s="11"/>
      <c r="U287" s="11"/>
    </row>
    <row r="288" spans="1:21">
      <c r="A288" s="20"/>
      <c r="B288" s="7"/>
      <c r="C288" s="11"/>
      <c r="D288" s="11"/>
      <c r="E288" s="7"/>
      <c r="F288" s="11"/>
      <c r="G288" s="11"/>
      <c r="H288" s="20"/>
      <c r="I288" s="7"/>
      <c r="J288" s="11"/>
      <c r="K288" s="11"/>
      <c r="L288" s="7"/>
      <c r="M288" s="11"/>
      <c r="N288" s="11"/>
      <c r="O288" s="20"/>
      <c r="P288" s="11"/>
      <c r="Q288" s="11"/>
      <c r="R288" s="11"/>
      <c r="S288" s="11"/>
      <c r="T288" s="11"/>
      <c r="U288" s="11"/>
    </row>
    <row r="289" spans="1:21">
      <c r="A289" s="20"/>
      <c r="B289" s="11"/>
      <c r="C289" s="11"/>
      <c r="D289" s="11"/>
      <c r="E289" s="11"/>
      <c r="G289" s="11"/>
      <c r="H289" s="20"/>
      <c r="I289" s="11"/>
      <c r="J289" s="11"/>
      <c r="K289" s="11"/>
      <c r="L289" s="11"/>
      <c r="N289" s="11"/>
      <c r="O289" s="20"/>
      <c r="P289" s="11"/>
      <c r="Q289" s="11"/>
      <c r="R289" s="11"/>
      <c r="S289" s="11"/>
      <c r="T289" s="11"/>
      <c r="U289" s="11"/>
    </row>
    <row r="290" spans="1:21">
      <c r="A290" s="20"/>
      <c r="B290" s="11"/>
      <c r="C290" s="11"/>
      <c r="D290" s="11"/>
      <c r="E290" s="11"/>
      <c r="F290" s="11"/>
      <c r="G290" s="11"/>
      <c r="H290" s="20"/>
      <c r="I290" s="11"/>
      <c r="J290" s="11"/>
      <c r="K290" s="11"/>
      <c r="L290" s="11"/>
      <c r="M290" s="11"/>
      <c r="N290" s="11"/>
      <c r="O290" s="20"/>
      <c r="P290" s="11"/>
      <c r="Q290" s="11"/>
      <c r="R290" s="11"/>
      <c r="S290" s="11"/>
      <c r="T290" s="20"/>
      <c r="U290" s="11"/>
    </row>
    <row r="291" spans="1:21">
      <c r="A291" s="20"/>
      <c r="B291" s="11"/>
      <c r="C291" s="11"/>
      <c r="D291" s="11"/>
      <c r="E291" s="11"/>
      <c r="F291" s="11"/>
      <c r="G291" s="11"/>
      <c r="H291" s="20"/>
      <c r="I291" s="11"/>
      <c r="J291" s="11"/>
      <c r="K291" s="11"/>
      <c r="L291" s="11"/>
      <c r="M291" s="11"/>
      <c r="N291" s="11"/>
      <c r="O291" s="20"/>
      <c r="P291" s="11"/>
      <c r="Q291" s="11"/>
      <c r="R291" s="11"/>
      <c r="S291" s="11"/>
      <c r="T291" s="20"/>
      <c r="U291" s="11"/>
    </row>
    <row r="292" spans="1:21">
      <c r="A292" s="20"/>
      <c r="B292" s="11"/>
      <c r="C292" s="11"/>
      <c r="D292" s="11"/>
      <c r="E292" s="11"/>
      <c r="F292" s="20"/>
      <c r="G292" s="11"/>
      <c r="H292" s="20"/>
      <c r="I292" s="11"/>
      <c r="J292" s="11"/>
      <c r="K292" s="11"/>
      <c r="L292" s="11"/>
      <c r="M292" s="20"/>
      <c r="N292" s="11"/>
      <c r="O292" s="20"/>
      <c r="P292" s="11"/>
      <c r="Q292" s="11"/>
      <c r="R292" s="11"/>
      <c r="S292" s="11"/>
      <c r="T292" s="20"/>
      <c r="U292" s="11"/>
    </row>
    <row r="293" spans="1:14">
      <c r="A293" s="20"/>
      <c r="B293" s="11"/>
      <c r="C293" s="11"/>
      <c r="D293" s="11"/>
      <c r="E293" s="11"/>
      <c r="F293" s="20"/>
      <c r="G293" s="11"/>
      <c r="H293" s="20"/>
      <c r="I293" s="11"/>
      <c r="J293" s="11"/>
      <c r="K293" s="11"/>
      <c r="L293" s="11"/>
      <c r="M293" s="20"/>
      <c r="N293" s="11"/>
    </row>
    <row r="294" spans="1:14">
      <c r="A294" s="20"/>
      <c r="B294" s="11"/>
      <c r="C294" s="11"/>
      <c r="D294" s="11"/>
      <c r="E294" s="11"/>
      <c r="F294" s="20"/>
      <c r="G294" s="11"/>
      <c r="H294" s="20"/>
      <c r="I294" s="11"/>
      <c r="J294" s="11"/>
      <c r="K294" s="11"/>
      <c r="L294" s="11"/>
      <c r="M294" s="20"/>
      <c r="N294" s="11"/>
    </row>
  </sheetData>
  <mergeCells count="2">
    <mergeCell ref="I24:L24"/>
    <mergeCell ref="T35:U35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4"/>
  <sheetViews>
    <sheetView topLeftCell="A28" workbookViewId="0">
      <selection activeCell="V61" sqref="V61"/>
    </sheetView>
  </sheetViews>
  <sheetFormatPr defaultColWidth="7.625" defaultRowHeight="15"/>
  <cols>
    <col min="1" max="21" width="8.625" style="17" customWidth="1"/>
    <col min="22" max="22" width="8.625" style="30" customWidth="1"/>
    <col min="23" max="23" width="8.625" style="36" customWidth="1"/>
    <col min="24" max="28" width="8.625" style="17" customWidth="1"/>
    <col min="29" max="29" width="7.625" style="17"/>
    <col min="30" max="16384" width="7.625" style="14"/>
  </cols>
  <sheetData>
    <row r="1" customHeight="1" spans="1:26">
      <c r="A1" s="11" t="str">
        <f>木桩!A1</f>
        <v>技能</v>
      </c>
      <c r="B1" s="11" t="str">
        <f>木桩!B1</f>
        <v>怒气</v>
      </c>
      <c r="C1" s="11" t="str">
        <f>木桩!C1</f>
        <v>实际系数</v>
      </c>
      <c r="D1" s="11" t="str">
        <f>木桩!D1</f>
        <v>基础伤害</v>
      </c>
      <c r="E1" s="11" t="str">
        <f>木桩!E1</f>
        <v>武伤系数</v>
      </c>
      <c r="F1" s="11" t="str">
        <f>木桩!F1</f>
        <v>伤害加成</v>
      </c>
      <c r="G1" s="11" t="str">
        <f>木桩!G1</f>
        <v>会心加成</v>
      </c>
      <c r="H1" s="11" t="str">
        <f>木桩!H1</f>
        <v>会效加成</v>
      </c>
      <c r="I1" s="11" t="s">
        <v>278</v>
      </c>
      <c r="J1" s="11" t="s">
        <v>26</v>
      </c>
      <c r="K1" s="11" t="s">
        <v>279</v>
      </c>
      <c r="L1" s="11" t="s">
        <v>36</v>
      </c>
      <c r="M1" s="11" t="s">
        <v>205</v>
      </c>
      <c r="N1" s="11" t="s">
        <v>15</v>
      </c>
      <c r="O1" s="11" t="s">
        <v>16</v>
      </c>
      <c r="P1" s="7" t="s">
        <v>280</v>
      </c>
      <c r="Q1" s="11" t="s">
        <v>75</v>
      </c>
      <c r="R1" s="11" t="s">
        <v>212</v>
      </c>
      <c r="S1" s="11" t="s">
        <v>213</v>
      </c>
      <c r="T1" s="20" t="s">
        <v>281</v>
      </c>
      <c r="U1" s="37" t="str">
        <f t="shared" ref="U1:V17" si="0">Y1</f>
        <v>实战属性</v>
      </c>
      <c r="V1" s="20"/>
      <c r="W1" s="41" t="str">
        <f>属性!H5</f>
        <v>裸buff属性</v>
      </c>
      <c r="X1" s="46"/>
      <c r="Y1" s="41" t="s">
        <v>197</v>
      </c>
      <c r="Z1" s="46"/>
    </row>
    <row r="2" customHeight="1" spans="1:27">
      <c r="A2" s="12" t="str">
        <f>木桩!A2</f>
        <v>昆吾·弦刃</v>
      </c>
      <c r="B2" s="11">
        <f>木桩!B2</f>
        <v>0</v>
      </c>
      <c r="C2" s="11">
        <f>木桩!C2</f>
        <v>0.854</v>
      </c>
      <c r="D2" s="11">
        <f>木桩!D2</f>
        <v>0</v>
      </c>
      <c r="E2" s="13">
        <f>木桩!E2</f>
        <v>0</v>
      </c>
      <c r="F2" s="13">
        <f ca="1">木桩!F2+Q$23</f>
        <v>0.0101333333333333</v>
      </c>
      <c r="G2" s="13">
        <f>木桩!G2</f>
        <v>0</v>
      </c>
      <c r="H2" s="13">
        <f>木桩!H2</f>
        <v>0</v>
      </c>
      <c r="I2" s="21">
        <f ca="1">(N:N*C:C+D:D+E:E*Q:Q)*(1+F:F)*(K:K*(L:L+H:H-1)+1-R:R-0.75*S:S)*(1+M:M)*INDEX($O$25:$O$29,MATCH($Q$27,$M$25:$M$29,))</f>
        <v>41934.4893782447</v>
      </c>
      <c r="J2" s="13">
        <f ca="1" t="shared" ref="J2:J18" si="1">INDEX(V:V,MATCH($1:$1,$U:$U,))+$G:$G</f>
        <v>0.433665199880085</v>
      </c>
      <c r="K2" s="15">
        <f ca="1" t="shared" ref="K2:K8" si="2">J:J+(0.211855500496661*J:J^6-0.937563819411654*J:J^5+1.77483619127542*J:J^4-1.89647323402313*J:J^3+1.2737744963305*J:J^2-0.565275505039552*J:J+0.164596522595162)*$D$28</f>
        <v>0.487805126715561</v>
      </c>
      <c r="L2" s="13">
        <f ca="1">INDEX(V2:V17,MATCH(1:1,U2:U17,))</f>
        <v>1.9433</v>
      </c>
      <c r="M2" s="13">
        <f ca="1">INDEX(V2:V17,MATCH(1:1,U2:U17,))</f>
        <v>0.902992590034019</v>
      </c>
      <c r="N2" s="21">
        <f ca="1">INDEX(V2:V17,MATCH(1:1,U2:U17,))+O:O*P:P</f>
        <v>17965.8209384615</v>
      </c>
      <c r="O2" s="21">
        <f ca="1">INDEX(V2:V17,MATCH(1:1,U2:U17,))</f>
        <v>7522.72307692308</v>
      </c>
      <c r="P2" s="40">
        <f t="shared" ref="P2:P8" si="3">60%+D$32*0.2*6/25+60%*(25+6*D$32)*(1+H$28)/H$27</f>
        <v>0.772</v>
      </c>
      <c r="Q2" s="21">
        <f ca="1">INDEX(V2:V17,MATCH(1:1,U2:U17,))</f>
        <v>751</v>
      </c>
      <c r="R2" s="13">
        <f ca="1">INDEX(V2:V17,MATCH(1:1,U2:U17,))</f>
        <v>0</v>
      </c>
      <c r="S2" s="13">
        <f ca="1">INDEX(V2:V17,MATCH(1:1,U2:U17,))</f>
        <v>0</v>
      </c>
      <c r="T2" s="20">
        <f>实战!T2</f>
        <v>45</v>
      </c>
      <c r="U2" s="20" t="str">
        <f t="shared" si="0"/>
        <v>身法</v>
      </c>
      <c r="V2" s="20">
        <f ca="1" t="shared" si="0"/>
        <v>1970.1</v>
      </c>
      <c r="W2" s="17" t="str">
        <f>属性!H6</f>
        <v>身法</v>
      </c>
      <c r="X2" s="17">
        <f>属性!I6</f>
        <v>1749</v>
      </c>
      <c r="Y2" s="17" t="s">
        <v>6</v>
      </c>
      <c r="Z2" s="17">
        <f ca="1">Z3*(1+G23)</f>
        <v>1970.1</v>
      </c>
      <c r="AA2" s="23"/>
    </row>
    <row r="3" customHeight="1" spans="1:27">
      <c r="A3" s="12" t="str">
        <f>木桩!A3</f>
        <v>昆吾·折锋</v>
      </c>
      <c r="B3" s="11">
        <f>木桩!B3</f>
        <v>0</v>
      </c>
      <c r="C3" s="14">
        <f>木桩!C3</f>
        <v>0.338</v>
      </c>
      <c r="D3" s="11">
        <f>木桩!D3</f>
        <v>0</v>
      </c>
      <c r="E3" s="13">
        <f>木桩!E3</f>
        <v>0</v>
      </c>
      <c r="F3" s="13">
        <f ca="1">木桩!F3+Q$23</f>
        <v>0.0101333333333333</v>
      </c>
      <c r="G3" s="13">
        <f>木桩!G3</f>
        <v>0</v>
      </c>
      <c r="H3" s="13">
        <f>木桩!H3</f>
        <v>0</v>
      </c>
      <c r="I3" s="21">
        <f ca="1" t="shared" ref="I3:I18" si="4">(N:N*C:C+D:D+E:E*Q:Q)*(1+F:F)*(K:K*(L:L+H:H-1)+1-R:R-0.75*S:S)*(1+M:M)*INDEX($O$25:$O$29,MATCH($Q$27,$M$25:$M$29,))</f>
        <v>16597.0227281578</v>
      </c>
      <c r="J3" s="13">
        <f ca="1" t="shared" si="1"/>
        <v>0.433665199880085</v>
      </c>
      <c r="K3" s="15">
        <f ca="1" t="shared" si="2"/>
        <v>0.487805126715561</v>
      </c>
      <c r="L3" s="13">
        <f ca="1">INDEX(V2:V17,MATCH(1:1,U2:U17,))</f>
        <v>1.9433</v>
      </c>
      <c r="M3" s="13">
        <f ca="1">INDEX(V2:V17,MATCH(1:1,U2:U17,))</f>
        <v>0.902992590034019</v>
      </c>
      <c r="N3" s="21">
        <f ca="1">INDEX(V2:V17,MATCH(1:1,U2:U17,))+O:O*P:P</f>
        <v>17965.8209384615</v>
      </c>
      <c r="O3" s="21">
        <f ca="1">INDEX(V2:V17,MATCH(1:1,U2:U17,))</f>
        <v>7522.72307692308</v>
      </c>
      <c r="P3" s="40">
        <f t="shared" si="3"/>
        <v>0.772</v>
      </c>
      <c r="Q3" s="21">
        <f ca="1">INDEX(V2:V17,MATCH(1:1,U2:U17,))</f>
        <v>751</v>
      </c>
      <c r="R3" s="13">
        <f ca="1">INDEX(V2:V17,MATCH(1:1,U2:U17,))</f>
        <v>0</v>
      </c>
      <c r="S3" s="13">
        <f ca="1">INDEX(V2:V17,MATCH(1:1,U2:U17,))</f>
        <v>0</v>
      </c>
      <c r="T3" s="20">
        <f>实战!T3</f>
        <v>20</v>
      </c>
      <c r="U3" s="20" t="str">
        <f t="shared" si="0"/>
        <v>基础身法</v>
      </c>
      <c r="V3" s="20">
        <f ca="1" t="shared" si="0"/>
        <v>1791</v>
      </c>
      <c r="W3" s="17" t="str">
        <f>属性!H7</f>
        <v>基础身法</v>
      </c>
      <c r="X3" s="17">
        <f>属性!I7</f>
        <v>1590</v>
      </c>
      <c r="Y3" s="17" t="s">
        <v>201</v>
      </c>
      <c r="Z3" s="17">
        <f ca="1">X3+G21</f>
        <v>1791</v>
      </c>
      <c r="AA3" s="23"/>
    </row>
    <row r="4" customHeight="1" spans="1:27">
      <c r="A4" s="12" t="str">
        <f>木桩!A4</f>
        <v>盾刀1</v>
      </c>
      <c r="B4" s="11">
        <f>木桩!B4</f>
        <v>5</v>
      </c>
      <c r="C4" s="11">
        <f>木桩!C4</f>
        <v>0.656</v>
      </c>
      <c r="D4" s="11">
        <f>木桩!D4</f>
        <v>137.5</v>
      </c>
      <c r="E4" s="13">
        <f>木桩!E4</f>
        <v>1</v>
      </c>
      <c r="F4" s="13">
        <f ca="1">木桩!F4+Q$23</f>
        <v>0.130133333333333</v>
      </c>
      <c r="G4" s="13">
        <f>木桩!G4</f>
        <v>0</v>
      </c>
      <c r="H4" s="13">
        <f>木桩!H4</f>
        <v>0</v>
      </c>
      <c r="I4" s="21">
        <f ca="1" t="shared" si="4"/>
        <v>38755.5404518177</v>
      </c>
      <c r="J4" s="13">
        <f ca="1" t="shared" si="1"/>
        <v>0.433665199880085</v>
      </c>
      <c r="K4" s="15">
        <f ca="1" t="shared" si="2"/>
        <v>0.487805126715561</v>
      </c>
      <c r="L4" s="13">
        <f ca="1">INDEX(V2:V17,MATCH(1:1,U2:U17,))</f>
        <v>1.9433</v>
      </c>
      <c r="M4" s="13">
        <f ca="1">INDEX(V2:V17,MATCH(1:1,U2:U17,))</f>
        <v>0.902992590034019</v>
      </c>
      <c r="N4" s="21">
        <f ca="1">INDEX(V2:V17,MATCH(1:1,U2:U17,))+O:O*P:P</f>
        <v>17965.8209384615</v>
      </c>
      <c r="O4" s="21">
        <f ca="1">INDEX(V2:V17,MATCH(1:1,U2:U17,))</f>
        <v>7522.72307692308</v>
      </c>
      <c r="P4" s="40">
        <f t="shared" si="3"/>
        <v>0.772</v>
      </c>
      <c r="Q4" s="21">
        <f ca="1">INDEX(V2:V17,MATCH(1:1,U2:U17,))</f>
        <v>751</v>
      </c>
      <c r="R4" s="13">
        <f ca="1">INDEX(V2:V17,MATCH(1:1,U2:U17,))</f>
        <v>0</v>
      </c>
      <c r="S4" s="13">
        <f ca="1">INDEX(V2:V17,MATCH(1:1,U2:U17,))</f>
        <v>0</v>
      </c>
      <c r="T4" s="20">
        <f>1-Q25/16</f>
        <v>0.9375</v>
      </c>
      <c r="U4" s="20" t="str">
        <f t="shared" si="0"/>
        <v>力道</v>
      </c>
      <c r="V4" s="20">
        <f ca="1" t="shared" si="0"/>
        <v>84</v>
      </c>
      <c r="W4" s="17" t="str">
        <f>属性!H8</f>
        <v>力道</v>
      </c>
      <c r="X4" s="17">
        <f>属性!I8</f>
        <v>32</v>
      </c>
      <c r="Y4" s="17" t="s">
        <v>191</v>
      </c>
      <c r="Z4" s="17">
        <f ca="1">(X4+H21)*(1+H23)</f>
        <v>84</v>
      </c>
      <c r="AA4" s="23"/>
    </row>
    <row r="5" customHeight="1" spans="1:27">
      <c r="A5" s="12" t="str">
        <f>木桩!A5</f>
        <v>废弃栏</v>
      </c>
      <c r="B5" s="11">
        <f>木桩!B5</f>
        <v>5</v>
      </c>
      <c r="C5" s="11">
        <f>木桩!C5</f>
        <v>0.9375</v>
      </c>
      <c r="D5" s="11">
        <f>木桩!D5</f>
        <v>137.5</v>
      </c>
      <c r="E5" s="13">
        <f>木桩!E5</f>
        <v>1</v>
      </c>
      <c r="F5" s="13">
        <f ca="1">木桩!F5+Q$23</f>
        <v>0.130133333333333</v>
      </c>
      <c r="G5" s="13">
        <f>木桩!G5</f>
        <v>0</v>
      </c>
      <c r="H5" s="13">
        <f>木桩!H5</f>
        <v>0</v>
      </c>
      <c r="I5" s="21">
        <f ca="1" t="shared" si="4"/>
        <v>54220.2892409119</v>
      </c>
      <c r="J5" s="13">
        <f ca="1" t="shared" si="1"/>
        <v>0.433665199880085</v>
      </c>
      <c r="K5" s="15">
        <f ca="1" t="shared" si="2"/>
        <v>0.487805126715561</v>
      </c>
      <c r="L5" s="13">
        <f ca="1">INDEX(V2:V17,MATCH(1:1,U2:U17,))</f>
        <v>1.9433</v>
      </c>
      <c r="M5" s="13">
        <f ca="1">INDEX(V2:V17,MATCH(1:1,U2:U17,))</f>
        <v>0.902992590034019</v>
      </c>
      <c r="N5" s="21">
        <f ca="1">INDEX(V2:V17,MATCH(1:1,U2:U17,))+O:O*P:P</f>
        <v>17965.8209384615</v>
      </c>
      <c r="O5" s="21">
        <f ca="1">INDEX(V2:V17,MATCH(1:1,U2:U17,))</f>
        <v>7522.72307692308</v>
      </c>
      <c r="P5" s="40">
        <f t="shared" si="3"/>
        <v>0.772</v>
      </c>
      <c r="Q5" s="21">
        <f ca="1">INDEX(V2:V17,MATCH(1:1,U2:U17,))</f>
        <v>751</v>
      </c>
      <c r="R5" s="13">
        <f ca="1">INDEX(V2:V17,MATCH(1:1,U2:U17,))</f>
        <v>0</v>
      </c>
      <c r="S5" s="13">
        <f ca="1">INDEX(V2:V17,MATCH(1:1,U2:U17,))</f>
        <v>0</v>
      </c>
      <c r="T5" s="20">
        <f>1-Q26/16</f>
        <v>0.875</v>
      </c>
      <c r="U5" s="20" t="str">
        <f t="shared" si="0"/>
        <v>面板攻击</v>
      </c>
      <c r="V5" s="20">
        <f ca="1" t="shared" si="0"/>
        <v>12158.2787230769</v>
      </c>
      <c r="W5" s="17" t="str">
        <f>属性!H9</f>
        <v>面板攻击</v>
      </c>
      <c r="X5" s="17">
        <f>属性!I9</f>
        <v>12484</v>
      </c>
      <c r="Y5" s="17" t="s">
        <v>15</v>
      </c>
      <c r="Z5" s="17">
        <f ca="1">Z6*(1+I23)+Z2*L26</f>
        <v>12158.2787230769</v>
      </c>
      <c r="AA5" s="23"/>
    </row>
    <row r="6" customHeight="1" spans="1:27">
      <c r="A6" s="12" t="str">
        <f>木桩!A6</f>
        <v>盾击</v>
      </c>
      <c r="B6" s="11">
        <f>木桩!B6</f>
        <v>5</v>
      </c>
      <c r="C6" s="11">
        <f>木桩!C6</f>
        <v>0.625</v>
      </c>
      <c r="D6" s="11">
        <f>木桩!D6</f>
        <v>109</v>
      </c>
      <c r="E6" s="13">
        <f>木桩!E6</f>
        <v>1</v>
      </c>
      <c r="F6" s="13">
        <f ca="1">木桩!F6+Q$23</f>
        <v>0.0101333333333333</v>
      </c>
      <c r="G6" s="13">
        <f>木桩!G6</f>
        <v>0</v>
      </c>
      <c r="H6" s="13">
        <f>木桩!H6</f>
        <v>0</v>
      </c>
      <c r="I6" s="21">
        <f ca="1" t="shared" si="4"/>
        <v>33040.2859519281</v>
      </c>
      <c r="J6" s="13">
        <f ca="1" t="shared" si="1"/>
        <v>0.433665199880085</v>
      </c>
      <c r="K6" s="15">
        <f ca="1" t="shared" si="2"/>
        <v>0.487805126715561</v>
      </c>
      <c r="L6" s="13">
        <f ca="1">INDEX(V2:V17,MATCH(1:1,U2:U17,))</f>
        <v>1.9433</v>
      </c>
      <c r="M6" s="13">
        <f ca="1">INDEX(V2:V17,MATCH(1:1,U2:U17,))</f>
        <v>0.902992590034019</v>
      </c>
      <c r="N6" s="21">
        <f ca="1">INDEX(V2:V17,MATCH(1:1,U2:U17,))+O:O*P:P</f>
        <v>17965.8209384615</v>
      </c>
      <c r="O6" s="21">
        <f ca="1">INDEX(V2:V17,MATCH(1:1,U2:U17,))</f>
        <v>7522.72307692308</v>
      </c>
      <c r="P6" s="40">
        <f t="shared" si="3"/>
        <v>0.772</v>
      </c>
      <c r="Q6" s="21">
        <f ca="1">INDEX(V2:V17,MATCH(1:1,U2:U17,))</f>
        <v>751</v>
      </c>
      <c r="R6" s="13">
        <f ca="1">INDEX(V2:V17,MATCH(1:1,U2:U17,))</f>
        <v>0</v>
      </c>
      <c r="S6" s="13">
        <f ca="1">INDEX(V2:V17,MATCH(1:1,U2:U17,))</f>
        <v>0</v>
      </c>
      <c r="T6" s="20">
        <f>1-Q25/16</f>
        <v>0.9375</v>
      </c>
      <c r="U6" s="20" t="str">
        <f t="shared" si="0"/>
        <v>基础攻击</v>
      </c>
      <c r="V6" s="20">
        <f ca="1" t="shared" si="0"/>
        <v>7522.72307692308</v>
      </c>
      <c r="W6" s="17" t="str">
        <f>属性!H10</f>
        <v>基础攻击</v>
      </c>
      <c r="X6" s="17">
        <f>属性!I10</f>
        <v>7315.92307692308</v>
      </c>
      <c r="Y6" s="17" t="s">
        <v>16</v>
      </c>
      <c r="Z6" s="17">
        <f ca="1">X6+I21+L28*(Z4-X4)</f>
        <v>7522.72307692308</v>
      </c>
      <c r="AA6" s="23"/>
    </row>
    <row r="7" customHeight="1" spans="1:27">
      <c r="A7" s="12" t="str">
        <f>木桩!A7</f>
        <v>盾压</v>
      </c>
      <c r="B7" s="11">
        <f>木桩!B7</f>
        <v>15</v>
      </c>
      <c r="C7" s="11">
        <f>木桩!C7</f>
        <v>1.243</v>
      </c>
      <c r="D7" s="11">
        <f>木桩!D7</f>
        <v>211</v>
      </c>
      <c r="E7" s="13">
        <f>木桩!E7</f>
        <v>1</v>
      </c>
      <c r="F7" s="13">
        <f ca="1">木桩!F7+Q$23</f>
        <v>0.200133333333333</v>
      </c>
      <c r="G7" s="13">
        <f>木桩!G7</f>
        <v>0.07</v>
      </c>
      <c r="H7" s="13">
        <f>木桩!H7</f>
        <v>0</v>
      </c>
      <c r="I7" s="21">
        <f ca="1" t="shared" si="4"/>
        <v>78760.2817622488</v>
      </c>
      <c r="J7" s="13">
        <f ca="1" t="shared" si="1"/>
        <v>0.503665199880085</v>
      </c>
      <c r="K7" s="15">
        <f ca="1" t="shared" si="2"/>
        <v>0.551656521857724</v>
      </c>
      <c r="L7" s="13">
        <f ca="1">INDEX(V2:V17,MATCH(1:1,U2:U17,))</f>
        <v>1.9433</v>
      </c>
      <c r="M7" s="13">
        <f ca="1">INDEX(V2:V17,MATCH(1:1,U2:U17,))</f>
        <v>0.902992590034019</v>
      </c>
      <c r="N7" s="21">
        <f ca="1">INDEX(V2:V17,MATCH(1:1,U2:U17,))+O:O*P:P</f>
        <v>17965.8209384615</v>
      </c>
      <c r="O7" s="21">
        <f ca="1">INDEX(V2:V17,MATCH(1:1,U2:U17,))</f>
        <v>7522.72307692308</v>
      </c>
      <c r="P7" s="40">
        <f t="shared" si="3"/>
        <v>0.772</v>
      </c>
      <c r="Q7" s="21">
        <f ca="1">INDEX(V2:V17,MATCH(1:1,U2:U17,))</f>
        <v>751</v>
      </c>
      <c r="R7" s="13">
        <f ca="1">INDEX(V2:V17,MATCH(1:1,U2:U17,))</f>
        <v>0</v>
      </c>
      <c r="S7" s="13">
        <f ca="1">INDEX(V2:V17,MATCH(1:1,U2:U17,))</f>
        <v>0</v>
      </c>
      <c r="T7" s="20">
        <f>1.5-Q24/16</f>
        <v>1.375</v>
      </c>
      <c r="U7" s="20" t="str">
        <f t="shared" si="0"/>
        <v>会心</v>
      </c>
      <c r="V7" s="20">
        <f ca="1" t="shared" si="0"/>
        <v>0.433665199880085</v>
      </c>
      <c r="W7" s="17" t="str">
        <f>属性!H11</f>
        <v>会心</v>
      </c>
      <c r="X7" s="17">
        <f>属性!I11</f>
        <v>0.2668</v>
      </c>
      <c r="Y7" s="17" t="s">
        <v>26</v>
      </c>
      <c r="Z7" s="17">
        <f ca="1">X7+K21/J25+(Z2-X2)*L29/J25+K23</f>
        <v>0.433665199880085</v>
      </c>
      <c r="AA7" s="23"/>
    </row>
    <row r="8" customHeight="1" spans="1:27">
      <c r="A8" s="12" t="str">
        <f>木桩!A8</f>
        <v>盾猛</v>
      </c>
      <c r="B8" s="11">
        <f>木桩!B8</f>
        <v>15</v>
      </c>
      <c r="C8" s="11">
        <f>木桩!C8</f>
        <v>2.4525</v>
      </c>
      <c r="D8" s="11">
        <f>木桩!D8</f>
        <v>340</v>
      </c>
      <c r="E8" s="13">
        <f>木桩!E8</f>
        <v>1</v>
      </c>
      <c r="F8" s="13">
        <f ca="1">木桩!F8+Q$23</f>
        <v>0.0101333333333333</v>
      </c>
      <c r="G8" s="13">
        <f>木桩!G8</f>
        <v>0.1</v>
      </c>
      <c r="H8" s="13">
        <f>木桩!H8</f>
        <v>0.1</v>
      </c>
      <c r="I8" s="21">
        <f ca="1" t="shared" si="4"/>
        <v>135607.209534485</v>
      </c>
      <c r="J8" s="13">
        <f ca="1" t="shared" si="1"/>
        <v>0.533665199880085</v>
      </c>
      <c r="K8" s="15">
        <f ca="1" t="shared" si="2"/>
        <v>0.579391677895563</v>
      </c>
      <c r="L8" s="13">
        <f ca="1">INDEX(V2:V17,MATCH(1:1,U2:U17,))</f>
        <v>1.9433</v>
      </c>
      <c r="M8" s="13">
        <f ca="1">INDEX(V2:V17,MATCH(1:1,U2:U17,))</f>
        <v>0.902992590034019</v>
      </c>
      <c r="N8" s="21">
        <f ca="1">INDEX(V2:V17,MATCH(1:1,U2:U17,))+O:O*P:P</f>
        <v>17965.8209384615</v>
      </c>
      <c r="O8" s="21">
        <f ca="1">INDEX(V2:V17,MATCH(1:1,U2:U17,))</f>
        <v>7522.72307692308</v>
      </c>
      <c r="P8" s="40">
        <f t="shared" si="3"/>
        <v>0.772</v>
      </c>
      <c r="Q8" s="21">
        <f ca="1">INDEX(V2:V17,MATCH(1:1,U2:U17,))</f>
        <v>751</v>
      </c>
      <c r="R8" s="13">
        <f ca="1">INDEX(V2:V17,MATCH(1:1,U2:U17,))</f>
        <v>0</v>
      </c>
      <c r="S8" s="13">
        <f ca="1">INDEX(V2:V17,MATCH(1:1,U2:U17,))</f>
        <v>0</v>
      </c>
      <c r="T8" s="20">
        <f>1.5-Q24/16</f>
        <v>1.375</v>
      </c>
      <c r="U8" s="20" t="str">
        <f t="shared" si="0"/>
        <v>会效</v>
      </c>
      <c r="V8" s="20">
        <f ca="1" t="shared" si="0"/>
        <v>1.9433</v>
      </c>
      <c r="W8" s="17" t="str">
        <f>属性!H12</f>
        <v>会效</v>
      </c>
      <c r="X8" s="17">
        <f>属性!I12</f>
        <v>1.8533</v>
      </c>
      <c r="Y8" s="17" t="s">
        <v>36</v>
      </c>
      <c r="Z8" s="17">
        <f ca="1">X8+(L21+(Z2-X2)*L30)/J26+L23</f>
        <v>1.9433</v>
      </c>
      <c r="AA8" s="23"/>
    </row>
    <row r="9" customHeight="1" spans="1:27">
      <c r="A9" s="12" t="str">
        <f>木桩!A9</f>
        <v>盾飞</v>
      </c>
      <c r="B9" s="11">
        <f>木桩!B9</f>
        <v>0</v>
      </c>
      <c r="C9" s="11">
        <f>木桩!C9</f>
        <v>0.168</v>
      </c>
      <c r="D9" s="11">
        <f>木桩!D9</f>
        <v>25</v>
      </c>
      <c r="E9" s="13">
        <f>木桩!E9</f>
        <v>1</v>
      </c>
      <c r="F9" s="13">
        <f ca="1">木桩!F9+Q$23</f>
        <v>0.130133333333333</v>
      </c>
      <c r="G9" s="13">
        <f>木桩!G9</f>
        <v>0.05</v>
      </c>
      <c r="H9" s="13">
        <f>木桩!H9</f>
        <v>0</v>
      </c>
      <c r="I9" s="21">
        <f ca="1" t="shared" si="4"/>
        <v>12530.6398657717</v>
      </c>
      <c r="J9" s="13">
        <f ca="1" t="shared" si="1"/>
        <v>0.483665199880085</v>
      </c>
      <c r="K9" s="15">
        <f ca="1" t="shared" ref="K9:K14" si="5">J:J+K$19</f>
        <v>0.532106492123557</v>
      </c>
      <c r="L9" s="13">
        <f ca="1">INDEX(V2:V17,MATCH(1:1,U2:U17,))</f>
        <v>1.9433</v>
      </c>
      <c r="M9" s="13">
        <f ca="1">INDEX(V2:V17,MATCH(1:1,U2:U17,))</f>
        <v>0.902992590034019</v>
      </c>
      <c r="N9" s="21">
        <f ca="1">INDEX(V2:V17,MATCH(1:1,U2:U17,))+O:O*P:P</f>
        <v>19094.2294</v>
      </c>
      <c r="O9" s="21">
        <f ca="1">INDEX(V2:V17,MATCH(1:1,U2:U17,))</f>
        <v>7522.72307692308</v>
      </c>
      <c r="P9" s="40">
        <f t="shared" ref="P9:P14" si="6">60%+D$32*0.2*6/25+0.15*D$21+60%*(25+6*D$32)*(1+H$28)/H$27</f>
        <v>0.922</v>
      </c>
      <c r="Q9" s="21">
        <f ca="1">INDEX(V2:V17,MATCH(1:1,U2:U17,))</f>
        <v>751</v>
      </c>
      <c r="R9" s="13">
        <f ca="1">INDEX(V2:V17,MATCH(1:1,U2:U17,))</f>
        <v>0</v>
      </c>
      <c r="S9" s="13">
        <f ca="1">INDEX(V2:V17,MATCH(1:1,U2:U17,))</f>
        <v>0</v>
      </c>
      <c r="T9" s="20">
        <f>1.5-Q24/16</f>
        <v>1.375</v>
      </c>
      <c r="U9" s="20" t="str">
        <f t="shared" si="0"/>
        <v>破防值</v>
      </c>
      <c r="V9" s="20">
        <f ca="1">Z9</f>
        <v>13855.6989</v>
      </c>
      <c r="W9" s="17" t="str">
        <f>属性!H13</f>
        <v>破防值</v>
      </c>
      <c r="X9" s="17">
        <f>属性!I13</f>
        <v>7718.1326</v>
      </c>
      <c r="Y9" s="17" t="s">
        <v>206</v>
      </c>
      <c r="Z9" s="17">
        <f ca="1">Z10*(1+O23)</f>
        <v>13855.6989</v>
      </c>
      <c r="AA9" s="23"/>
    </row>
    <row r="10" customHeight="1" spans="1:27">
      <c r="A10" s="12" t="str">
        <f>木桩!A10</f>
        <v>劫刀</v>
      </c>
      <c r="B10" s="11">
        <f>木桩!B10</f>
        <v>-5</v>
      </c>
      <c r="C10" s="11">
        <f>木桩!C10</f>
        <v>1.1</v>
      </c>
      <c r="D10" s="11">
        <f>木桩!D10</f>
        <v>124.5</v>
      </c>
      <c r="E10" s="13">
        <f>木桩!E10</f>
        <v>1</v>
      </c>
      <c r="F10" s="13">
        <f ca="1">木桩!F10+Q$23</f>
        <v>0.230133333333333</v>
      </c>
      <c r="G10" s="13">
        <f>木桩!G10</f>
        <v>0.15</v>
      </c>
      <c r="H10" s="13">
        <f>木桩!H10</f>
        <v>0.15</v>
      </c>
      <c r="I10" s="21">
        <f ca="1" t="shared" si="4"/>
        <v>84340.9750940621</v>
      </c>
      <c r="J10" s="13">
        <f ca="1" t="shared" si="1"/>
        <v>0.583665199880085</v>
      </c>
      <c r="K10" s="15">
        <f ca="1" t="shared" si="5"/>
        <v>0.632106492123557</v>
      </c>
      <c r="L10" s="13">
        <f ca="1">INDEX(V2:V17,MATCH(1:1,U2:U17,))</f>
        <v>1.9433</v>
      </c>
      <c r="M10" s="13">
        <f ca="1">INDEX(V2:V17,MATCH(1:1,U2:U17,))</f>
        <v>0.902992590034019</v>
      </c>
      <c r="N10" s="21">
        <f ca="1">INDEX(V2:V17,MATCH(1:1,U2:U17,))+O:O*P:P</f>
        <v>19094.2294</v>
      </c>
      <c r="O10" s="21">
        <f ca="1">INDEX(V2:V17,MATCH(1:1,U2:U17,))</f>
        <v>7522.72307692308</v>
      </c>
      <c r="P10" s="40">
        <f t="shared" si="6"/>
        <v>0.922</v>
      </c>
      <c r="Q10" s="21">
        <f ca="1">INDEX(V2:V17,MATCH(1:1,U2:U17,))</f>
        <v>751</v>
      </c>
      <c r="R10" s="13">
        <f ca="1">INDEX(V2:V17,MATCH(1:1,U2:U17,))</f>
        <v>0</v>
      </c>
      <c r="S10" s="13">
        <f ca="1">INDEX(V2:V17,MATCH(1:1,U2:U17,))</f>
        <v>0</v>
      </c>
      <c r="T10" s="20">
        <f>1.5-Q24/16</f>
        <v>1.375</v>
      </c>
      <c r="U10" s="20" t="str">
        <f t="shared" si="0"/>
        <v>基础破防</v>
      </c>
      <c r="V10" s="20">
        <f ca="1">Z10</f>
        <v>9237.1326</v>
      </c>
      <c r="W10" s="17" t="str">
        <f>属性!H14</f>
        <v>基础破防</v>
      </c>
      <c r="X10" s="17">
        <f>属性!I14</f>
        <v>7718.1326</v>
      </c>
      <c r="Y10" s="17" t="s">
        <v>47</v>
      </c>
      <c r="Z10" s="17">
        <f ca="1">X10+O21+(Z4-X4)*L27</f>
        <v>9237.1326</v>
      </c>
      <c r="AA10" s="23"/>
    </row>
    <row r="11" customHeight="1" spans="1:27">
      <c r="A11" s="12" t="str">
        <f>木桩!A11</f>
        <v>斩刀</v>
      </c>
      <c r="B11" s="11">
        <f>木桩!B11</f>
        <v>-15</v>
      </c>
      <c r="C11" s="11">
        <f>木桩!C11</f>
        <v>1.193</v>
      </c>
      <c r="D11" s="11">
        <f>木桩!D11</f>
        <v>233</v>
      </c>
      <c r="E11" s="13">
        <f>木桩!E11</f>
        <v>1</v>
      </c>
      <c r="F11" s="13">
        <f ca="1">木桩!F11+Q$23</f>
        <v>0.180133333333333</v>
      </c>
      <c r="G11" s="13">
        <f>木桩!G11</f>
        <v>0.04</v>
      </c>
      <c r="H11" s="13">
        <f>木桩!H11</f>
        <v>0</v>
      </c>
      <c r="I11" s="21">
        <f ca="1" t="shared" si="4"/>
        <v>77561.5421027481</v>
      </c>
      <c r="J11" s="13">
        <f ca="1" t="shared" si="1"/>
        <v>0.473665199880085</v>
      </c>
      <c r="K11" s="15">
        <f ca="1" t="shared" si="5"/>
        <v>0.522106492123557</v>
      </c>
      <c r="L11" s="13">
        <f ca="1">INDEX(V2:V17,MATCH(1:1,U2:U17,))</f>
        <v>1.9433</v>
      </c>
      <c r="M11" s="13">
        <f ca="1">INDEX(V2:V17,MATCH(1:1,U2:U17,))</f>
        <v>0.902992590034019</v>
      </c>
      <c r="N11" s="21">
        <f ca="1">INDEX(V2:V17,MATCH(1:1,U2:U17,))+O:O*P:P</f>
        <v>19094.2294</v>
      </c>
      <c r="O11" s="21">
        <f ca="1">INDEX(V2:V17,MATCH(1:1,U2:U17,))</f>
        <v>7522.72307692308</v>
      </c>
      <c r="P11" s="40">
        <f t="shared" si="6"/>
        <v>0.922</v>
      </c>
      <c r="Q11" s="21">
        <f ca="1">INDEX(V2:V17,MATCH(1:1,U2:U17,))</f>
        <v>751</v>
      </c>
      <c r="R11" s="13">
        <f ca="1">INDEX(V2:V17,MATCH(1:1,U2:U17,))</f>
        <v>0</v>
      </c>
      <c r="S11" s="13">
        <f ca="1">INDEX(V2:V17,MATCH(1:1,U2:U17,))</f>
        <v>0</v>
      </c>
      <c r="T11" s="20">
        <f>1.5-Q24/16</f>
        <v>1.375</v>
      </c>
      <c r="U11" s="20" t="str">
        <f t="shared" si="0"/>
        <v>破防</v>
      </c>
      <c r="V11" s="20">
        <f ca="1" t="shared" si="0"/>
        <v>0.902992590034019</v>
      </c>
      <c r="W11" s="17" t="str">
        <f>属性!H15</f>
        <v>破防</v>
      </c>
      <c r="X11" s="17">
        <f>属性!I15</f>
        <v>0.503</v>
      </c>
      <c r="Y11" s="17" t="s">
        <v>205</v>
      </c>
      <c r="Z11" s="17">
        <f ca="1">Z9/J30</f>
        <v>0.902992590034019</v>
      </c>
      <c r="AA11" s="23"/>
    </row>
    <row r="12" customHeight="1" spans="1:27">
      <c r="A12" s="12" t="str">
        <f>木桩!A12</f>
        <v>闪刀</v>
      </c>
      <c r="B12" s="11">
        <f>木桩!B12</f>
        <v>-15</v>
      </c>
      <c r="C12" s="11">
        <f>木桩!C12</f>
        <v>0.9</v>
      </c>
      <c r="D12" s="11">
        <f>木桩!D12</f>
        <v>157.5</v>
      </c>
      <c r="E12" s="13">
        <f>木桩!E12</f>
        <v>1</v>
      </c>
      <c r="F12" s="13">
        <f ca="1">木桩!F12+Q$23</f>
        <v>0.0101333333333333</v>
      </c>
      <c r="G12" s="13">
        <f>木桩!G12</f>
        <v>0</v>
      </c>
      <c r="H12" s="13">
        <f>木桩!H12</f>
        <v>0</v>
      </c>
      <c r="I12" s="21">
        <f ca="1" t="shared" si="4"/>
        <v>49269.9994724709</v>
      </c>
      <c r="J12" s="13">
        <f ca="1" t="shared" si="1"/>
        <v>0.433665199880085</v>
      </c>
      <c r="K12" s="15">
        <f ca="1" t="shared" si="5"/>
        <v>0.482106492123557</v>
      </c>
      <c r="L12" s="13">
        <f ca="1">INDEX(V2:V17,MATCH(1:1,U2:U17,))</f>
        <v>1.9433</v>
      </c>
      <c r="M12" s="13">
        <f ca="1">INDEX(V2:V17,MATCH(1:1,U2:U17,))</f>
        <v>0.902992590034019</v>
      </c>
      <c r="N12" s="21">
        <f ca="1">INDEX(V2:V17,MATCH(1:1,U2:U17,))+O:O*P:P</f>
        <v>19094.2294</v>
      </c>
      <c r="O12" s="21">
        <f ca="1">INDEX(V2:V17,MATCH(1:1,U2:U17,))</f>
        <v>7522.72307692308</v>
      </c>
      <c r="P12" s="40">
        <f t="shared" si="6"/>
        <v>0.922</v>
      </c>
      <c r="Q12" s="21">
        <f ca="1">INDEX(V2:V17,MATCH(1:1,U2:U17,))</f>
        <v>751</v>
      </c>
      <c r="R12" s="13">
        <f ca="1">INDEX(V2:V17,MATCH(1:1,U2:U17,))</f>
        <v>0</v>
      </c>
      <c r="S12" s="13">
        <f ca="1">INDEX(V2:V17,MATCH(1:1,U2:U17,))</f>
        <v>0</v>
      </c>
      <c r="T12" s="20">
        <f>1.5-Q24/16</f>
        <v>1.375</v>
      </c>
      <c r="U12" s="20" t="str">
        <f t="shared" si="0"/>
        <v>加速</v>
      </c>
      <c r="V12" s="20">
        <f t="shared" si="0"/>
        <v>828</v>
      </c>
      <c r="W12" s="17" t="str">
        <f>属性!H16</f>
        <v>加速</v>
      </c>
      <c r="X12" s="17">
        <f>属性!I16</f>
        <v>828</v>
      </c>
      <c r="Y12" s="17" t="s">
        <v>83</v>
      </c>
      <c r="Z12" s="17">
        <f>X12</f>
        <v>828</v>
      </c>
      <c r="AA12" s="23"/>
    </row>
    <row r="13" customHeight="1" spans="1:27">
      <c r="A13" s="12" t="str">
        <f>木桩!A13</f>
        <v>绝刀</v>
      </c>
      <c r="B13" s="11">
        <f>木桩!B13</f>
        <v>0</v>
      </c>
      <c r="C13" s="11">
        <f>木桩!C13</f>
        <v>1.211</v>
      </c>
      <c r="D13" s="11">
        <f>木桩!D13</f>
        <v>186</v>
      </c>
      <c r="E13" s="13">
        <f>木桩!E13</f>
        <v>1</v>
      </c>
      <c r="F13" s="13">
        <f ca="1">木桩!F13+Q$23</f>
        <v>0.500133333333333</v>
      </c>
      <c r="G13" s="13">
        <f>木桩!G13</f>
        <v>0.04</v>
      </c>
      <c r="H13" s="13">
        <f>木桩!H13</f>
        <v>0</v>
      </c>
      <c r="I13" s="21">
        <f ca="1" t="shared" si="4"/>
        <v>99823.7763961937</v>
      </c>
      <c r="J13" s="13">
        <f ca="1" t="shared" si="1"/>
        <v>0.473665199880085</v>
      </c>
      <c r="K13" s="15">
        <f ca="1" t="shared" si="5"/>
        <v>0.522106492123557</v>
      </c>
      <c r="L13" s="13">
        <f ca="1">INDEX(V2:V17,MATCH(1:1,U2:U17,))</f>
        <v>1.9433</v>
      </c>
      <c r="M13" s="13">
        <f ca="1">INDEX(V2:V17,MATCH(1:1,U2:U17,))</f>
        <v>0.902992590034019</v>
      </c>
      <c r="N13" s="21">
        <f ca="1">INDEX(V2:V17,MATCH(1:1,U2:U17,))+O:O*P:P</f>
        <v>19094.2294</v>
      </c>
      <c r="O13" s="21">
        <f ca="1">INDEX(V2:V17,MATCH(1:1,U2:U17,))</f>
        <v>7522.72307692308</v>
      </c>
      <c r="P13" s="40">
        <f t="shared" si="6"/>
        <v>0.922</v>
      </c>
      <c r="Q13" s="21">
        <f ca="1">INDEX(V2:V17,MATCH(1:1,U2:U17,))</f>
        <v>751</v>
      </c>
      <c r="R13" s="13">
        <f ca="1">INDEX(V2:V17,MATCH(1:1,U2:U17,))</f>
        <v>0</v>
      </c>
      <c r="S13" s="13">
        <f ca="1">INDEX(V2:V17,MATCH(1:1,U2:U17,))</f>
        <v>0</v>
      </c>
      <c r="T13" s="20">
        <f>1.5-Q24/16</f>
        <v>1.375</v>
      </c>
      <c r="U13" s="20" t="str">
        <f t="shared" si="0"/>
        <v>命中</v>
      </c>
      <c r="V13" s="20">
        <f ca="1" t="shared" si="0"/>
        <v>1.13258470444851</v>
      </c>
      <c r="W13" s="17" t="str">
        <f>属性!H17</f>
        <v>命中</v>
      </c>
      <c r="X13" s="17">
        <f>属性!I17</f>
        <v>1.0715</v>
      </c>
      <c r="Y13" s="17" t="s">
        <v>56</v>
      </c>
      <c r="Z13" s="17">
        <f ca="1">X13+J23+J21/J27</f>
        <v>1.13258470444851</v>
      </c>
      <c r="AA13" s="23"/>
    </row>
    <row r="14" customHeight="1" spans="1:27">
      <c r="A14" s="11" t="str">
        <f>木桩!A14</f>
        <v>流血</v>
      </c>
      <c r="B14" s="11">
        <f>木桩!B14</f>
        <v>0</v>
      </c>
      <c r="C14" s="14">
        <f>木桩!C14</f>
        <v>0.34375</v>
      </c>
      <c r="D14" s="11">
        <f>木桩!D14</f>
        <v>47</v>
      </c>
      <c r="E14" s="13">
        <f>木桩!E14</f>
        <v>0</v>
      </c>
      <c r="F14" s="13">
        <f ca="1">木桩!F14+Q$23</f>
        <v>0.0101333333333333</v>
      </c>
      <c r="G14" s="13">
        <f>木桩!G14</f>
        <v>0</v>
      </c>
      <c r="H14" s="13">
        <f>木桩!H14</f>
        <v>0</v>
      </c>
      <c r="I14" s="21">
        <f ca="1" t="shared" si="4"/>
        <v>18001.4800973604</v>
      </c>
      <c r="J14" s="13">
        <f ca="1" t="shared" si="1"/>
        <v>0.433665199880085</v>
      </c>
      <c r="K14" s="15">
        <f ca="1" t="shared" si="5"/>
        <v>0.482106492123557</v>
      </c>
      <c r="L14" s="13">
        <f ca="1">INDEX(V2:V17,MATCH(1:1,U2:U17,))</f>
        <v>1.9433</v>
      </c>
      <c r="M14" s="13">
        <f ca="1">INDEX(V2:V17,MATCH(1:1,U2:U17,))</f>
        <v>0.902992590034019</v>
      </c>
      <c r="N14" s="21">
        <f ca="1">INDEX(V2:V17,MATCH(1:1,U2:U17,))+O:O*P:P</f>
        <v>19094.2294</v>
      </c>
      <c r="O14" s="21">
        <f ca="1">INDEX(V2:V17,MATCH(1:1,U2:U17,))</f>
        <v>7522.72307692308</v>
      </c>
      <c r="P14" s="40">
        <f t="shared" si="6"/>
        <v>0.922</v>
      </c>
      <c r="Q14" s="21">
        <f ca="1">INDEX(V2:V17,MATCH(1:1,U2:U17,))</f>
        <v>751</v>
      </c>
      <c r="R14" s="13">
        <f ca="1">INDEX(V2:V17,MATCH(1:1,U2:U17,))</f>
        <v>0</v>
      </c>
      <c r="S14" s="13">
        <f ca="1">INDEX(V2:V17,MATCH(1:1,U2:U17,))</f>
        <v>0</v>
      </c>
      <c r="T14" s="20">
        <f>(2-Q26/16)*NOT(D22)+(1-Q25/16)*D22</f>
        <v>0.9375</v>
      </c>
      <c r="U14" s="20" t="str">
        <f t="shared" si="0"/>
        <v>无双</v>
      </c>
      <c r="V14" s="20">
        <f ca="1" t="shared" si="0"/>
        <v>0.273371047077177</v>
      </c>
      <c r="W14" s="17" t="str">
        <f>属性!H18</f>
        <v>无双</v>
      </c>
      <c r="X14" s="17">
        <f>属性!I18</f>
        <v>0.2319</v>
      </c>
      <c r="Y14" s="17" t="s">
        <v>66</v>
      </c>
      <c r="Z14" s="17">
        <f ca="1">X14+N23+N21/J28</f>
        <v>0.273371047077177</v>
      </c>
      <c r="AA14" s="23"/>
    </row>
    <row r="15" customHeight="1" spans="1:27">
      <c r="A15" s="11" t="str">
        <f>木桩!A15</f>
        <v>卷雪刀</v>
      </c>
      <c r="B15" s="11">
        <f>木桩!B15</f>
        <v>0</v>
      </c>
      <c r="C15" s="11">
        <f>木桩!C15</f>
        <v>0.1375</v>
      </c>
      <c r="D15" s="11">
        <f>木桩!D15</f>
        <v>0</v>
      </c>
      <c r="E15" s="13">
        <f>木桩!E15</f>
        <v>1</v>
      </c>
      <c r="F15" s="13">
        <f ca="1">木桩!F15+Q$23</f>
        <v>0.0101333333333333</v>
      </c>
      <c r="G15" s="13">
        <f>木桩!G15</f>
        <v>0</v>
      </c>
      <c r="H15" s="13">
        <f>木桩!H15</f>
        <v>0</v>
      </c>
      <c r="I15" s="21">
        <f ca="1" t="shared" si="4"/>
        <v>8804.35702504861</v>
      </c>
      <c r="J15" s="13">
        <f ca="1" t="shared" si="1"/>
        <v>0.433665199880085</v>
      </c>
      <c r="K15" s="15">
        <f ca="1">J:J+(0.211855500496661*J:J^6-0.937563819411654*J:J^5+1.77483619127542*J:J^4-1.89647323402313*J:J^3+1.2737744963305*J:J^2-0.565275505039552*J:J+0.164596522595162)*$D$28</f>
        <v>0.487805126715561</v>
      </c>
      <c r="L15" s="13">
        <f ca="1">INDEX(V2:V17,MATCH(1:1,U2:U17,))</f>
        <v>1.9433</v>
      </c>
      <c r="M15" s="13">
        <f ca="1">INDEX(V2:V17,MATCH(1:1,U2:U17,))</f>
        <v>0.902992590034019</v>
      </c>
      <c r="N15" s="21">
        <f ca="1">INDEX(V2:V17,MATCH(1:1,U2:U17,))+O:O*P:P</f>
        <v>17965.8209384615</v>
      </c>
      <c r="O15" s="21">
        <f ca="1">INDEX(V2:V17,MATCH(1:1,U2:U17,))</f>
        <v>7522.72307692308</v>
      </c>
      <c r="P15" s="40">
        <f>60%+D$32*0.2*6/25+60%*(25+6*D$32)*(1+H$28)/H$27</f>
        <v>0.772</v>
      </c>
      <c r="Q15" s="21">
        <f ca="1">INDEX(V2:V17,MATCH(1:1,U2:U17,))</f>
        <v>751</v>
      </c>
      <c r="R15" s="13">
        <f ca="1">INDEX(V2:V17,MATCH(1:1,U2:U17,))</f>
        <v>0</v>
      </c>
      <c r="S15" s="13">
        <f ca="1">INDEX(V2:V17,MATCH(1:1,U2:U17,))</f>
        <v>0</v>
      </c>
      <c r="T15" s="20">
        <f>1.5-Q24/16</f>
        <v>1.375</v>
      </c>
      <c r="U15" s="20" t="str">
        <f t="shared" si="0"/>
        <v>武器伤害</v>
      </c>
      <c r="V15" s="20">
        <f ca="1" t="shared" si="0"/>
        <v>751</v>
      </c>
      <c r="W15" s="17" t="str">
        <f>属性!H19</f>
        <v>武器伤害</v>
      </c>
      <c r="X15" s="17">
        <f ca="1">属性!I19+P21</f>
        <v>751</v>
      </c>
      <c r="Y15" s="17" t="s">
        <v>75</v>
      </c>
      <c r="Z15" s="17">
        <f ca="1">X15</f>
        <v>751</v>
      </c>
      <c r="AA15" s="23"/>
    </row>
    <row r="16" customHeight="1" spans="1:27">
      <c r="A16" s="7" t="str">
        <f>木桩!A16</f>
        <v>卷雪刀1</v>
      </c>
      <c r="B16" s="7">
        <f>木桩!B16</f>
        <v>0</v>
      </c>
      <c r="C16" s="7">
        <f>木桩!C16</f>
        <v>0.1375</v>
      </c>
      <c r="D16" s="7">
        <f>木桩!D16</f>
        <v>0</v>
      </c>
      <c r="E16" s="16">
        <f>木桩!E16</f>
        <v>1</v>
      </c>
      <c r="F16" s="13">
        <f ca="1">木桩!F16+Q$23</f>
        <v>0.0101333333333333</v>
      </c>
      <c r="G16" s="16">
        <f>木桩!G16</f>
        <v>0</v>
      </c>
      <c r="H16" s="16">
        <f>木桩!H16</f>
        <v>0</v>
      </c>
      <c r="I16" s="21">
        <f ca="1" t="shared" si="4"/>
        <v>9194.4505795872</v>
      </c>
      <c r="J16" s="13">
        <f ca="1" t="shared" si="1"/>
        <v>0.433665199880085</v>
      </c>
      <c r="K16" s="15">
        <f ca="1">J:J+K$19</f>
        <v>0.482106492123557</v>
      </c>
      <c r="L16" s="16">
        <f ca="1">INDEX(V2:V17,MATCH(1:1,U2:U17,))</f>
        <v>1.9433</v>
      </c>
      <c r="M16" s="16">
        <f ca="1">INDEX(V2:V17,MATCH(1:1,U2:U17,))</f>
        <v>0.902992590034019</v>
      </c>
      <c r="N16" s="23">
        <f ca="1">INDEX(V2:V17,MATCH(1:1,U2:U17,))+O:O*P:P</f>
        <v>19094.2294</v>
      </c>
      <c r="O16" s="23">
        <f ca="1">INDEX(V2:V17,MATCH(1:1,U2:U17,))</f>
        <v>7522.72307692308</v>
      </c>
      <c r="P16" s="16">
        <f>P12</f>
        <v>0.922</v>
      </c>
      <c r="Q16" s="23">
        <f ca="1">INDEX(V2:V17,MATCH(1:1,U2:U17,))</f>
        <v>751</v>
      </c>
      <c r="R16" s="16">
        <f ca="1">INDEX(V2:V17,MATCH(1:1,U2:U17,))</f>
        <v>0</v>
      </c>
      <c r="S16" s="16">
        <f ca="1">INDEX(V2:V17,MATCH(1:1,U2:U17,))</f>
        <v>0</v>
      </c>
      <c r="T16" s="20">
        <f>1.5-Q24/16</f>
        <v>1.375</v>
      </c>
      <c r="U16" s="17" t="str">
        <f t="shared" si="0"/>
        <v>偏离率</v>
      </c>
      <c r="V16" s="30">
        <f ca="1" t="shared" si="0"/>
        <v>0</v>
      </c>
      <c r="W16" s="17" t="str">
        <f>属性!H20</f>
        <v>偏离率</v>
      </c>
      <c r="X16" s="16">
        <f>属性!I20</f>
        <v>0</v>
      </c>
      <c r="Y16" s="17" t="s">
        <v>212</v>
      </c>
      <c r="Z16" s="17">
        <f ca="1">IF(X16-Z13+X13&gt;0,X16-Z13+X13,0)</f>
        <v>0</v>
      </c>
      <c r="AA16" s="23"/>
    </row>
    <row r="17" customHeight="1" spans="1:27">
      <c r="A17" s="11" t="str">
        <f>木桩!A17</f>
        <v>绝刀1</v>
      </c>
      <c r="B17" s="11">
        <f>木桩!B17</f>
        <v>0</v>
      </c>
      <c r="C17" s="11">
        <f>木桩!C17</f>
        <v>1.211</v>
      </c>
      <c r="D17" s="11">
        <f>木桩!D17</f>
        <v>186</v>
      </c>
      <c r="E17" s="13">
        <f>木桩!E17</f>
        <v>1</v>
      </c>
      <c r="F17" s="13">
        <f ca="1">木桩!F17+Q$23</f>
        <v>0.500133333333333</v>
      </c>
      <c r="G17" s="13">
        <f>木桩!G17</f>
        <v>0.07</v>
      </c>
      <c r="H17" s="13">
        <f>木桩!H17</f>
        <v>0</v>
      </c>
      <c r="I17" s="21">
        <f ca="1" t="shared" si="4"/>
        <v>101688.122432135</v>
      </c>
      <c r="J17" s="13">
        <f ca="1" t="shared" si="1"/>
        <v>0.503665199880085</v>
      </c>
      <c r="K17" s="15">
        <f ca="1">J:J+(0.211855500496661*J:J^6-0.937563819411654*J:J^5+1.77483619127542*J:J^4-1.89647323402313*J:J^3+1.2737744963305*J:J^2-0.565275505039552*J:J+0.164596522595162)*$D$28</f>
        <v>0.551656521857724</v>
      </c>
      <c r="L17" s="13">
        <f ca="1">INDEX(V2:V17,MATCH(1:1,U2:U17,))</f>
        <v>1.9433</v>
      </c>
      <c r="M17" s="13">
        <f ca="1">INDEX(V2:V17,MATCH(1:1,U2:U17,))</f>
        <v>0.902992590034019</v>
      </c>
      <c r="N17" s="21">
        <f ca="1">INDEX(V2:V17,MATCH(1:1,U2:U17,))+O:O*P:P</f>
        <v>19094.2294</v>
      </c>
      <c r="O17" s="21">
        <f ca="1">INDEX(V2:V17,MATCH(1:1,U2:U17,))</f>
        <v>7522.72307692308</v>
      </c>
      <c r="P17" s="16">
        <f>P13</f>
        <v>0.922</v>
      </c>
      <c r="Q17" s="21">
        <f ca="1">INDEX(V2:V17,MATCH(1:1,U2:U17,))</f>
        <v>751</v>
      </c>
      <c r="R17" s="13">
        <f ca="1">INDEX(V2:V17,MATCH(1:1,U2:U17,))</f>
        <v>0</v>
      </c>
      <c r="S17" s="13">
        <f ca="1">INDEX(V2:V17,MATCH(1:1,U2:U17,))</f>
        <v>0</v>
      </c>
      <c r="T17" s="7">
        <v>0</v>
      </c>
      <c r="U17" s="20" t="str">
        <f t="shared" si="0"/>
        <v>识破率</v>
      </c>
      <c r="V17" s="20">
        <f ca="1" t="shared" si="0"/>
        <v>0</v>
      </c>
      <c r="W17" s="17" t="str">
        <f>属性!H21</f>
        <v>识破率</v>
      </c>
      <c r="X17" s="17">
        <f>属性!I21</f>
        <v>0</v>
      </c>
      <c r="Y17" s="17" t="s">
        <v>213</v>
      </c>
      <c r="Z17" s="17">
        <f ca="1">IF(X17-Z14+X14&gt;0,X17-Z14+X14,0)</f>
        <v>0</v>
      </c>
      <c r="AA17" s="23"/>
    </row>
    <row r="18" customHeight="1" spans="1:27">
      <c r="A18" s="11" t="str">
        <f>木桩!A18</f>
        <v>绝刀2</v>
      </c>
      <c r="B18" s="11">
        <f>木桩!B18</f>
        <v>0</v>
      </c>
      <c r="C18" s="11">
        <f>木桩!C18</f>
        <v>1.211</v>
      </c>
      <c r="D18" s="11">
        <f>木桩!D18</f>
        <v>186</v>
      </c>
      <c r="E18" s="13">
        <f>木桩!E18</f>
        <v>1</v>
      </c>
      <c r="F18" s="13">
        <f ca="1">木桩!F18+Q$23</f>
        <v>0.700133333333333</v>
      </c>
      <c r="G18" s="13">
        <f>木桩!G18</f>
        <v>0.04</v>
      </c>
      <c r="H18" s="13">
        <f>木桩!H18</f>
        <v>0</v>
      </c>
      <c r="I18" s="21">
        <f ca="1" t="shared" si="4"/>
        <v>113132.430257565</v>
      </c>
      <c r="J18" s="13">
        <f ca="1" t="shared" si="1"/>
        <v>0.473665199880085</v>
      </c>
      <c r="K18" s="15">
        <f ca="1">J:J+K$19</f>
        <v>0.522106492123557</v>
      </c>
      <c r="L18" s="13">
        <f ca="1">INDEX(V2:V17,MATCH(1:1,U2:U17,))</f>
        <v>1.9433</v>
      </c>
      <c r="M18" s="13">
        <f ca="1">INDEX(V2:V17,MATCH(1:1,U2:U17,))</f>
        <v>0.902992590034019</v>
      </c>
      <c r="N18" s="21">
        <f ca="1">INDEX(V2:V17,MATCH(1:1,U2:U17,))+O:O*P:P</f>
        <v>19094.2294</v>
      </c>
      <c r="O18" s="21">
        <f ca="1">INDEX(V2:V17,MATCH(1:1,U2:U17,))</f>
        <v>7522.72307692308</v>
      </c>
      <c r="P18" s="16">
        <f>P13</f>
        <v>0.922</v>
      </c>
      <c r="Q18" s="21">
        <f ca="1">INDEX(V2:V17,MATCH(1:1,U2:U17,))</f>
        <v>751</v>
      </c>
      <c r="R18" s="13">
        <f ca="1">INDEX(V2:V17,MATCH(1:1,U2:U17,))</f>
        <v>0</v>
      </c>
      <c r="S18" s="13">
        <f ca="1">INDEX(V2:V17,MATCH(1:1,U2:U17,))</f>
        <v>0</v>
      </c>
      <c r="T18" s="7">
        <v>0</v>
      </c>
      <c r="AA18" s="23"/>
    </row>
    <row r="19" customHeight="1" spans="5:27">
      <c r="E19" s="16"/>
      <c r="F19" s="16"/>
      <c r="G19" s="16"/>
      <c r="H19" s="16"/>
      <c r="I19" s="13" t="s">
        <v>291</v>
      </c>
      <c r="J19" s="24">
        <f ca="1">(0.75*J11+0.75*J12+8.5*J10+15*J9)/25</f>
        <v>0.515865199880085</v>
      </c>
      <c r="K19" s="7">
        <f ca="1">(0.450269547036277*J:J^6-1.63135022943507*J:J^5+2.53454201422095*J:J^4-2.30008535755169*J:J^3+1.39860127189957*J:J^2-0.596843023464342*J:J+0.171517229012336)*D28</f>
        <v>0.0484412922434724</v>
      </c>
      <c r="L19" s="16"/>
      <c r="M19" s="16"/>
      <c r="N19" s="23"/>
      <c r="O19" s="23"/>
      <c r="P19" s="16"/>
      <c r="Q19" s="23"/>
      <c r="R19" s="16"/>
      <c r="S19" s="16"/>
      <c r="V19" s="29"/>
      <c r="AA19" s="23"/>
    </row>
    <row r="20" customHeight="1" spans="5:27">
      <c r="E20" s="16"/>
      <c r="F20" s="16"/>
      <c r="G20" s="37" t="str">
        <f>属性!H1</f>
        <v>身法</v>
      </c>
      <c r="H20" s="37" t="str">
        <f>属性!I1</f>
        <v>力道</v>
      </c>
      <c r="I20" s="37" t="str">
        <f>属性!J1</f>
        <v>基础攻击</v>
      </c>
      <c r="J20" s="37" t="str">
        <f>属性!K1</f>
        <v>命中</v>
      </c>
      <c r="K20" s="41" t="str">
        <f>属性!L1</f>
        <v>会心</v>
      </c>
      <c r="L20" s="37" t="str">
        <f>属性!M1</f>
        <v>会效</v>
      </c>
      <c r="M20" s="37" t="str">
        <f>属性!N1</f>
        <v>加速</v>
      </c>
      <c r="N20" s="37" t="str">
        <f>属性!O1</f>
        <v>无双</v>
      </c>
      <c r="O20" s="37" t="str">
        <f>属性!P1</f>
        <v>基础破防</v>
      </c>
      <c r="P20" s="42" t="str">
        <f>属性!Q1</f>
        <v>武器伤害</v>
      </c>
      <c r="Q20" s="42" t="str">
        <f>属性!R1</f>
        <v>减防</v>
      </c>
      <c r="R20" s="16"/>
      <c r="S20" s="16"/>
      <c r="AA20" s="23"/>
    </row>
    <row r="21" customHeight="1" spans="1:27">
      <c r="A21" s="20" t="str">
        <f>属性!D1</f>
        <v>第一重</v>
      </c>
      <c r="B21" s="20" t="str">
        <f>属性!E1</f>
        <v>刀魂</v>
      </c>
      <c r="C21" s="11" t="s">
        <v>13</v>
      </c>
      <c r="D21" s="11" t="b">
        <f t="shared" ref="D21:D32" si="7">C21=B21</f>
        <v>1</v>
      </c>
      <c r="E21" s="11" t="s">
        <v>292</v>
      </c>
      <c r="F21" s="11" t="b">
        <f t="shared" ref="F21:F31" si="8">E21=B21</f>
        <v>0</v>
      </c>
      <c r="G21" s="20">
        <f ca="1">属性!H2</f>
        <v>201</v>
      </c>
      <c r="H21" s="20">
        <f ca="1">属性!I2</f>
        <v>52</v>
      </c>
      <c r="I21" s="17">
        <f ca="1">属性!J2</f>
        <v>199</v>
      </c>
      <c r="J21" s="17">
        <f ca="1">属性!K2+0.1</f>
        <v>294.1</v>
      </c>
      <c r="K21" s="20">
        <f ca="1">属性!L2</f>
        <v>194</v>
      </c>
      <c r="L21" s="43">
        <f ca="1">属性!M2</f>
        <v>0</v>
      </c>
      <c r="M21" s="20">
        <f ca="1">属性!N2</f>
        <v>0</v>
      </c>
      <c r="N21" s="20">
        <f ca="1">属性!O2</f>
        <v>100</v>
      </c>
      <c r="O21" s="20">
        <f ca="1">属性!P2</f>
        <v>1506</v>
      </c>
      <c r="P21" s="32">
        <f ca="1">属性!Q2</f>
        <v>0</v>
      </c>
      <c r="Q21" s="34">
        <f ca="1">属性!R2</f>
        <v>200</v>
      </c>
      <c r="R21" s="16"/>
      <c r="S21" s="16"/>
      <c r="AA21" s="23"/>
    </row>
    <row r="22" customHeight="1" spans="1:27">
      <c r="A22" s="20" t="str">
        <f>属性!D2</f>
        <v>第二重</v>
      </c>
      <c r="B22" s="20" t="str">
        <f>属性!E2</f>
        <v>炼狱</v>
      </c>
      <c r="C22" s="11" t="s">
        <v>24</v>
      </c>
      <c r="D22" s="11" t="b">
        <f t="shared" si="7"/>
        <v>1</v>
      </c>
      <c r="E22" s="11"/>
      <c r="F22" s="11"/>
      <c r="G22" s="38" t="str">
        <f>属性!H3</f>
        <v>身法</v>
      </c>
      <c r="H22" s="39" t="str">
        <f>属性!I3</f>
        <v>力道</v>
      </c>
      <c r="I22" s="39" t="str">
        <f>属性!J3</f>
        <v>面板攻击</v>
      </c>
      <c r="J22" s="39" t="str">
        <f>属性!K3</f>
        <v>命中</v>
      </c>
      <c r="K22" s="39" t="str">
        <f>属性!L3</f>
        <v>会心</v>
      </c>
      <c r="L22" s="39" t="str">
        <f>属性!M3</f>
        <v>会效</v>
      </c>
      <c r="M22" s="39" t="str">
        <f>属性!N3</f>
        <v>加速</v>
      </c>
      <c r="N22" s="39" t="str">
        <f>属性!O3</f>
        <v>无双</v>
      </c>
      <c r="O22" s="39" t="str">
        <f>属性!P3</f>
        <v>面板破防</v>
      </c>
      <c r="P22" s="44" t="str">
        <f>属性!Q3</f>
        <v>易伤</v>
      </c>
      <c r="Q22" s="44" t="str">
        <f>属性!R3</f>
        <v>伤害加成</v>
      </c>
      <c r="R22" s="16"/>
      <c r="S22" s="16"/>
      <c r="X22" s="23"/>
      <c r="AA22" s="23"/>
    </row>
    <row r="23" customHeight="1" spans="1:27">
      <c r="A23" s="20" t="str">
        <f>属性!D3</f>
        <v>第三重</v>
      </c>
      <c r="B23" s="20" t="str">
        <f>属性!E3</f>
        <v>飞瀑</v>
      </c>
      <c r="C23" s="11" t="s">
        <v>34</v>
      </c>
      <c r="D23" s="11" t="b">
        <f t="shared" si="7"/>
        <v>1</v>
      </c>
      <c r="E23" s="7"/>
      <c r="F23" s="7"/>
      <c r="G23" s="17">
        <f ca="1">属性!H4</f>
        <v>0.1</v>
      </c>
      <c r="H23" s="20">
        <f ca="1">属性!I4</f>
        <v>0</v>
      </c>
      <c r="I23" s="20">
        <f ca="1">属性!J4</f>
        <v>0.171</v>
      </c>
      <c r="J23" s="20">
        <f ca="1">属性!K4</f>
        <v>0.04</v>
      </c>
      <c r="K23" s="20">
        <f ca="1">属性!L4</f>
        <v>0.145</v>
      </c>
      <c r="L23" s="20">
        <f ca="1">属性!M4</f>
        <v>0.09</v>
      </c>
      <c r="M23" s="20">
        <f ca="1">属性!N4</f>
        <v>0</v>
      </c>
      <c r="N23" s="20">
        <f ca="1">属性!O4</f>
        <v>0.03</v>
      </c>
      <c r="O23" s="13">
        <f ca="1">属性!P4</f>
        <v>0.5</v>
      </c>
      <c r="P23" s="45">
        <f ca="1">属性!Q4</f>
        <v>0</v>
      </c>
      <c r="Q23" s="34">
        <f ca="1">属性!R4</f>
        <v>0.0101333333333333</v>
      </c>
      <c r="R23" s="16"/>
      <c r="S23" s="16"/>
      <c r="X23" s="23"/>
      <c r="AA23" s="23"/>
    </row>
    <row r="24" customHeight="1" spans="1:27">
      <c r="A24" s="20" t="str">
        <f>属性!D4</f>
        <v>第四重</v>
      </c>
      <c r="B24" s="20" t="str">
        <f>属性!E4</f>
        <v>劫生</v>
      </c>
      <c r="C24" s="11" t="s">
        <v>44</v>
      </c>
      <c r="D24" s="11" t="b">
        <f t="shared" si="7"/>
        <v>1</v>
      </c>
      <c r="E24" s="11"/>
      <c r="F24" s="11"/>
      <c r="H24" s="36"/>
      <c r="I24" s="46" t="s">
        <v>198</v>
      </c>
      <c r="J24" s="46"/>
      <c r="K24" s="46"/>
      <c r="L24" s="46"/>
      <c r="M24" s="47" t="s">
        <v>215</v>
      </c>
      <c r="N24" s="47" t="str">
        <f>属性!H29</f>
        <v>实战</v>
      </c>
      <c r="O24" s="43" t="str">
        <f>属性!I29</f>
        <v>实战盾击</v>
      </c>
      <c r="P24" s="26" t="s">
        <v>295</v>
      </c>
      <c r="Q24" s="11">
        <f>IF($V$12&gt;18,1)+IF($V$12&gt;827,1)+IF($V$12&gt;1728,1)+IF($V$12&gt;2703,1)</f>
        <v>2</v>
      </c>
      <c r="R24" s="16"/>
      <c r="S24" s="16"/>
      <c r="V24" s="32"/>
      <c r="X24" s="23"/>
      <c r="AA24" s="23"/>
    </row>
    <row r="25" spans="1:27">
      <c r="A25" s="20" t="str">
        <f>属性!D5</f>
        <v>第五重</v>
      </c>
      <c r="B25" s="20" t="str">
        <f>属性!E5</f>
        <v>锋鸣</v>
      </c>
      <c r="C25" s="11" t="s">
        <v>293</v>
      </c>
      <c r="D25" s="11" t="b">
        <f t="shared" si="7"/>
        <v>0</v>
      </c>
      <c r="E25" s="11" t="s">
        <v>54</v>
      </c>
      <c r="F25" s="11" t="b">
        <f t="shared" si="8"/>
        <v>1</v>
      </c>
      <c r="I25" s="20" t="s">
        <v>26</v>
      </c>
      <c r="J25" s="20">
        <v>15344.2</v>
      </c>
      <c r="K25" s="20" t="s">
        <v>200</v>
      </c>
      <c r="L25" s="20"/>
      <c r="M25" s="11" t="s">
        <v>93</v>
      </c>
      <c r="N25" s="15">
        <f ca="1">属性!H30</f>
        <v>0.948871388530846</v>
      </c>
      <c r="O25" s="15">
        <f ca="1">属性!I30</f>
        <v>0.973765015090248</v>
      </c>
      <c r="P25" s="26" t="s">
        <v>296</v>
      </c>
      <c r="Q25" s="30">
        <f>IF($V$12&gt;18,1)+IF($V$12&gt;1268,1)+IF($V$12&gt;2703,1)</f>
        <v>1</v>
      </c>
      <c r="R25" s="16"/>
      <c r="S25" s="16"/>
      <c r="V25" s="32"/>
      <c r="X25" s="23"/>
      <c r="AA25" s="23"/>
    </row>
    <row r="26" spans="1:27">
      <c r="A26" s="20" t="str">
        <f>属性!D6</f>
        <v>第六重</v>
      </c>
      <c r="B26" s="20" t="str">
        <f>属性!E6</f>
        <v>割裂</v>
      </c>
      <c r="C26" s="11" t="s">
        <v>64</v>
      </c>
      <c r="D26" s="11" t="b">
        <f t="shared" si="7"/>
        <v>1</v>
      </c>
      <c r="E26" s="11" t="s">
        <v>294</v>
      </c>
      <c r="F26" s="11" t="b">
        <f t="shared" si="8"/>
        <v>0</v>
      </c>
      <c r="I26" s="20" t="s">
        <v>36</v>
      </c>
      <c r="J26" s="20">
        <v>5370.3</v>
      </c>
      <c r="K26" s="20"/>
      <c r="L26" s="20">
        <v>1.7</v>
      </c>
      <c r="M26" s="11" t="s">
        <v>229</v>
      </c>
      <c r="N26" s="15">
        <f ca="1">属性!H31</f>
        <v>0.91750264956783</v>
      </c>
      <c r="O26" s="15">
        <f ca="1">属性!I31</f>
        <v>0.956976669392992</v>
      </c>
      <c r="P26" s="26" t="s">
        <v>297</v>
      </c>
      <c r="Q26" s="30">
        <f>IF($V$12&gt;18,1)+IF($V$12&gt;625,1)+IF($V$12&gt;1268,1)+IF($V$12&gt;1949,1)+IF($V$12&gt;2703,1)</f>
        <v>2</v>
      </c>
      <c r="R26" s="16"/>
      <c r="S26" s="16"/>
      <c r="V26" s="32"/>
      <c r="X26" s="23"/>
      <c r="AA26" s="23"/>
    </row>
    <row r="27" spans="1:27">
      <c r="A27" s="20" t="str">
        <f>属性!D7</f>
        <v>第七重</v>
      </c>
      <c r="B27" s="20" t="str">
        <f>属性!E7</f>
        <v>活脉</v>
      </c>
      <c r="C27" s="11" t="s">
        <v>72</v>
      </c>
      <c r="D27" s="11" t="b">
        <f t="shared" si="7"/>
        <v>1</v>
      </c>
      <c r="E27" s="11"/>
      <c r="F27" s="11" t="b">
        <f t="shared" si="8"/>
        <v>0</v>
      </c>
      <c r="G27" s="17" t="str">
        <f>木桩!G27</f>
        <v>战斗时间</v>
      </c>
      <c r="H27" s="30">
        <f>木桩!H27</f>
        <v>300</v>
      </c>
      <c r="I27" s="20" t="s">
        <v>56</v>
      </c>
      <c r="J27" s="20">
        <v>13948.5</v>
      </c>
      <c r="K27" s="20" t="s">
        <v>203</v>
      </c>
      <c r="L27" s="20">
        <v>0.25</v>
      </c>
      <c r="M27" s="11" t="s">
        <v>299</v>
      </c>
      <c r="N27" s="15">
        <f ca="1">属性!H32</f>
        <v>0.898870262292047</v>
      </c>
      <c r="O27" s="15">
        <f ca="1">属性!I32</f>
        <v>0.946742155208707</v>
      </c>
      <c r="P27" s="47" t="s">
        <v>92</v>
      </c>
      <c r="Q27" s="20" t="str">
        <f>苍云!C11</f>
        <v>102级</v>
      </c>
      <c r="V27" s="32"/>
      <c r="X27" s="23"/>
      <c r="AA27" s="23"/>
    </row>
    <row r="28" spans="1:27">
      <c r="A28" s="20" t="str">
        <f>属性!D8</f>
        <v>第八重</v>
      </c>
      <c r="B28" s="20" t="str">
        <f>属性!E8</f>
        <v>恋战</v>
      </c>
      <c r="C28" s="11" t="s">
        <v>81</v>
      </c>
      <c r="D28" s="11" t="b">
        <f t="shared" si="7"/>
        <v>1</v>
      </c>
      <c r="E28" s="11" t="s">
        <v>269</v>
      </c>
      <c r="F28" s="11" t="b">
        <f t="shared" si="8"/>
        <v>0</v>
      </c>
      <c r="G28" s="17" t="str">
        <f>木桩!G28</f>
        <v>竞技场套装</v>
      </c>
      <c r="H28" s="16" t="b">
        <f>木桩!H28</f>
        <v>1</v>
      </c>
      <c r="I28" s="20" t="s">
        <v>66</v>
      </c>
      <c r="J28" s="20">
        <v>8717.6</v>
      </c>
      <c r="K28" s="20"/>
      <c r="L28" s="20">
        <v>0.15</v>
      </c>
      <c r="M28" s="17" t="s">
        <v>179</v>
      </c>
      <c r="N28" s="15">
        <f ca="1">属性!H33</f>
        <v>0.91750264956783</v>
      </c>
      <c r="O28" s="15">
        <f ca="1">属性!I33</f>
        <v>0.956976669392992</v>
      </c>
      <c r="P28" s="47" t="s">
        <v>100</v>
      </c>
      <c r="Q28" s="20" t="str">
        <f>LEFT(苍云!$C$12,1)</f>
        <v>5</v>
      </c>
      <c r="V28" s="32"/>
      <c r="X28" s="23"/>
      <c r="AA28" s="23"/>
    </row>
    <row r="29" spans="1:24">
      <c r="A29" s="20" t="str">
        <f>属性!D9</f>
        <v>第九重</v>
      </c>
      <c r="B29" s="20" t="str">
        <f>属性!E9</f>
        <v>从容</v>
      </c>
      <c r="C29" s="11" t="s">
        <v>99</v>
      </c>
      <c r="D29" s="11" t="b">
        <f t="shared" si="7"/>
        <v>0</v>
      </c>
      <c r="E29" s="11"/>
      <c r="F29" s="11" t="b">
        <f t="shared" si="8"/>
        <v>0</v>
      </c>
      <c r="G29" s="20" t="str">
        <f>木桩!G29</f>
        <v>套装特效</v>
      </c>
      <c r="H29" s="20" t="b">
        <f>木桩!H29</f>
        <v>1</v>
      </c>
      <c r="I29" s="20" t="s">
        <v>83</v>
      </c>
      <c r="J29" s="20">
        <v>18830.9</v>
      </c>
      <c r="K29" s="20" t="s">
        <v>204</v>
      </c>
      <c r="L29" s="20">
        <v>0.64</v>
      </c>
      <c r="M29" s="20" t="s">
        <v>180</v>
      </c>
      <c r="N29" s="15">
        <f ca="1">属性!H34</f>
        <v>0.91750264956783</v>
      </c>
      <c r="O29" s="15">
        <f ca="1">属性!I34</f>
        <v>0.956976669392992</v>
      </c>
      <c r="P29" s="20" t="str">
        <f>属性!F5</f>
        <v>战斗时间</v>
      </c>
      <c r="Q29" s="20">
        <f>属性!G5</f>
        <v>300</v>
      </c>
      <c r="X29" s="23"/>
    </row>
    <row r="30" spans="1:24">
      <c r="A30" s="20" t="str">
        <f>属性!D10</f>
        <v>第十重</v>
      </c>
      <c r="B30" s="20" t="str">
        <f>属性!E10</f>
        <v>愤恨</v>
      </c>
      <c r="C30" s="11" t="s">
        <v>91</v>
      </c>
      <c r="D30" s="11" t="b">
        <f t="shared" si="7"/>
        <v>0</v>
      </c>
      <c r="E30" s="11"/>
      <c r="F30" s="11" t="b">
        <f t="shared" si="8"/>
        <v>0</v>
      </c>
      <c r="G30" s="20" t="str">
        <f>木桩!G30</f>
        <v>橙武</v>
      </c>
      <c r="H30" s="20" t="b">
        <f>木桩!H30</f>
        <v>1</v>
      </c>
      <c r="I30" s="20" t="s">
        <v>205</v>
      </c>
      <c r="J30" s="20">
        <v>15344.2</v>
      </c>
      <c r="K30" s="20"/>
      <c r="L30" s="20">
        <v>0</v>
      </c>
      <c r="N30" s="15"/>
      <c r="O30" s="15"/>
      <c r="P30" s="17" t="s">
        <v>302</v>
      </c>
      <c r="Q30" s="11">
        <f ca="1">$I$14/$T$14</f>
        <v>19201.5787705177</v>
      </c>
      <c r="X30" s="23"/>
    </row>
    <row r="31" spans="1:24">
      <c r="A31" s="20" t="str">
        <f>属性!D11</f>
        <v>第十一重</v>
      </c>
      <c r="B31" s="20" t="str">
        <f>属性!E11</f>
        <v>蔑视</v>
      </c>
      <c r="C31" s="11" t="s">
        <v>107</v>
      </c>
      <c r="D31" s="11" t="b">
        <f t="shared" si="7"/>
        <v>1</v>
      </c>
      <c r="E31" s="11"/>
      <c r="F31" s="11" t="b">
        <f t="shared" si="8"/>
        <v>0</v>
      </c>
      <c r="G31" s="20" t="str">
        <f>木桩!G31</f>
        <v>小橙武</v>
      </c>
      <c r="H31" s="20" t="b">
        <f>木桩!H31</f>
        <v>0</v>
      </c>
      <c r="N31" s="7"/>
      <c r="O31" s="7"/>
      <c r="P31" s="17" t="s">
        <v>303</v>
      </c>
      <c r="Q31" s="17">
        <f ca="1">(I13-I10)*5/60*H30</f>
        <v>1290.2334418443</v>
      </c>
      <c r="X31" s="23"/>
    </row>
    <row r="32" spans="1:24">
      <c r="A32" s="20" t="str">
        <f>属性!D12</f>
        <v>第十二重</v>
      </c>
      <c r="B32" s="20" t="str">
        <f>属性!E12</f>
        <v>骇日</v>
      </c>
      <c r="C32" s="11" t="s">
        <v>116</v>
      </c>
      <c r="D32" s="11" t="b">
        <f t="shared" si="7"/>
        <v>1</v>
      </c>
      <c r="E32" s="11"/>
      <c r="F32" s="11"/>
      <c r="P32" s="11" t="s">
        <v>305</v>
      </c>
      <c r="Q32" s="20">
        <f ca="1">$I$2/$T$2</f>
        <v>931.877541738772</v>
      </c>
      <c r="X32" s="23"/>
    </row>
    <row r="33" spans="16:22">
      <c r="P33" s="17" t="s">
        <v>306</v>
      </c>
      <c r="Q33" s="20">
        <f ca="1">$I$3/$T$3</f>
        <v>829.851136407888</v>
      </c>
      <c r="U33" s="20"/>
      <c r="V33" s="32"/>
    </row>
    <row r="34" spans="22:22">
      <c r="V34" s="32"/>
    </row>
    <row r="35" spans="1:23">
      <c r="A35" s="11" t="s">
        <v>271</v>
      </c>
      <c r="B35" s="20" t="s">
        <v>272</v>
      </c>
      <c r="C35" s="20" t="s">
        <v>304</v>
      </c>
      <c r="D35" s="20" t="s">
        <v>281</v>
      </c>
      <c r="E35" s="20" t="s">
        <v>278</v>
      </c>
      <c r="H35" s="20"/>
      <c r="I35" s="20"/>
      <c r="J35" s="20"/>
      <c r="K35" s="20"/>
      <c r="L35" s="20"/>
      <c r="M35" s="20"/>
      <c r="N35" s="20"/>
      <c r="O35" s="11"/>
      <c r="P35" s="11"/>
      <c r="Q35" s="11"/>
      <c r="R35" s="11"/>
      <c r="S35" s="11"/>
      <c r="T35" s="7"/>
      <c r="U35" s="7"/>
      <c r="V35" s="32"/>
      <c r="W35" s="34"/>
    </row>
    <row r="36" spans="1:23">
      <c r="A36" s="11" t="s">
        <v>55</v>
      </c>
      <c r="B36" s="20">
        <f ca="1" t="shared" ref="B36:B48" si="9">IFERROR(VLOOKUP(A36,实战技能表,MATCH("怒气",$A$1:$T$1,0),0),0)*C36</f>
        <v>15</v>
      </c>
      <c r="C36" s="20">
        <v>1</v>
      </c>
      <c r="D36" s="20">
        <f ca="1" t="shared" ref="D36:D48" si="10">IFERROR(VLOOKUP(A36,实战技能表,MATCH("时间",$A$1:$T$1,0),0),0)*C36</f>
        <v>1.375</v>
      </c>
      <c r="E36" s="20">
        <f ca="1" t="shared" ref="E36:E48" si="11">IFERROR(VLOOKUP(A36,实战技能表,MATCH("dmg",$A$1:$T$1,0),0),0)*C36</f>
        <v>135607.209534485</v>
      </c>
      <c r="H36" s="20"/>
      <c r="I36" s="20"/>
      <c r="J36" s="20"/>
      <c r="K36" s="20"/>
      <c r="L36" s="20"/>
      <c r="M36" s="20"/>
      <c r="N36" s="20"/>
      <c r="O36" s="11"/>
      <c r="P36" s="11"/>
      <c r="Q36" s="11"/>
      <c r="R36" s="11"/>
      <c r="S36" s="11"/>
      <c r="T36" s="11"/>
      <c r="U36" s="20"/>
      <c r="V36" s="32"/>
      <c r="W36" s="32"/>
    </row>
    <row r="37" spans="1:23">
      <c r="A37" s="11" t="s">
        <v>82</v>
      </c>
      <c r="B37" s="20">
        <f ca="1" t="shared" si="9"/>
        <v>4.5</v>
      </c>
      <c r="C37" s="20">
        <v>0.3</v>
      </c>
      <c r="D37" s="20">
        <f ca="1" t="shared" si="10"/>
        <v>0.4125</v>
      </c>
      <c r="E37" s="20">
        <f ca="1" t="shared" si="11"/>
        <v>23628.0845286746</v>
      </c>
      <c r="H37" s="20"/>
      <c r="I37" s="20"/>
      <c r="J37" s="20"/>
      <c r="K37" s="20"/>
      <c r="L37" s="20"/>
      <c r="M37" s="20"/>
      <c r="N37" s="20"/>
      <c r="O37" s="11"/>
      <c r="P37" s="11"/>
      <c r="Q37" s="11"/>
      <c r="R37" s="11"/>
      <c r="S37" s="11"/>
      <c r="T37" s="11"/>
      <c r="U37" s="20"/>
      <c r="V37" s="32"/>
      <c r="W37" s="32"/>
    </row>
    <row r="38" spans="1:23">
      <c r="A38" s="11" t="s">
        <v>65</v>
      </c>
      <c r="B38" s="20">
        <f ca="1" t="shared" si="9"/>
        <v>-11.25</v>
      </c>
      <c r="C38" s="20">
        <v>0.75</v>
      </c>
      <c r="D38" s="20">
        <f ca="1" t="shared" si="10"/>
        <v>1.03125</v>
      </c>
      <c r="E38" s="20">
        <f ca="1" t="shared" si="11"/>
        <v>58171.1565770611</v>
      </c>
      <c r="H38" s="20"/>
      <c r="I38" s="20"/>
      <c r="J38" s="20"/>
      <c r="K38" s="20"/>
      <c r="L38" s="20"/>
      <c r="M38" s="20"/>
      <c r="N38" s="20"/>
      <c r="O38" s="11"/>
      <c r="P38" s="11"/>
      <c r="Q38" s="11"/>
      <c r="R38" s="11"/>
      <c r="S38" s="11"/>
      <c r="T38" s="11"/>
      <c r="U38" s="20"/>
      <c r="V38" s="32"/>
      <c r="W38" s="32"/>
    </row>
    <row r="39" spans="1:23">
      <c r="A39" s="20" t="s">
        <v>73</v>
      </c>
      <c r="B39" s="20">
        <f ca="1" t="shared" si="9"/>
        <v>-11.25</v>
      </c>
      <c r="C39" s="20">
        <v>0.75</v>
      </c>
      <c r="D39" s="20">
        <f ca="1" t="shared" si="10"/>
        <v>1.03125</v>
      </c>
      <c r="E39" s="20">
        <f ca="1" t="shared" si="11"/>
        <v>36952.4996043532</v>
      </c>
      <c r="H39" s="20"/>
      <c r="I39" s="20"/>
      <c r="J39" s="20"/>
      <c r="K39" s="20"/>
      <c r="L39" s="20"/>
      <c r="M39" s="20"/>
      <c r="N39" s="20"/>
      <c r="O39" s="11"/>
      <c r="P39" s="11"/>
      <c r="Q39" s="11"/>
      <c r="R39" s="11"/>
      <c r="S39" s="11"/>
      <c r="T39" s="11"/>
      <c r="U39" s="20"/>
      <c r="V39" s="32"/>
      <c r="W39" s="32"/>
    </row>
    <row r="40" spans="1:23">
      <c r="A40" s="11" t="s">
        <v>14</v>
      </c>
      <c r="B40" s="20">
        <f ca="1" t="shared" si="9"/>
        <v>-2.5</v>
      </c>
      <c r="C40" s="20">
        <v>0.5</v>
      </c>
      <c r="D40" s="20">
        <f ca="1" t="shared" si="10"/>
        <v>0.6875</v>
      </c>
      <c r="E40" s="20">
        <f ca="1" t="shared" si="11"/>
        <v>42170.487547031</v>
      </c>
      <c r="H40" s="20"/>
      <c r="I40" s="20"/>
      <c r="J40" s="20"/>
      <c r="K40" s="20"/>
      <c r="L40" s="20"/>
      <c r="M40" s="20"/>
      <c r="N40" s="20"/>
      <c r="O40" s="11"/>
      <c r="P40" s="11"/>
      <c r="Q40" s="11"/>
      <c r="R40" s="11"/>
      <c r="S40" s="11"/>
      <c r="T40" s="11"/>
      <c r="U40" s="20"/>
      <c r="V40" s="32"/>
      <c r="W40" s="32"/>
    </row>
    <row r="41" spans="1:23">
      <c r="A41" s="11" t="s">
        <v>14</v>
      </c>
      <c r="B41" s="20">
        <f ca="1" t="shared" si="9"/>
        <v>-5</v>
      </c>
      <c r="C41" s="20">
        <v>1</v>
      </c>
      <c r="D41" s="20">
        <f ca="1" t="shared" si="10"/>
        <v>1.375</v>
      </c>
      <c r="E41" s="20">
        <f ca="1" t="shared" si="11"/>
        <v>84340.9750940621</v>
      </c>
      <c r="H41" s="20"/>
      <c r="I41" s="20"/>
      <c r="J41" s="20"/>
      <c r="K41" s="20"/>
      <c r="L41" s="20"/>
      <c r="M41" s="20"/>
      <c r="N41" s="20"/>
      <c r="O41" s="11"/>
      <c r="P41" s="11"/>
      <c r="Q41" s="11"/>
      <c r="R41" s="11"/>
      <c r="S41" s="11"/>
      <c r="T41" s="11"/>
      <c r="U41" s="20"/>
      <c r="V41" s="32"/>
      <c r="W41" s="32"/>
    </row>
    <row r="42" spans="1:23">
      <c r="A42" s="11" t="s">
        <v>14</v>
      </c>
      <c r="B42" s="20">
        <f ca="1" t="shared" si="9"/>
        <v>-5</v>
      </c>
      <c r="C42" s="20">
        <v>1</v>
      </c>
      <c r="D42" s="20">
        <f ca="1" t="shared" si="10"/>
        <v>1.375</v>
      </c>
      <c r="E42" s="20">
        <f ca="1" t="shared" si="11"/>
        <v>84340.9750940621</v>
      </c>
      <c r="H42" s="20"/>
      <c r="I42" s="20"/>
      <c r="J42" s="20"/>
      <c r="K42" s="20"/>
      <c r="L42" s="20"/>
      <c r="M42" s="20"/>
      <c r="N42" s="20"/>
      <c r="O42" s="11"/>
      <c r="P42" s="11"/>
      <c r="Q42" s="11"/>
      <c r="R42" s="11"/>
      <c r="S42" s="11"/>
      <c r="T42" s="11"/>
      <c r="U42" s="20"/>
      <c r="V42" s="32"/>
      <c r="W42" s="32"/>
    </row>
    <row r="43" spans="1:23">
      <c r="A43" s="11" t="s">
        <v>14</v>
      </c>
      <c r="B43" s="20">
        <f ca="1" t="shared" si="9"/>
        <v>-5</v>
      </c>
      <c r="C43" s="20">
        <v>1</v>
      </c>
      <c r="D43" s="20">
        <f ca="1" t="shared" si="10"/>
        <v>1.375</v>
      </c>
      <c r="E43" s="20">
        <f ca="1" t="shared" si="11"/>
        <v>84340.9750940621</v>
      </c>
      <c r="H43" s="20"/>
      <c r="I43" s="20"/>
      <c r="J43" s="20"/>
      <c r="K43" s="20"/>
      <c r="L43" s="20"/>
      <c r="M43" s="20"/>
      <c r="N43" s="20"/>
      <c r="O43" s="11"/>
      <c r="P43" s="11"/>
      <c r="Q43" s="11"/>
      <c r="R43" s="11"/>
      <c r="S43" s="11"/>
      <c r="T43" s="11"/>
      <c r="U43" s="20"/>
      <c r="V43" s="32"/>
      <c r="W43" s="32"/>
    </row>
    <row r="44" spans="1:23">
      <c r="A44" s="11" t="s">
        <v>14</v>
      </c>
      <c r="B44" s="20">
        <f ca="1" t="shared" si="9"/>
        <v>-5</v>
      </c>
      <c r="C44" s="20">
        <v>1</v>
      </c>
      <c r="D44" s="20">
        <f ca="1" t="shared" si="10"/>
        <v>1.375</v>
      </c>
      <c r="E44" s="20">
        <f ca="1" t="shared" si="11"/>
        <v>84340.9750940621</v>
      </c>
      <c r="H44" s="20"/>
      <c r="I44" s="20"/>
      <c r="J44" s="20"/>
      <c r="K44" s="20"/>
      <c r="L44" s="20"/>
      <c r="M44" s="20"/>
      <c r="N44" s="20"/>
      <c r="O44" s="11"/>
      <c r="P44" s="11"/>
      <c r="Q44" s="11"/>
      <c r="R44" s="11"/>
      <c r="S44" s="11"/>
      <c r="T44" s="11"/>
      <c r="U44" s="20"/>
      <c r="V44" s="32"/>
      <c r="W44" s="32"/>
    </row>
    <row r="45" spans="1:23">
      <c r="A45" s="11" t="s">
        <v>14</v>
      </c>
      <c r="B45" s="20">
        <f ca="1" t="shared" si="9"/>
        <v>-5</v>
      </c>
      <c r="C45" s="20">
        <v>1</v>
      </c>
      <c r="D45" s="20">
        <f ca="1" t="shared" si="10"/>
        <v>1.375</v>
      </c>
      <c r="E45" s="20">
        <f ca="1" t="shared" si="11"/>
        <v>84340.9750940621</v>
      </c>
      <c r="H45" s="20"/>
      <c r="I45" s="20"/>
      <c r="J45" s="20"/>
      <c r="K45" s="20"/>
      <c r="L45" s="20"/>
      <c r="M45" s="20"/>
      <c r="N45" s="20"/>
      <c r="O45" s="11"/>
      <c r="P45" s="11"/>
      <c r="Q45" s="11"/>
      <c r="R45" s="11"/>
      <c r="S45" s="11"/>
      <c r="T45" s="11"/>
      <c r="U45" s="20"/>
      <c r="V45" s="32"/>
      <c r="W45" s="32"/>
    </row>
    <row r="46" spans="1:23">
      <c r="A46" s="11" t="s">
        <v>14</v>
      </c>
      <c r="B46" s="20">
        <f ca="1" t="shared" si="9"/>
        <v>-5</v>
      </c>
      <c r="C46" s="20">
        <v>1</v>
      </c>
      <c r="D46" s="20">
        <f ca="1" t="shared" si="10"/>
        <v>1.375</v>
      </c>
      <c r="E46" s="20">
        <f ca="1" t="shared" si="11"/>
        <v>84340.9750940621</v>
      </c>
      <c r="H46" s="20"/>
      <c r="I46" s="20"/>
      <c r="J46" s="20"/>
      <c r="K46" s="20"/>
      <c r="L46" s="20"/>
      <c r="M46" s="20"/>
      <c r="N46" s="20"/>
      <c r="O46" s="11"/>
      <c r="P46" s="11"/>
      <c r="Q46" s="11"/>
      <c r="R46" s="11"/>
      <c r="S46" s="11"/>
      <c r="T46" s="11"/>
      <c r="U46" s="20"/>
      <c r="V46" s="32"/>
      <c r="W46" s="32"/>
    </row>
    <row r="47" spans="1:23">
      <c r="A47" s="11" t="s">
        <v>14</v>
      </c>
      <c r="B47" s="20">
        <f ca="1" t="shared" si="9"/>
        <v>-5</v>
      </c>
      <c r="C47" s="20">
        <v>1</v>
      </c>
      <c r="D47" s="20">
        <f ca="1" t="shared" si="10"/>
        <v>1.375</v>
      </c>
      <c r="E47" s="20">
        <f ca="1" t="shared" si="11"/>
        <v>84340.9750940621</v>
      </c>
      <c r="H47" s="20"/>
      <c r="I47" s="20"/>
      <c r="J47" s="20"/>
      <c r="K47" s="20"/>
      <c r="L47" s="20"/>
      <c r="M47" s="7"/>
      <c r="N47" s="7"/>
      <c r="O47" s="11"/>
      <c r="P47" s="11"/>
      <c r="Q47" s="11"/>
      <c r="R47" s="11"/>
      <c r="S47" s="11"/>
      <c r="T47" s="11"/>
      <c r="U47" s="20"/>
      <c r="V47" s="32"/>
      <c r="W47" s="32"/>
    </row>
    <row r="48" spans="1:23">
      <c r="A48" s="11" t="s">
        <v>14</v>
      </c>
      <c r="B48" s="20">
        <f ca="1" t="shared" si="9"/>
        <v>-5</v>
      </c>
      <c r="C48" s="20">
        <v>1</v>
      </c>
      <c r="D48" s="20">
        <f ca="1" t="shared" si="10"/>
        <v>1.375</v>
      </c>
      <c r="E48" s="20">
        <f ca="1" t="shared" si="11"/>
        <v>84340.9750940621</v>
      </c>
      <c r="H48" s="20"/>
      <c r="I48" s="20"/>
      <c r="J48" s="20"/>
      <c r="K48" s="20"/>
      <c r="L48" s="20"/>
      <c r="M48" s="7"/>
      <c r="N48" s="7"/>
      <c r="O48" s="11"/>
      <c r="P48" s="11"/>
      <c r="Q48" s="11"/>
      <c r="R48" s="11"/>
      <c r="S48" s="11"/>
      <c r="T48" s="11"/>
      <c r="U48" s="20"/>
      <c r="V48" s="32"/>
      <c r="W48" s="32"/>
    </row>
    <row r="49" spans="1:23">
      <c r="A49" s="11"/>
      <c r="B49" s="7"/>
      <c r="C49" s="11">
        <f>SUM(C38:C48)</f>
        <v>10</v>
      </c>
      <c r="D49" s="11">
        <f ca="1">SUM(D39:D48)+C49/16</f>
        <v>13.34375</v>
      </c>
      <c r="E49" s="7">
        <f ca="1">INT(D49+1)*$I$9</f>
        <v>175428.958120804</v>
      </c>
      <c r="F49" s="11">
        <f ca="1">D49*$I$16/$T$15+(D50-D49)*$I$15/$T$15</f>
        <v>103274.915014594</v>
      </c>
      <c r="H49" s="20"/>
      <c r="I49" s="20"/>
      <c r="J49" s="20"/>
      <c r="K49" s="20"/>
      <c r="L49" s="20"/>
      <c r="O49" s="11"/>
      <c r="P49" s="11"/>
      <c r="Q49" s="11"/>
      <c r="R49" s="11"/>
      <c r="S49" s="11"/>
      <c r="T49" s="11"/>
      <c r="U49" s="20"/>
      <c r="V49" s="32"/>
      <c r="W49" s="32"/>
    </row>
    <row r="50" spans="1:23">
      <c r="A50" s="11"/>
      <c r="B50" s="11">
        <f ca="1">SUM(B36:B48)</f>
        <v>-45.5</v>
      </c>
      <c r="C50" s="11">
        <f>SUM(C36:C48)</f>
        <v>11.3</v>
      </c>
      <c r="D50" s="11">
        <f ca="1">SUM(D36:D48)</f>
        <v>15.5375</v>
      </c>
      <c r="E50" s="11">
        <f ca="1">SUM(E36:E49)</f>
        <v>1146686.19666491</v>
      </c>
      <c r="H50" s="20"/>
      <c r="I50" s="20"/>
      <c r="J50" s="20"/>
      <c r="K50" s="20"/>
      <c r="L50" s="20"/>
      <c r="O50" s="11"/>
      <c r="P50" s="11"/>
      <c r="Q50" s="11"/>
      <c r="R50" s="11"/>
      <c r="S50" s="11"/>
      <c r="T50" s="7"/>
      <c r="U50" s="20"/>
      <c r="V50" s="32"/>
      <c r="W50" s="32"/>
    </row>
    <row r="51" spans="1:23">
      <c r="A51" s="11"/>
      <c r="B51" s="11">
        <v>0</v>
      </c>
      <c r="C51" s="11">
        <f>C50*B51</f>
        <v>0</v>
      </c>
      <c r="D51" s="11">
        <f ca="1">D50+C51/16</f>
        <v>15.5375</v>
      </c>
      <c r="E51" s="11">
        <f ca="1">E50/D51</f>
        <v>73801.2033251749</v>
      </c>
      <c r="F51" s="11">
        <f ca="1">F49/D51</f>
        <v>6646.81673464806</v>
      </c>
      <c r="G51" s="11">
        <f ca="1" t="shared" ref="G51:G55" si="12">(E51+F51+$Q$30+$Q$31+$Q$32+$Q$33)*(1+$P$23)</f>
        <v>102701.560950332</v>
      </c>
      <c r="H51" s="20"/>
      <c r="I51" s="20"/>
      <c r="J51" s="20"/>
      <c r="K51" s="20"/>
      <c r="L51" s="20"/>
      <c r="O51" s="11"/>
      <c r="P51" s="11"/>
      <c r="Q51" s="11"/>
      <c r="R51" s="11"/>
      <c r="S51" s="11"/>
      <c r="T51" s="11"/>
      <c r="U51" s="20"/>
      <c r="V51" s="32"/>
      <c r="W51" s="32"/>
    </row>
    <row r="52" spans="1:23">
      <c r="A52" s="11"/>
      <c r="B52" s="11">
        <v>1</v>
      </c>
      <c r="C52" s="11">
        <f>C50*B52</f>
        <v>11.3</v>
      </c>
      <c r="D52" s="11">
        <f ca="1">D50+C52/16</f>
        <v>16.24375</v>
      </c>
      <c r="E52" s="11">
        <f ca="1">E50/D52</f>
        <v>70592.4553545152</v>
      </c>
      <c r="F52" s="11">
        <f ca="1">F49/D52</f>
        <v>6357.82470270684</v>
      </c>
      <c r="G52" s="11">
        <f ca="1" t="shared" si="12"/>
        <v>99203.8209477307</v>
      </c>
      <c r="H52" s="20">
        <f ca="1">(G52-实战!G52)*10</f>
        <v>0</v>
      </c>
      <c r="I52" s="20"/>
      <c r="J52" s="20"/>
      <c r="K52" s="20"/>
      <c r="L52" s="20"/>
      <c r="O52" s="11"/>
      <c r="P52" s="11"/>
      <c r="Q52" s="7"/>
      <c r="R52" s="11"/>
      <c r="S52" s="11"/>
      <c r="T52" s="11"/>
      <c r="U52" s="20"/>
      <c r="V52" s="32"/>
      <c r="W52" s="32"/>
    </row>
    <row r="53" spans="1:23">
      <c r="A53" s="11"/>
      <c r="B53" s="11">
        <v>3</v>
      </c>
      <c r="C53" s="11">
        <f>C50*B53</f>
        <v>33.9</v>
      </c>
      <c r="D53" s="11">
        <f ca="1">D50+C53/16</f>
        <v>17.65625</v>
      </c>
      <c r="E53" s="11">
        <f ca="1">E50/D53</f>
        <v>64945.0589261539</v>
      </c>
      <c r="F53" s="20">
        <f ca="1">F49/D53</f>
        <v>5849.19872649029</v>
      </c>
      <c r="G53" s="11">
        <f ca="1" t="shared" si="12"/>
        <v>93047.7985431529</v>
      </c>
      <c r="H53" s="20"/>
      <c r="I53" s="20"/>
      <c r="J53" s="20"/>
      <c r="K53" s="20"/>
      <c r="L53" s="20"/>
      <c r="O53" s="7"/>
      <c r="P53" s="11"/>
      <c r="Q53" s="7"/>
      <c r="R53" s="11"/>
      <c r="S53" s="11"/>
      <c r="T53" s="11"/>
      <c r="U53" s="20"/>
      <c r="V53" s="32"/>
      <c r="W53" s="32"/>
    </row>
    <row r="54" spans="1:23">
      <c r="A54" s="11"/>
      <c r="B54" s="11">
        <v>5</v>
      </c>
      <c r="C54" s="11">
        <f>C50*B54</f>
        <v>56.5</v>
      </c>
      <c r="D54" s="11">
        <f ca="1">D50+C54/16</f>
        <v>19.06875</v>
      </c>
      <c r="E54" s="11">
        <f ca="1">E50/D54</f>
        <v>60134.3138205129</v>
      </c>
      <c r="F54" s="20">
        <f ca="1">F49/D54</f>
        <v>5415.92474675027</v>
      </c>
      <c r="G54" s="11">
        <f ca="1" t="shared" si="12"/>
        <v>87803.7794577718</v>
      </c>
      <c r="H54" s="11"/>
      <c r="I54" s="20"/>
      <c r="J54" s="20"/>
      <c r="K54" s="20"/>
      <c r="L54" s="20"/>
      <c r="O54" s="11"/>
      <c r="P54" s="11"/>
      <c r="Q54" s="7"/>
      <c r="R54" s="11"/>
      <c r="S54" s="11"/>
      <c r="T54" s="11"/>
      <c r="U54" s="20"/>
      <c r="V54" s="32"/>
      <c r="W54" s="32"/>
    </row>
    <row r="55" spans="1:23">
      <c r="A55" s="11"/>
      <c r="B55" s="11">
        <v>7</v>
      </c>
      <c r="C55" s="11">
        <f>C50*B55</f>
        <v>79.1</v>
      </c>
      <c r="D55" s="11">
        <f ca="1">D50+C55/16</f>
        <v>20.48125</v>
      </c>
      <c r="E55" s="11">
        <f ca="1">E50/D55</f>
        <v>55987.1197639258</v>
      </c>
      <c r="F55" s="20">
        <f ca="1">F49/D55</f>
        <v>5042.41269525025</v>
      </c>
      <c r="G55" s="11">
        <f ca="1" t="shared" si="12"/>
        <v>83283.0733496847</v>
      </c>
      <c r="H55" s="11"/>
      <c r="I55" s="20"/>
      <c r="J55" s="20"/>
      <c r="K55" s="20"/>
      <c r="L55" s="20"/>
      <c r="O55" s="11"/>
      <c r="P55" s="11"/>
      <c r="Q55" s="7"/>
      <c r="R55" s="11"/>
      <c r="S55" s="11"/>
      <c r="T55" s="11"/>
      <c r="U55" s="20"/>
      <c r="V55" s="32"/>
      <c r="W55" s="32"/>
    </row>
    <row r="56" spans="8:23">
      <c r="H56" s="20"/>
      <c r="I56" s="20"/>
      <c r="J56" s="20"/>
      <c r="K56" s="20"/>
      <c r="L56" s="20"/>
      <c r="M56" s="20"/>
      <c r="N56" s="20"/>
      <c r="O56" s="11"/>
      <c r="P56" s="11"/>
      <c r="Q56" s="7"/>
      <c r="R56" s="11"/>
      <c r="S56" s="11"/>
      <c r="T56" s="11"/>
      <c r="U56" s="20"/>
      <c r="V56" s="32"/>
      <c r="W56" s="32"/>
    </row>
    <row r="57" spans="8:24">
      <c r="H57" s="20"/>
      <c r="I57" s="20"/>
      <c r="J57" s="20"/>
      <c r="K57" s="20"/>
      <c r="L57" s="20"/>
      <c r="M57" s="20"/>
      <c r="N57" s="20"/>
      <c r="O57" s="11"/>
      <c r="P57" s="11"/>
      <c r="Q57" s="7"/>
      <c r="R57" s="11"/>
      <c r="S57" s="11"/>
      <c r="T57" s="11"/>
      <c r="U57" s="20"/>
      <c r="V57" s="32"/>
      <c r="W57" s="32"/>
      <c r="X57" s="32"/>
    </row>
    <row r="58" spans="1:23">
      <c r="A58" s="20"/>
      <c r="B58" s="20"/>
      <c r="C58" s="20"/>
      <c r="D58" s="20"/>
      <c r="E58" s="20"/>
      <c r="H58" s="20"/>
      <c r="I58" s="20"/>
      <c r="J58" s="20"/>
      <c r="K58" s="20"/>
      <c r="L58" s="20"/>
      <c r="M58" s="20"/>
      <c r="N58" s="20"/>
      <c r="O58" s="11"/>
      <c r="P58" s="11"/>
      <c r="Q58" s="7"/>
      <c r="R58" s="11"/>
      <c r="S58" s="11"/>
      <c r="T58" s="11"/>
      <c r="U58" s="20"/>
      <c r="V58" s="32"/>
      <c r="W58" s="34"/>
    </row>
    <row r="59" spans="1:23">
      <c r="A59" s="20"/>
      <c r="B59" s="20"/>
      <c r="C59" s="20"/>
      <c r="D59" s="20"/>
      <c r="E59" s="20"/>
      <c r="H59" s="20"/>
      <c r="I59" s="20"/>
      <c r="J59" s="20"/>
      <c r="K59" s="20"/>
      <c r="L59" s="20"/>
      <c r="M59" s="20"/>
      <c r="N59" s="20"/>
      <c r="O59" s="11"/>
      <c r="P59" s="11"/>
      <c r="Q59" s="7"/>
      <c r="R59" s="11"/>
      <c r="S59" s="11"/>
      <c r="T59" s="11"/>
      <c r="U59" s="20"/>
      <c r="V59" s="32"/>
      <c r="W59" s="34"/>
    </row>
    <row r="60" spans="1:23">
      <c r="A60" s="20"/>
      <c r="B60" s="20"/>
      <c r="C60" s="20"/>
      <c r="D60" s="20"/>
      <c r="E60" s="20"/>
      <c r="H60" s="20"/>
      <c r="I60" s="20"/>
      <c r="J60" s="20"/>
      <c r="K60" s="20"/>
      <c r="L60" s="20"/>
      <c r="M60" s="20"/>
      <c r="N60" s="20"/>
      <c r="O60" s="11"/>
      <c r="P60" s="11"/>
      <c r="Q60" s="7"/>
      <c r="R60" s="11"/>
      <c r="S60" s="11"/>
      <c r="T60" s="11"/>
      <c r="U60" s="20"/>
      <c r="V60" s="32"/>
      <c r="W60" s="34"/>
    </row>
    <row r="61" spans="1:23">
      <c r="A61" s="20"/>
      <c r="B61" s="20"/>
      <c r="C61" s="20"/>
      <c r="D61" s="20"/>
      <c r="E61" s="20"/>
      <c r="H61" s="20"/>
      <c r="I61" s="20"/>
      <c r="J61" s="20"/>
      <c r="K61" s="20"/>
      <c r="L61" s="20"/>
      <c r="M61" s="20"/>
      <c r="N61" s="20"/>
      <c r="O61" s="11"/>
      <c r="P61" s="11"/>
      <c r="Q61" s="7"/>
      <c r="R61" s="11"/>
      <c r="S61" s="11"/>
      <c r="T61" s="11"/>
      <c r="U61" s="20"/>
      <c r="V61" s="32"/>
      <c r="W61" s="34"/>
    </row>
    <row r="62" spans="1:23">
      <c r="A62" s="20"/>
      <c r="B62" s="20"/>
      <c r="C62" s="20"/>
      <c r="D62" s="20"/>
      <c r="E62" s="20"/>
      <c r="H62" s="20"/>
      <c r="I62" s="20"/>
      <c r="J62" s="20"/>
      <c r="K62" s="20"/>
      <c r="L62" s="20"/>
      <c r="M62" s="20"/>
      <c r="N62" s="20"/>
      <c r="O62" s="11"/>
      <c r="P62" s="11"/>
      <c r="Q62" s="7"/>
      <c r="R62" s="11"/>
      <c r="S62" s="11"/>
      <c r="T62" s="11"/>
      <c r="U62" s="20"/>
      <c r="V62" s="32"/>
      <c r="W62" s="34"/>
    </row>
    <row r="63" spans="1:23">
      <c r="A63" s="20"/>
      <c r="B63" s="20"/>
      <c r="C63" s="20"/>
      <c r="D63" s="20"/>
      <c r="E63" s="20"/>
      <c r="H63" s="20"/>
      <c r="I63" s="20"/>
      <c r="J63" s="20"/>
      <c r="K63" s="20"/>
      <c r="L63" s="20"/>
      <c r="M63" s="20"/>
      <c r="N63" s="20"/>
      <c r="O63" s="11"/>
      <c r="U63" s="20"/>
      <c r="V63" s="32"/>
      <c r="W63" s="34"/>
    </row>
    <row r="64" spans="1:23">
      <c r="A64" s="20"/>
      <c r="B64" s="20"/>
      <c r="C64" s="20"/>
      <c r="D64" s="20"/>
      <c r="E64" s="20"/>
      <c r="H64" s="20"/>
      <c r="I64" s="20"/>
      <c r="J64" s="20"/>
      <c r="K64" s="20"/>
      <c r="L64" s="20"/>
      <c r="M64" s="20"/>
      <c r="N64" s="20"/>
      <c r="P64" s="7"/>
      <c r="Q64" s="11"/>
      <c r="R64" s="11"/>
      <c r="S64" s="7"/>
      <c r="T64" s="11"/>
      <c r="U64" s="20"/>
      <c r="V64" s="32"/>
      <c r="W64" s="34"/>
    </row>
    <row r="65" spans="1:23">
      <c r="A65" s="20"/>
      <c r="B65" s="20"/>
      <c r="C65" s="20"/>
      <c r="D65" s="20"/>
      <c r="E65" s="20"/>
      <c r="H65" s="20"/>
      <c r="I65" s="20"/>
      <c r="J65" s="20"/>
      <c r="K65" s="20"/>
      <c r="L65" s="20"/>
      <c r="M65" s="20"/>
      <c r="N65" s="20"/>
      <c r="O65" s="11"/>
      <c r="P65" s="11"/>
      <c r="Q65" s="11"/>
      <c r="R65" s="11"/>
      <c r="S65" s="11"/>
      <c r="T65" s="11"/>
      <c r="U65" s="20"/>
      <c r="V65" s="32"/>
      <c r="W65" s="34"/>
    </row>
    <row r="66" spans="1:23">
      <c r="A66" s="20"/>
      <c r="B66" s="20"/>
      <c r="C66" s="20"/>
      <c r="D66" s="20"/>
      <c r="E66" s="20"/>
      <c r="H66" s="20"/>
      <c r="I66" s="20"/>
      <c r="J66" s="20"/>
      <c r="K66" s="20"/>
      <c r="L66" s="20"/>
      <c r="M66" s="20"/>
      <c r="N66" s="20"/>
      <c r="O66" s="11"/>
      <c r="P66" s="11"/>
      <c r="Q66" s="11"/>
      <c r="R66" s="11"/>
      <c r="S66" s="11"/>
      <c r="T66" s="11"/>
      <c r="U66" s="11"/>
      <c r="V66" s="32"/>
      <c r="W66" s="34"/>
    </row>
    <row r="67" spans="1:23">
      <c r="A67" s="20"/>
      <c r="B67" s="20"/>
      <c r="C67" s="20"/>
      <c r="D67" s="20"/>
      <c r="E67" s="20"/>
      <c r="H67" s="20"/>
      <c r="I67" s="20"/>
      <c r="J67" s="20"/>
      <c r="K67" s="20"/>
      <c r="L67" s="20"/>
      <c r="O67" s="11"/>
      <c r="P67" s="11"/>
      <c r="Q67" s="11"/>
      <c r="R67" s="11"/>
      <c r="S67" s="11"/>
      <c r="T67" s="11"/>
      <c r="U67" s="11"/>
      <c r="V67" s="32"/>
      <c r="W67" s="34"/>
    </row>
    <row r="68" spans="1:2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O68" s="11"/>
      <c r="P68" s="11"/>
      <c r="Q68" s="11"/>
      <c r="R68" s="11"/>
      <c r="S68" s="11"/>
      <c r="T68" s="20"/>
      <c r="U68" s="11"/>
      <c r="V68" s="32"/>
      <c r="W68" s="34"/>
    </row>
    <row r="69" spans="1:23">
      <c r="A69" s="20"/>
      <c r="B69" s="20"/>
      <c r="C69" s="20"/>
      <c r="D69" s="20"/>
      <c r="E69" s="20"/>
      <c r="F69" s="20"/>
      <c r="G69" s="20"/>
      <c r="H69" s="11"/>
      <c r="I69" s="20"/>
      <c r="J69" s="20"/>
      <c r="K69" s="20"/>
      <c r="L69" s="20"/>
      <c r="O69" s="11"/>
      <c r="P69" s="11"/>
      <c r="Q69" s="11"/>
      <c r="R69" s="11"/>
      <c r="S69" s="11"/>
      <c r="T69" s="20"/>
      <c r="U69" s="11"/>
      <c r="V69" s="32"/>
      <c r="W69" s="34"/>
    </row>
    <row r="70" spans="1:23">
      <c r="A70" s="20"/>
      <c r="B70" s="20"/>
      <c r="C70" s="20"/>
      <c r="D70" s="20"/>
      <c r="E70" s="20"/>
      <c r="F70" s="20"/>
      <c r="G70" s="20"/>
      <c r="H70" s="11"/>
      <c r="I70" s="20"/>
      <c r="J70" s="20"/>
      <c r="K70" s="20"/>
      <c r="L70" s="20"/>
      <c r="O70" s="11"/>
      <c r="P70" s="11"/>
      <c r="Q70" s="11"/>
      <c r="R70" s="11"/>
      <c r="S70" s="11"/>
      <c r="T70" s="20"/>
      <c r="U70" s="11"/>
      <c r="V70" s="32"/>
      <c r="W70" s="34"/>
    </row>
    <row r="71" spans="1:23">
      <c r="A71" s="11"/>
      <c r="B71" s="7"/>
      <c r="C71" s="11"/>
      <c r="D71" s="11"/>
      <c r="E71" s="7"/>
      <c r="F71" s="11"/>
      <c r="G71" s="11"/>
      <c r="H71" s="20"/>
      <c r="I71" s="7"/>
      <c r="J71" s="11"/>
      <c r="K71" s="11"/>
      <c r="L71" s="7"/>
      <c r="M71" s="11"/>
      <c r="N71" s="11"/>
      <c r="U71" s="20"/>
      <c r="V71" s="32"/>
      <c r="W71" s="34"/>
    </row>
    <row r="72" spans="1:23">
      <c r="A72" s="7"/>
      <c r="B72" s="11"/>
      <c r="C72" s="11"/>
      <c r="D72" s="11"/>
      <c r="E72" s="11"/>
      <c r="F72" s="11"/>
      <c r="G72" s="11"/>
      <c r="H72" s="20"/>
      <c r="I72" s="11"/>
      <c r="J72" s="11"/>
      <c r="K72" s="11"/>
      <c r="L72" s="11"/>
      <c r="N72" s="11"/>
      <c r="O72" s="20"/>
      <c r="U72" s="20"/>
      <c r="V72" s="32"/>
      <c r="W72" s="34"/>
    </row>
    <row r="73" spans="1:23">
      <c r="A73" s="11"/>
      <c r="B73" s="11"/>
      <c r="C73" s="11"/>
      <c r="D73" s="11"/>
      <c r="E73" s="11"/>
      <c r="F73" s="11"/>
      <c r="G73" s="11"/>
      <c r="H73" s="20"/>
      <c r="I73" s="11"/>
      <c r="J73" s="11"/>
      <c r="K73" s="11"/>
      <c r="L73" s="11"/>
      <c r="M73" s="11"/>
      <c r="N73" s="11"/>
      <c r="O73" s="20"/>
      <c r="U73" s="20"/>
      <c r="V73" s="32"/>
      <c r="W73" s="34"/>
    </row>
    <row r="74" spans="1:23">
      <c r="A74" s="11"/>
      <c r="B74" s="11"/>
      <c r="C74" s="11"/>
      <c r="D74" s="11"/>
      <c r="E74" s="11"/>
      <c r="F74" s="11"/>
      <c r="G74" s="11"/>
      <c r="H74" s="20"/>
      <c r="I74" s="11"/>
      <c r="J74" s="11"/>
      <c r="K74" s="11"/>
      <c r="L74" s="11"/>
      <c r="M74" s="11"/>
      <c r="N74" s="11"/>
      <c r="O74" s="20"/>
      <c r="U74" s="20"/>
      <c r="V74" s="32"/>
      <c r="W74" s="34"/>
    </row>
    <row r="75" spans="1:23">
      <c r="A75" s="11"/>
      <c r="B75" s="11"/>
      <c r="C75" s="11"/>
      <c r="D75" s="11"/>
      <c r="E75" s="11"/>
      <c r="F75" s="20"/>
      <c r="G75" s="11"/>
      <c r="H75" s="20"/>
      <c r="I75" s="11"/>
      <c r="J75" s="11"/>
      <c r="K75" s="11"/>
      <c r="L75" s="11"/>
      <c r="M75" s="20"/>
      <c r="N75" s="11"/>
      <c r="O75" s="20"/>
      <c r="U75" s="20"/>
      <c r="V75" s="32"/>
      <c r="W75" s="34"/>
    </row>
    <row r="76" spans="1:23">
      <c r="A76" s="11"/>
      <c r="B76" s="11"/>
      <c r="C76" s="11"/>
      <c r="D76" s="11"/>
      <c r="E76" s="11"/>
      <c r="F76" s="20"/>
      <c r="G76" s="11"/>
      <c r="H76" s="20"/>
      <c r="I76" s="11"/>
      <c r="J76" s="11"/>
      <c r="K76" s="11"/>
      <c r="L76" s="11"/>
      <c r="M76" s="20"/>
      <c r="N76" s="11"/>
      <c r="O76" s="20"/>
      <c r="U76" s="20"/>
      <c r="V76" s="32"/>
      <c r="W76" s="34"/>
    </row>
    <row r="77" spans="1:23">
      <c r="A77" s="11"/>
      <c r="B77" s="11"/>
      <c r="C77" s="11"/>
      <c r="D77" s="11"/>
      <c r="E77" s="11"/>
      <c r="F77" s="20"/>
      <c r="G77" s="11"/>
      <c r="H77" s="20"/>
      <c r="I77" s="11"/>
      <c r="J77" s="11"/>
      <c r="K77" s="11"/>
      <c r="L77" s="11"/>
      <c r="M77" s="20"/>
      <c r="N77" s="11"/>
      <c r="O77" s="20"/>
      <c r="U77" s="20"/>
      <c r="V77" s="32"/>
      <c r="W77" s="34"/>
    </row>
    <row r="78" spans="8:23">
      <c r="H78" s="11"/>
      <c r="I78" s="11"/>
      <c r="J78" s="1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32"/>
      <c r="W78" s="34"/>
    </row>
    <row r="79" spans="8:23">
      <c r="H79" s="11"/>
      <c r="I79" s="11"/>
      <c r="J79" s="1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32"/>
      <c r="W79" s="34"/>
    </row>
    <row r="80" spans="1:2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32"/>
      <c r="W80" s="34"/>
    </row>
    <row r="81" spans="1:2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32"/>
      <c r="W81" s="34"/>
    </row>
    <row r="82" spans="1:2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32"/>
      <c r="W82" s="34"/>
    </row>
    <row r="83" spans="1:2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32"/>
      <c r="W83" s="34"/>
    </row>
    <row r="84" spans="1:2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32"/>
      <c r="W84" s="34"/>
    </row>
    <row r="85" spans="1:2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32"/>
      <c r="W85" s="34"/>
    </row>
    <row r="86" spans="1:2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32"/>
      <c r="W86" s="34"/>
    </row>
    <row r="87" spans="1:2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32"/>
      <c r="W87" s="34"/>
    </row>
    <row r="88" spans="1:2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32"/>
      <c r="W88" s="34"/>
    </row>
    <row r="89" spans="1:2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32"/>
      <c r="W89" s="34"/>
    </row>
    <row r="90" spans="1:2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32"/>
      <c r="W90" s="34"/>
    </row>
    <row r="91" spans="1:2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32"/>
      <c r="W91" s="34"/>
    </row>
    <row r="92" spans="1:2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32"/>
      <c r="W92" s="34"/>
    </row>
    <row r="93" spans="1:23">
      <c r="A93" s="20"/>
      <c r="B93" s="20"/>
      <c r="C93" s="20"/>
      <c r="D93" s="20"/>
      <c r="E93" s="20"/>
      <c r="F93" s="11"/>
      <c r="G93" s="7"/>
      <c r="H93" s="20"/>
      <c r="I93" s="20"/>
      <c r="J93" s="20"/>
      <c r="K93" s="20"/>
      <c r="L93" s="20"/>
      <c r="M93" s="11"/>
      <c r="N93" s="7"/>
      <c r="O93" s="20"/>
      <c r="P93" s="20"/>
      <c r="Q93" s="20"/>
      <c r="R93" s="20"/>
      <c r="S93" s="20"/>
      <c r="T93" s="11"/>
      <c r="U93" s="7"/>
      <c r="V93" s="32"/>
      <c r="W93" s="34"/>
    </row>
    <row r="94" spans="1:23">
      <c r="A94" s="20"/>
      <c r="B94" s="20"/>
      <c r="C94" s="20"/>
      <c r="D94" s="20"/>
      <c r="E94" s="20"/>
      <c r="F94" s="7"/>
      <c r="G94" s="11"/>
      <c r="H94" s="20"/>
      <c r="I94" s="20"/>
      <c r="J94" s="20"/>
      <c r="K94" s="20"/>
      <c r="L94" s="20"/>
      <c r="M94" s="7"/>
      <c r="N94" s="11"/>
      <c r="O94" s="20"/>
      <c r="P94" s="20"/>
      <c r="Q94" s="20"/>
      <c r="R94" s="20"/>
      <c r="S94" s="20"/>
      <c r="T94" s="7"/>
      <c r="U94" s="11"/>
      <c r="V94" s="32"/>
      <c r="W94" s="34"/>
    </row>
    <row r="95" spans="1:23">
      <c r="A95" s="20"/>
      <c r="B95" s="20"/>
      <c r="C95" s="20"/>
      <c r="D95" s="20"/>
      <c r="E95" s="20"/>
      <c r="F95" s="11"/>
      <c r="G95" s="11"/>
      <c r="H95" s="20"/>
      <c r="I95" s="20"/>
      <c r="J95" s="20"/>
      <c r="K95" s="20"/>
      <c r="L95" s="20"/>
      <c r="M95" s="11"/>
      <c r="N95" s="11"/>
      <c r="O95" s="20"/>
      <c r="P95" s="20"/>
      <c r="Q95" s="20"/>
      <c r="R95" s="20"/>
      <c r="S95" s="20"/>
      <c r="T95" s="11"/>
      <c r="U95" s="11"/>
      <c r="V95" s="32"/>
      <c r="W95" s="34"/>
    </row>
    <row r="96" spans="1:23">
      <c r="A96" s="20"/>
      <c r="B96" s="7"/>
      <c r="C96" s="11"/>
      <c r="D96" s="11"/>
      <c r="E96" s="7"/>
      <c r="F96" s="11"/>
      <c r="G96" s="11"/>
      <c r="H96" s="20"/>
      <c r="I96" s="20"/>
      <c r="J96" s="20"/>
      <c r="K96" s="20"/>
      <c r="L96" s="20"/>
      <c r="O96" s="20"/>
      <c r="P96" s="20"/>
      <c r="Q96" s="20"/>
      <c r="R96" s="20"/>
      <c r="S96" s="20"/>
      <c r="V96" s="32"/>
      <c r="W96" s="34"/>
    </row>
    <row r="97" spans="1:23">
      <c r="A97" s="20"/>
      <c r="B97" s="11"/>
      <c r="C97" s="11"/>
      <c r="D97" s="11"/>
      <c r="E97" s="11"/>
      <c r="G97" s="11"/>
      <c r="H97" s="20"/>
      <c r="I97" s="7"/>
      <c r="J97" s="11"/>
      <c r="K97" s="11"/>
      <c r="L97" s="7"/>
      <c r="M97" s="11"/>
      <c r="N97" s="11"/>
      <c r="O97" s="20"/>
      <c r="P97" s="20"/>
      <c r="Q97" s="20"/>
      <c r="R97" s="20"/>
      <c r="S97" s="20"/>
      <c r="V97" s="32"/>
      <c r="W97" s="34"/>
    </row>
    <row r="98" spans="1:23">
      <c r="A98" s="20"/>
      <c r="B98" s="11"/>
      <c r="C98" s="11"/>
      <c r="D98" s="11"/>
      <c r="E98" s="11"/>
      <c r="F98" s="11"/>
      <c r="G98" s="11"/>
      <c r="H98" s="20"/>
      <c r="I98" s="11"/>
      <c r="J98" s="11"/>
      <c r="K98" s="11"/>
      <c r="L98" s="11"/>
      <c r="N98" s="11"/>
      <c r="O98" s="20"/>
      <c r="P98" s="7"/>
      <c r="Q98" s="11"/>
      <c r="R98" s="11"/>
      <c r="S98" s="7"/>
      <c r="T98" s="11"/>
      <c r="U98" s="11"/>
      <c r="V98" s="32"/>
      <c r="W98" s="34"/>
    </row>
    <row r="99" spans="1:23">
      <c r="A99" s="20"/>
      <c r="B99" s="11"/>
      <c r="C99" s="11"/>
      <c r="D99" s="11"/>
      <c r="E99" s="11"/>
      <c r="F99" s="11"/>
      <c r="G99" s="11"/>
      <c r="H99" s="20"/>
      <c r="I99" s="11"/>
      <c r="J99" s="11"/>
      <c r="K99" s="11"/>
      <c r="L99" s="11"/>
      <c r="M99" s="11"/>
      <c r="N99" s="11"/>
      <c r="O99" s="20"/>
      <c r="P99" s="11"/>
      <c r="Q99" s="11"/>
      <c r="R99" s="11"/>
      <c r="S99" s="11"/>
      <c r="U99" s="11"/>
      <c r="V99" s="32"/>
      <c r="W99" s="34"/>
    </row>
    <row r="100" spans="1:23">
      <c r="A100" s="20"/>
      <c r="B100" s="11"/>
      <c r="C100" s="11"/>
      <c r="D100" s="11"/>
      <c r="E100" s="11"/>
      <c r="F100" s="20"/>
      <c r="G100" s="11"/>
      <c r="H100" s="20"/>
      <c r="I100" s="11"/>
      <c r="J100" s="11"/>
      <c r="K100" s="11"/>
      <c r="L100" s="11"/>
      <c r="M100" s="11"/>
      <c r="N100" s="11"/>
      <c r="O100" s="20"/>
      <c r="P100" s="11"/>
      <c r="Q100" s="11"/>
      <c r="R100" s="11"/>
      <c r="S100" s="11"/>
      <c r="T100" s="11"/>
      <c r="U100" s="11"/>
      <c r="V100" s="32"/>
      <c r="W100" s="34"/>
    </row>
    <row r="101" spans="1:23">
      <c r="A101" s="20"/>
      <c r="B101" s="11"/>
      <c r="C101" s="11"/>
      <c r="D101" s="11"/>
      <c r="E101" s="11"/>
      <c r="F101" s="20"/>
      <c r="G101" s="11"/>
      <c r="H101" s="20"/>
      <c r="I101" s="11"/>
      <c r="J101" s="11"/>
      <c r="K101" s="11"/>
      <c r="L101" s="11"/>
      <c r="M101" s="20"/>
      <c r="N101" s="11"/>
      <c r="O101" s="20"/>
      <c r="P101" s="11"/>
      <c r="Q101" s="11"/>
      <c r="R101" s="11"/>
      <c r="S101" s="11"/>
      <c r="T101" s="11"/>
      <c r="U101" s="11"/>
      <c r="V101" s="32"/>
      <c r="W101" s="34"/>
    </row>
    <row r="102" spans="1:23">
      <c r="A102" s="20"/>
      <c r="B102" s="11"/>
      <c r="C102" s="11"/>
      <c r="D102" s="11"/>
      <c r="E102" s="11"/>
      <c r="F102" s="20"/>
      <c r="G102" s="11"/>
      <c r="H102" s="20"/>
      <c r="I102" s="11"/>
      <c r="J102" s="11"/>
      <c r="K102" s="11"/>
      <c r="L102" s="11"/>
      <c r="M102" s="20"/>
      <c r="N102" s="11"/>
      <c r="O102" s="20"/>
      <c r="P102" s="11"/>
      <c r="Q102" s="11"/>
      <c r="R102" s="11"/>
      <c r="S102" s="11"/>
      <c r="T102" s="20"/>
      <c r="U102" s="11"/>
      <c r="V102" s="32"/>
      <c r="W102" s="34"/>
    </row>
    <row r="103" spans="9:23">
      <c r="I103" s="11"/>
      <c r="J103" s="11"/>
      <c r="K103" s="11"/>
      <c r="L103" s="11"/>
      <c r="M103" s="20"/>
      <c r="N103" s="11"/>
      <c r="P103" s="11"/>
      <c r="Q103" s="11"/>
      <c r="R103" s="11"/>
      <c r="S103" s="11"/>
      <c r="T103" s="20"/>
      <c r="U103" s="11"/>
      <c r="V103" s="32"/>
      <c r="W103" s="34"/>
    </row>
    <row r="104" spans="16:23">
      <c r="P104" s="11"/>
      <c r="Q104" s="11"/>
      <c r="R104" s="11"/>
      <c r="S104" s="11"/>
      <c r="T104" s="20"/>
      <c r="U104" s="11"/>
      <c r="V104" s="32"/>
      <c r="W104" s="34"/>
    </row>
    <row r="105" spans="17:23">
      <c r="Q105" s="20"/>
      <c r="R105" s="20"/>
      <c r="S105" s="20"/>
      <c r="T105" s="20"/>
      <c r="U105" s="20"/>
      <c r="V105" s="32"/>
      <c r="W105" s="34"/>
    </row>
    <row r="106" spans="4:23">
      <c r="D106" s="20"/>
      <c r="E106" s="20"/>
      <c r="F106" s="20"/>
      <c r="G106" s="20"/>
      <c r="H106" s="20"/>
      <c r="I106" s="20"/>
      <c r="R106" s="20"/>
      <c r="V106" s="17"/>
      <c r="W106" s="17"/>
    </row>
    <row r="107" spans="18:23">
      <c r="R107" s="20"/>
      <c r="V107" s="17"/>
      <c r="W107" s="17"/>
    </row>
    <row r="108" spans="18:23">
      <c r="R108" s="20"/>
      <c r="V108" s="17"/>
      <c r="W108" s="17"/>
    </row>
    <row r="109" spans="18:23">
      <c r="R109" s="20"/>
      <c r="V109" s="17"/>
      <c r="W109" s="17"/>
    </row>
    <row r="110" spans="18:23">
      <c r="R110" s="20"/>
      <c r="V110" s="17"/>
      <c r="W110" s="17"/>
    </row>
    <row r="111" spans="18:23">
      <c r="R111" s="20"/>
      <c r="V111" s="17"/>
      <c r="W111" s="17"/>
    </row>
    <row r="112" spans="10:23">
      <c r="J112" s="20"/>
      <c r="R112" s="20"/>
      <c r="S112" s="20"/>
      <c r="T112" s="20"/>
      <c r="V112" s="17"/>
      <c r="W112" s="17"/>
    </row>
    <row r="113" spans="4:23">
      <c r="D113" s="16"/>
      <c r="E113" s="16"/>
      <c r="F113" s="16"/>
      <c r="G113" s="16"/>
      <c r="H113" s="16"/>
      <c r="I113" s="16"/>
      <c r="J113" s="13"/>
      <c r="K113" s="16"/>
      <c r="L113" s="16"/>
      <c r="M113" s="16"/>
      <c r="N113" s="16"/>
      <c r="O113" s="16"/>
      <c r="R113" s="20"/>
      <c r="S113" s="20"/>
      <c r="T113" s="20"/>
      <c r="U113" s="16"/>
      <c r="V113" s="17"/>
      <c r="W113" s="17"/>
    </row>
    <row r="114" spans="20:23">
      <c r="T114" s="20"/>
      <c r="V114" s="20"/>
      <c r="W114" s="17"/>
    </row>
    <row r="115" spans="20:23">
      <c r="T115" s="20"/>
      <c r="V115" s="20"/>
      <c r="W115" s="17"/>
    </row>
    <row r="116" spans="20:23">
      <c r="T116" s="20"/>
      <c r="V116" s="20"/>
      <c r="W116" s="17"/>
    </row>
    <row r="117" spans="20:23">
      <c r="T117" s="20"/>
      <c r="V117" s="20"/>
      <c r="W117" s="17"/>
    </row>
    <row r="118" spans="20:23">
      <c r="T118" s="20"/>
      <c r="V118" s="20"/>
      <c r="W118" s="17"/>
    </row>
    <row r="119" spans="18:23">
      <c r="R119" s="20"/>
      <c r="T119" s="20"/>
      <c r="V119" s="17"/>
      <c r="W119" s="17"/>
    </row>
    <row r="120" spans="4:23">
      <c r="D120" s="16"/>
      <c r="E120" s="16"/>
      <c r="F120" s="16"/>
      <c r="G120" s="16"/>
      <c r="H120" s="16"/>
      <c r="I120" s="16"/>
      <c r="J120" s="13"/>
      <c r="K120" s="16"/>
      <c r="L120" s="16"/>
      <c r="M120" s="16"/>
      <c r="N120" s="16"/>
      <c r="O120" s="16"/>
      <c r="R120" s="20"/>
      <c r="T120" s="20"/>
      <c r="U120" s="16"/>
      <c r="V120" s="17"/>
      <c r="W120" s="17"/>
    </row>
    <row r="121" spans="18:23">
      <c r="R121" s="20"/>
      <c r="T121" s="20"/>
      <c r="V121" s="20"/>
      <c r="W121" s="17"/>
    </row>
    <row r="122" spans="18:23">
      <c r="R122" s="20"/>
      <c r="T122" s="20"/>
      <c r="V122" s="20"/>
      <c r="W122" s="17"/>
    </row>
    <row r="123" spans="18:23">
      <c r="R123" s="20"/>
      <c r="T123" s="20"/>
      <c r="V123" s="20"/>
      <c r="W123" s="17"/>
    </row>
    <row r="124" spans="18:23">
      <c r="R124" s="20"/>
      <c r="T124" s="20"/>
      <c r="V124" s="20"/>
      <c r="W124" s="17"/>
    </row>
    <row r="125" spans="18:23">
      <c r="R125" s="20"/>
      <c r="T125" s="20"/>
      <c r="V125" s="20"/>
      <c r="W125" s="17"/>
    </row>
    <row r="126" spans="8:23">
      <c r="H126" s="11"/>
      <c r="R126" s="20"/>
      <c r="T126" s="20"/>
      <c r="V126" s="17"/>
      <c r="W126" s="17"/>
    </row>
    <row r="127" spans="4:23">
      <c r="D127" s="16"/>
      <c r="E127" s="16"/>
      <c r="F127" s="16"/>
      <c r="G127" s="16"/>
      <c r="H127" s="16"/>
      <c r="I127" s="16"/>
      <c r="J127" s="13"/>
      <c r="K127" s="16"/>
      <c r="L127" s="16"/>
      <c r="M127" s="16"/>
      <c r="N127" s="16"/>
      <c r="O127" s="16"/>
      <c r="R127" s="20"/>
      <c r="T127" s="20"/>
      <c r="U127" s="16"/>
      <c r="V127" s="17"/>
      <c r="W127" s="17"/>
    </row>
    <row r="128" spans="18:23">
      <c r="R128" s="20"/>
      <c r="T128" s="20"/>
      <c r="V128" s="20"/>
      <c r="W128" s="17"/>
    </row>
    <row r="129" spans="18:23">
      <c r="R129" s="20"/>
      <c r="T129" s="20"/>
      <c r="V129" s="20"/>
      <c r="W129" s="17"/>
    </row>
    <row r="130" spans="18:23">
      <c r="R130" s="20"/>
      <c r="T130" s="20"/>
      <c r="V130" s="20"/>
      <c r="W130" s="17"/>
    </row>
    <row r="131" spans="18:23">
      <c r="R131" s="20"/>
      <c r="T131" s="20"/>
      <c r="V131" s="20"/>
      <c r="W131" s="17"/>
    </row>
    <row r="132" spans="18:23">
      <c r="R132" s="20"/>
      <c r="T132" s="20"/>
      <c r="V132" s="20"/>
      <c r="W132" s="17"/>
    </row>
    <row r="133" spans="18:23">
      <c r="R133" s="20"/>
      <c r="T133" s="20"/>
      <c r="V133" s="17"/>
      <c r="W133" s="17"/>
    </row>
    <row r="134" spans="4:23">
      <c r="D134" s="16"/>
      <c r="E134" s="16"/>
      <c r="F134" s="16"/>
      <c r="G134" s="16"/>
      <c r="H134" s="16"/>
      <c r="I134" s="16"/>
      <c r="J134" s="13"/>
      <c r="K134" s="16"/>
      <c r="L134" s="16"/>
      <c r="M134" s="16"/>
      <c r="N134" s="16"/>
      <c r="O134" s="16"/>
      <c r="R134" s="20"/>
      <c r="T134" s="20"/>
      <c r="U134" s="16"/>
      <c r="V134" s="17"/>
      <c r="W134" s="17"/>
    </row>
    <row r="135" spans="18:23">
      <c r="R135" s="20"/>
      <c r="T135" s="20"/>
      <c r="V135" s="20"/>
      <c r="W135" s="17"/>
    </row>
    <row r="136" spans="18:23">
      <c r="R136" s="20"/>
      <c r="T136" s="20"/>
      <c r="V136" s="20"/>
      <c r="W136" s="17"/>
    </row>
    <row r="137" spans="18:23">
      <c r="R137" s="20"/>
      <c r="T137" s="20"/>
      <c r="V137" s="20"/>
      <c r="W137" s="17"/>
    </row>
    <row r="138" spans="22:23">
      <c r="V138" s="20"/>
      <c r="W138" s="17"/>
    </row>
    <row r="139" spans="22:23">
      <c r="V139" s="20"/>
      <c r="W139" s="17"/>
    </row>
    <row r="140" spans="22:23">
      <c r="V140" s="17"/>
      <c r="W140" s="20"/>
    </row>
    <row r="141" spans="4:23">
      <c r="D141" s="16"/>
      <c r="E141" s="16"/>
      <c r="F141" s="16"/>
      <c r="G141" s="16"/>
      <c r="H141" s="16"/>
      <c r="I141" s="16"/>
      <c r="J141" s="13"/>
      <c r="K141" s="16"/>
      <c r="L141" s="16"/>
      <c r="M141" s="16"/>
      <c r="N141" s="16"/>
      <c r="O141" s="16"/>
      <c r="V141" s="17"/>
      <c r="W141" s="17"/>
    </row>
    <row r="142" spans="22:23">
      <c r="V142" s="20"/>
      <c r="W142" s="17"/>
    </row>
    <row r="143" spans="22:23">
      <c r="V143" s="20"/>
      <c r="W143" s="17"/>
    </row>
    <row r="144" spans="22:23">
      <c r="V144" s="20"/>
      <c r="W144" s="17"/>
    </row>
    <row r="145" spans="22:23">
      <c r="V145" s="20"/>
      <c r="W145" s="17"/>
    </row>
    <row r="146" spans="1:2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17"/>
    </row>
    <row r="147" spans="1:2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spans="1:2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</row>
    <row r="149" spans="1:2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0" spans="1:2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</row>
    <row r="151" spans="1:2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spans="1:2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</row>
    <row r="153" spans="1:2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</row>
    <row r="154" spans="1:2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</row>
    <row r="155" spans="1:2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</row>
    <row r="156" spans="1:2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</row>
    <row r="157" spans="1:2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</row>
    <row r="158" spans="1:2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</row>
    <row r="159" spans="1:19">
      <c r="A159" s="20"/>
      <c r="B159" s="20"/>
      <c r="C159" s="20"/>
      <c r="D159" s="20"/>
      <c r="E159" s="20"/>
      <c r="H159" s="20"/>
      <c r="I159" s="20"/>
      <c r="J159" s="20"/>
      <c r="K159" s="20"/>
      <c r="L159" s="20"/>
      <c r="O159" s="20"/>
      <c r="P159" s="20"/>
      <c r="Q159" s="20"/>
      <c r="R159" s="20"/>
      <c r="S159" s="20"/>
    </row>
    <row r="160" spans="1:19">
      <c r="A160" s="20"/>
      <c r="B160" s="20"/>
      <c r="C160" s="20"/>
      <c r="D160" s="20"/>
      <c r="E160" s="20"/>
      <c r="H160" s="20"/>
      <c r="I160" s="20"/>
      <c r="J160" s="20"/>
      <c r="K160" s="20"/>
      <c r="L160" s="20"/>
      <c r="O160" s="20"/>
      <c r="P160" s="20"/>
      <c r="Q160" s="20"/>
      <c r="R160" s="20"/>
      <c r="S160" s="20"/>
    </row>
    <row r="161" spans="1:21">
      <c r="A161" s="20"/>
      <c r="B161" s="7"/>
      <c r="C161" s="11"/>
      <c r="D161" s="11"/>
      <c r="E161" s="7"/>
      <c r="F161" s="11"/>
      <c r="G161" s="11"/>
      <c r="H161" s="20"/>
      <c r="I161" s="7"/>
      <c r="J161" s="11"/>
      <c r="K161" s="11"/>
      <c r="L161" s="7"/>
      <c r="M161" s="11"/>
      <c r="N161" s="11"/>
      <c r="O161" s="20"/>
      <c r="P161" s="7"/>
      <c r="Q161" s="11"/>
      <c r="R161" s="11"/>
      <c r="S161" s="7"/>
      <c r="T161" s="11"/>
      <c r="U161" s="11"/>
    </row>
    <row r="162" spans="1:21">
      <c r="A162" s="20"/>
      <c r="B162" s="11"/>
      <c r="C162" s="11"/>
      <c r="D162" s="11"/>
      <c r="E162" s="11"/>
      <c r="F162" s="11"/>
      <c r="G162" s="11"/>
      <c r="H162" s="20"/>
      <c r="I162" s="11"/>
      <c r="J162" s="11"/>
      <c r="K162" s="11"/>
      <c r="L162" s="11"/>
      <c r="M162" s="11"/>
      <c r="N162" s="11"/>
      <c r="O162" s="20"/>
      <c r="P162" s="11"/>
      <c r="Q162" s="11"/>
      <c r="R162" s="11"/>
      <c r="S162" s="11"/>
      <c r="T162" s="11"/>
      <c r="U162" s="11"/>
    </row>
    <row r="163" spans="1:21">
      <c r="A163" s="20"/>
      <c r="B163" s="11"/>
      <c r="C163" s="11"/>
      <c r="D163" s="11"/>
      <c r="E163" s="11"/>
      <c r="F163" s="11"/>
      <c r="G163" s="11"/>
      <c r="H163" s="20"/>
      <c r="I163" s="11"/>
      <c r="J163" s="11"/>
      <c r="K163" s="11"/>
      <c r="L163" s="11"/>
      <c r="M163" s="11"/>
      <c r="N163" s="11"/>
      <c r="O163" s="20"/>
      <c r="P163" s="11"/>
      <c r="Q163" s="11"/>
      <c r="R163" s="11"/>
      <c r="S163" s="11"/>
      <c r="T163" s="11"/>
      <c r="U163" s="11"/>
    </row>
    <row r="164" spans="1:21">
      <c r="A164" s="20"/>
      <c r="B164" s="11"/>
      <c r="C164" s="11"/>
      <c r="D164" s="11"/>
      <c r="E164" s="11"/>
      <c r="F164" s="11"/>
      <c r="G164" s="11"/>
      <c r="H164" s="20"/>
      <c r="I164" s="11"/>
      <c r="J164" s="11"/>
      <c r="K164" s="11"/>
      <c r="L164" s="11"/>
      <c r="M164" s="11"/>
      <c r="N164" s="11"/>
      <c r="O164" s="20"/>
      <c r="P164" s="11"/>
      <c r="Q164" s="11"/>
      <c r="R164" s="11"/>
      <c r="S164" s="11"/>
      <c r="T164" s="11"/>
      <c r="U164" s="11"/>
    </row>
    <row r="165" spans="1:21">
      <c r="A165" s="20"/>
      <c r="B165" s="11"/>
      <c r="C165" s="11"/>
      <c r="D165" s="11"/>
      <c r="E165" s="11"/>
      <c r="F165" s="20"/>
      <c r="G165" s="11"/>
      <c r="H165" s="20"/>
      <c r="I165" s="11"/>
      <c r="J165" s="11"/>
      <c r="K165" s="11"/>
      <c r="L165" s="11"/>
      <c r="M165" s="20"/>
      <c r="N165" s="11"/>
      <c r="O165" s="20"/>
      <c r="P165" s="11"/>
      <c r="Q165" s="11"/>
      <c r="R165" s="11"/>
      <c r="S165" s="11"/>
      <c r="T165" s="20"/>
      <c r="U165" s="11"/>
    </row>
    <row r="166" spans="1:21">
      <c r="A166" s="20"/>
      <c r="B166" s="11"/>
      <c r="C166" s="11"/>
      <c r="D166" s="11"/>
      <c r="E166" s="11"/>
      <c r="F166" s="20"/>
      <c r="G166" s="11"/>
      <c r="H166" s="20"/>
      <c r="I166" s="11"/>
      <c r="J166" s="11"/>
      <c r="K166" s="11"/>
      <c r="L166" s="11"/>
      <c r="M166" s="20"/>
      <c r="N166" s="11"/>
      <c r="O166" s="20"/>
      <c r="P166" s="11"/>
      <c r="Q166" s="11"/>
      <c r="R166" s="11"/>
      <c r="S166" s="11"/>
      <c r="T166" s="20"/>
      <c r="U166" s="11"/>
    </row>
    <row r="167" spans="1:21">
      <c r="A167" s="20"/>
      <c r="B167" s="11"/>
      <c r="C167" s="11"/>
      <c r="D167" s="11"/>
      <c r="E167" s="11"/>
      <c r="F167" s="20"/>
      <c r="G167" s="11"/>
      <c r="H167" s="20"/>
      <c r="I167" s="11"/>
      <c r="J167" s="11"/>
      <c r="K167" s="11"/>
      <c r="L167" s="11"/>
      <c r="M167" s="20"/>
      <c r="N167" s="11"/>
      <c r="O167" s="20"/>
      <c r="P167" s="11"/>
      <c r="Q167" s="11"/>
      <c r="R167" s="11"/>
      <c r="S167" s="11"/>
      <c r="T167" s="20"/>
      <c r="U167" s="11"/>
    </row>
    <row r="168" spans="8:8">
      <c r="H168" s="11"/>
    </row>
    <row r="169" spans="8:8">
      <c r="H169" s="11"/>
    </row>
    <row r="170" spans="8:8">
      <c r="H170" s="11"/>
    </row>
    <row r="171" spans="1:22">
      <c r="A171" s="20"/>
      <c r="B171" s="20"/>
      <c r="C171" s="20"/>
      <c r="D171" s="20"/>
      <c r="E171" s="20"/>
      <c r="F171" s="20"/>
      <c r="G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>
      <c r="A172" s="20"/>
      <c r="B172" s="20"/>
      <c r="C172" s="20"/>
      <c r="D172" s="20"/>
      <c r="E172" s="20"/>
      <c r="F172" s="20"/>
      <c r="G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>
      <c r="A173" s="20"/>
      <c r="B173" s="20"/>
      <c r="C173" s="20"/>
      <c r="D173" s="20"/>
      <c r="E173" s="20"/>
      <c r="F173" s="20"/>
      <c r="G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>
      <c r="A174" s="20"/>
      <c r="B174" s="20"/>
      <c r="C174" s="20"/>
      <c r="D174" s="20"/>
      <c r="E174" s="20"/>
      <c r="F174" s="20"/>
      <c r="G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>
      <c r="A175" s="20"/>
      <c r="B175" s="20"/>
      <c r="C175" s="20"/>
      <c r="D175" s="20"/>
      <c r="E175" s="20"/>
      <c r="F175" s="20"/>
      <c r="G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>
      <c r="A176" s="20"/>
      <c r="B176" s="20"/>
      <c r="C176" s="20"/>
      <c r="D176" s="20"/>
      <c r="E176" s="20"/>
      <c r="F176" s="20"/>
      <c r="G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>
      <c r="A177" s="20"/>
      <c r="B177" s="20"/>
      <c r="C177" s="20"/>
      <c r="D177" s="20"/>
      <c r="E177" s="20"/>
      <c r="F177" s="20"/>
      <c r="G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>
      <c r="A178" s="20"/>
      <c r="B178" s="20"/>
      <c r="C178" s="20"/>
      <c r="D178" s="20"/>
      <c r="E178" s="20"/>
      <c r="F178" s="20"/>
      <c r="G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>
      <c r="A179" s="20"/>
      <c r="B179" s="20"/>
      <c r="C179" s="20"/>
      <c r="D179" s="20"/>
      <c r="E179" s="20"/>
      <c r="F179" s="20"/>
      <c r="G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>
      <c r="A180" s="20"/>
      <c r="B180" s="20"/>
      <c r="C180" s="20"/>
      <c r="D180" s="20"/>
      <c r="E180" s="20"/>
      <c r="F180" s="20"/>
      <c r="G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>
      <c r="A181" s="20"/>
      <c r="B181" s="20"/>
      <c r="C181" s="20"/>
      <c r="D181" s="20"/>
      <c r="E181" s="20"/>
      <c r="F181" s="7"/>
      <c r="G181" s="11"/>
      <c r="I181" s="20"/>
      <c r="J181" s="20"/>
      <c r="K181" s="20"/>
      <c r="L181" s="20"/>
      <c r="M181" s="20"/>
      <c r="N181" s="7"/>
      <c r="O181" s="11"/>
      <c r="P181" s="20"/>
      <c r="Q181" s="20"/>
      <c r="R181" s="20"/>
      <c r="S181" s="20"/>
      <c r="T181" s="20"/>
      <c r="U181" s="7"/>
      <c r="V181" s="11"/>
    </row>
    <row r="182" spans="1:22">
      <c r="A182" s="20"/>
      <c r="B182" s="20"/>
      <c r="C182" s="20"/>
      <c r="D182" s="20"/>
      <c r="E182" s="20"/>
      <c r="I182" s="20"/>
      <c r="J182" s="20"/>
      <c r="K182" s="20"/>
      <c r="L182" s="20"/>
      <c r="M182" s="20"/>
      <c r="P182" s="20"/>
      <c r="Q182" s="20"/>
      <c r="R182" s="20"/>
      <c r="S182" s="20"/>
      <c r="T182" s="20"/>
      <c r="V182" s="17"/>
    </row>
    <row r="183" spans="1:22">
      <c r="A183" s="20"/>
      <c r="B183" s="20"/>
      <c r="C183" s="20"/>
      <c r="D183" s="20"/>
      <c r="E183" s="20"/>
      <c r="I183" s="20"/>
      <c r="J183" s="20"/>
      <c r="K183" s="20"/>
      <c r="L183" s="20"/>
      <c r="M183" s="20"/>
      <c r="P183" s="20"/>
      <c r="Q183" s="20"/>
      <c r="R183" s="20"/>
      <c r="S183" s="20"/>
      <c r="T183" s="20"/>
      <c r="V183" s="17"/>
    </row>
    <row r="184" spans="1:22">
      <c r="A184" s="20"/>
      <c r="B184" s="20"/>
      <c r="C184" s="20"/>
      <c r="D184" s="20"/>
      <c r="E184" s="20"/>
      <c r="I184" s="20"/>
      <c r="J184" s="20"/>
      <c r="K184" s="20"/>
      <c r="L184" s="20"/>
      <c r="M184" s="20"/>
      <c r="P184" s="20"/>
      <c r="Q184" s="20"/>
      <c r="R184" s="20"/>
      <c r="S184" s="20"/>
      <c r="T184" s="20"/>
      <c r="V184" s="17"/>
    </row>
    <row r="185" spans="1:22">
      <c r="A185" s="20"/>
      <c r="B185" s="20"/>
      <c r="C185" s="11"/>
      <c r="D185" s="11"/>
      <c r="E185" s="7"/>
      <c r="F185" s="11"/>
      <c r="G185" s="11"/>
      <c r="I185" s="20"/>
      <c r="J185" s="20"/>
      <c r="K185" s="20"/>
      <c r="L185" s="20"/>
      <c r="M185" s="20"/>
      <c r="P185" s="20"/>
      <c r="Q185" s="20"/>
      <c r="R185" s="11"/>
      <c r="S185" s="11"/>
      <c r="T185" s="7"/>
      <c r="U185" s="11"/>
      <c r="V185" s="11"/>
    </row>
    <row r="186" spans="1:22">
      <c r="A186" s="20"/>
      <c r="B186" s="11"/>
      <c r="C186" s="11"/>
      <c r="D186" s="11"/>
      <c r="E186" s="11"/>
      <c r="F186" s="11"/>
      <c r="G186" s="11"/>
      <c r="I186" s="20"/>
      <c r="J186" s="20"/>
      <c r="K186" s="20"/>
      <c r="L186" s="20"/>
      <c r="M186" s="20"/>
      <c r="P186" s="20"/>
      <c r="Q186" s="11"/>
      <c r="R186" s="11"/>
      <c r="S186" s="11"/>
      <c r="T186" s="11"/>
      <c r="U186" s="11"/>
      <c r="V186" s="11"/>
    </row>
    <row r="187" spans="1:22">
      <c r="A187" s="20"/>
      <c r="B187" s="11"/>
      <c r="C187" s="11"/>
      <c r="D187" s="11"/>
      <c r="E187" s="11"/>
      <c r="F187" s="11"/>
      <c r="G187" s="11"/>
      <c r="I187" s="20"/>
      <c r="J187" s="20"/>
      <c r="K187" s="20"/>
      <c r="L187" s="20"/>
      <c r="M187" s="20"/>
      <c r="P187" s="20"/>
      <c r="Q187" s="11"/>
      <c r="R187" s="11"/>
      <c r="S187" s="11"/>
      <c r="T187" s="11"/>
      <c r="U187" s="11"/>
      <c r="V187" s="11"/>
    </row>
    <row r="188" spans="1:22">
      <c r="A188" s="20"/>
      <c r="B188" s="11"/>
      <c r="C188" s="11"/>
      <c r="D188" s="11"/>
      <c r="E188" s="11"/>
      <c r="F188" s="11"/>
      <c r="G188" s="11"/>
      <c r="I188" s="20"/>
      <c r="J188" s="20"/>
      <c r="K188" s="11"/>
      <c r="L188" s="11"/>
      <c r="M188" s="7"/>
      <c r="N188" s="11"/>
      <c r="O188" s="11"/>
      <c r="P188" s="20"/>
      <c r="Q188" s="11"/>
      <c r="R188" s="11"/>
      <c r="S188" s="11"/>
      <c r="T188" s="11"/>
      <c r="U188" s="11"/>
      <c r="V188" s="11"/>
    </row>
    <row r="189" spans="1:22">
      <c r="A189" s="20"/>
      <c r="B189" s="11"/>
      <c r="C189" s="11"/>
      <c r="D189" s="11"/>
      <c r="E189" s="11"/>
      <c r="F189" s="20"/>
      <c r="G189" s="11"/>
      <c r="J189" s="11"/>
      <c r="K189" s="11"/>
      <c r="L189" s="11"/>
      <c r="M189" s="11"/>
      <c r="N189" s="11"/>
      <c r="O189" s="11"/>
      <c r="P189" s="20"/>
      <c r="Q189" s="11"/>
      <c r="R189" s="11"/>
      <c r="S189" s="11"/>
      <c r="T189" s="11"/>
      <c r="U189" s="20"/>
      <c r="V189" s="11"/>
    </row>
    <row r="190" spans="1:22">
      <c r="A190" s="20"/>
      <c r="B190" s="11"/>
      <c r="C190" s="11"/>
      <c r="D190" s="11"/>
      <c r="E190" s="11"/>
      <c r="F190" s="20"/>
      <c r="G190" s="11"/>
      <c r="J190" s="11"/>
      <c r="K190" s="11"/>
      <c r="L190" s="11"/>
      <c r="M190" s="11"/>
      <c r="N190" s="11"/>
      <c r="O190" s="11"/>
      <c r="P190" s="20"/>
      <c r="Q190" s="11"/>
      <c r="R190" s="11"/>
      <c r="S190" s="11"/>
      <c r="T190" s="11"/>
      <c r="U190" s="20"/>
      <c r="V190" s="11"/>
    </row>
    <row r="191" spans="1:22">
      <c r="A191" s="20"/>
      <c r="B191" s="11"/>
      <c r="C191" s="11"/>
      <c r="D191" s="11"/>
      <c r="E191" s="11"/>
      <c r="F191" s="20"/>
      <c r="G191" s="11"/>
      <c r="J191" s="11"/>
      <c r="K191" s="11"/>
      <c r="L191" s="11"/>
      <c r="M191" s="11"/>
      <c r="N191" s="11"/>
      <c r="O191" s="11"/>
      <c r="P191" s="20"/>
      <c r="Q191" s="11"/>
      <c r="R191" s="11"/>
      <c r="S191" s="11"/>
      <c r="T191" s="11"/>
      <c r="U191" s="20"/>
      <c r="V191" s="11"/>
    </row>
    <row r="192" spans="10:15">
      <c r="J192" s="11"/>
      <c r="K192" s="11"/>
      <c r="L192" s="11"/>
      <c r="M192" s="11"/>
      <c r="N192" s="20"/>
      <c r="O192" s="11"/>
    </row>
    <row r="193" spans="10:15">
      <c r="J193" s="11"/>
      <c r="K193" s="11"/>
      <c r="L193" s="11"/>
      <c r="M193" s="11"/>
      <c r="N193" s="20"/>
      <c r="O193" s="11"/>
    </row>
    <row r="194" spans="10:15">
      <c r="J194" s="11"/>
      <c r="K194" s="11"/>
      <c r="L194" s="11"/>
      <c r="M194" s="11"/>
      <c r="N194" s="20"/>
      <c r="O194" s="11"/>
    </row>
    <row r="206" spans="1:2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</row>
    <row r="207" spans="1:2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</row>
    <row r="208" spans="1:2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</row>
    <row r="209" spans="1:2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</row>
    <row r="210" spans="1:2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</row>
    <row r="211" spans="1:2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</row>
    <row r="212" spans="1:2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</row>
    <row r="213" spans="1:2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</row>
    <row r="214" spans="1:2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</row>
    <row r="215" spans="1:2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</row>
    <row r="216" spans="1:2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</row>
    <row r="217" spans="1:21">
      <c r="A217" s="20"/>
      <c r="B217" s="20"/>
      <c r="C217" s="20"/>
      <c r="D217" s="20"/>
      <c r="E217" s="20"/>
      <c r="F217" s="7"/>
      <c r="G217" s="7"/>
      <c r="H217" s="20"/>
      <c r="I217" s="20"/>
      <c r="J217" s="20"/>
      <c r="K217" s="20"/>
      <c r="L217" s="20"/>
      <c r="M217" s="7"/>
      <c r="N217" s="7"/>
      <c r="O217" s="20"/>
      <c r="P217" s="20"/>
      <c r="Q217" s="20"/>
      <c r="R217" s="20"/>
      <c r="S217" s="20"/>
      <c r="T217" s="7"/>
      <c r="U217" s="7"/>
    </row>
    <row r="218" spans="1:21">
      <c r="A218" s="20"/>
      <c r="B218" s="20"/>
      <c r="C218" s="20"/>
      <c r="D218" s="20"/>
      <c r="E218" s="20"/>
      <c r="F218" s="7"/>
      <c r="G218" s="7"/>
      <c r="H218" s="20"/>
      <c r="I218" s="20"/>
      <c r="J218" s="20"/>
      <c r="K218" s="20"/>
      <c r="L218" s="20"/>
      <c r="M218" s="7"/>
      <c r="N218" s="7"/>
      <c r="O218" s="20"/>
      <c r="P218" s="20"/>
      <c r="Q218" s="20"/>
      <c r="R218" s="20"/>
      <c r="S218" s="20"/>
      <c r="T218" s="7"/>
      <c r="U218" s="7"/>
    </row>
    <row r="219" spans="1:21">
      <c r="A219" s="20"/>
      <c r="B219" s="7"/>
      <c r="C219" s="11"/>
      <c r="D219" s="11"/>
      <c r="E219" s="7"/>
      <c r="F219" s="11"/>
      <c r="G219" s="20"/>
      <c r="H219" s="20"/>
      <c r="I219" s="7"/>
      <c r="J219" s="11"/>
      <c r="K219" s="11"/>
      <c r="L219" s="7"/>
      <c r="M219" s="11"/>
      <c r="N219" s="20"/>
      <c r="O219" s="20"/>
      <c r="P219" s="7"/>
      <c r="Q219" s="11"/>
      <c r="R219" s="11"/>
      <c r="S219" s="7"/>
      <c r="T219" s="11"/>
      <c r="U219" s="20"/>
    </row>
    <row r="220" spans="1:21">
      <c r="A220" s="20"/>
      <c r="B220" s="11"/>
      <c r="C220" s="11"/>
      <c r="D220" s="11"/>
      <c r="E220" s="11"/>
      <c r="F220" s="20"/>
      <c r="G220" s="20"/>
      <c r="H220" s="20"/>
      <c r="I220" s="11"/>
      <c r="J220" s="11"/>
      <c r="K220" s="11"/>
      <c r="L220" s="11"/>
      <c r="M220" s="20"/>
      <c r="N220" s="20"/>
      <c r="O220" s="20"/>
      <c r="P220" s="11"/>
      <c r="Q220" s="11"/>
      <c r="R220" s="11"/>
      <c r="S220" s="11"/>
      <c r="T220" s="20"/>
      <c r="U220" s="20"/>
    </row>
    <row r="221" spans="1:21">
      <c r="A221" s="20"/>
      <c r="B221" s="11"/>
      <c r="C221" s="11"/>
      <c r="D221" s="11"/>
      <c r="E221" s="11"/>
      <c r="F221" s="11"/>
      <c r="G221" s="11"/>
      <c r="H221" s="20"/>
      <c r="I221" s="11"/>
      <c r="J221" s="11"/>
      <c r="K221" s="11"/>
      <c r="L221" s="11"/>
      <c r="M221" s="11"/>
      <c r="N221" s="11"/>
      <c r="O221" s="20"/>
      <c r="P221" s="11"/>
      <c r="Q221" s="11"/>
      <c r="R221" s="11"/>
      <c r="S221" s="11"/>
      <c r="T221" s="11"/>
      <c r="U221" s="11"/>
    </row>
    <row r="222" spans="1:21">
      <c r="A222" s="20"/>
      <c r="B222" s="11"/>
      <c r="C222" s="11"/>
      <c r="D222" s="11"/>
      <c r="E222" s="11"/>
      <c r="F222" s="11"/>
      <c r="G222" s="11"/>
      <c r="H222" s="20"/>
      <c r="I222" s="11"/>
      <c r="J222" s="11"/>
      <c r="K222" s="11"/>
      <c r="L222" s="11"/>
      <c r="M222" s="11"/>
      <c r="N222" s="11"/>
      <c r="O222" s="20"/>
      <c r="P222" s="11"/>
      <c r="Q222" s="11"/>
      <c r="R222" s="11"/>
      <c r="S222" s="11"/>
      <c r="T222" s="11"/>
      <c r="U222" s="11"/>
    </row>
    <row r="223" spans="1:21">
      <c r="A223" s="20"/>
      <c r="B223" s="11"/>
      <c r="C223" s="11"/>
      <c r="D223" s="11"/>
      <c r="E223" s="11"/>
      <c r="F223" s="20"/>
      <c r="G223" s="11"/>
      <c r="H223" s="20"/>
      <c r="I223" s="11"/>
      <c r="J223" s="11"/>
      <c r="K223" s="11"/>
      <c r="L223" s="11"/>
      <c r="M223" s="20"/>
      <c r="N223" s="11"/>
      <c r="O223" s="20"/>
      <c r="P223" s="11"/>
      <c r="Q223" s="11"/>
      <c r="R223" s="11"/>
      <c r="S223" s="11"/>
      <c r="T223" s="20"/>
      <c r="U223" s="11"/>
    </row>
    <row r="224" spans="1:21">
      <c r="A224" s="11"/>
      <c r="B224" s="11"/>
      <c r="C224" s="11"/>
      <c r="D224" s="11"/>
      <c r="E224" s="11"/>
      <c r="F224" s="20"/>
      <c r="G224" s="11"/>
      <c r="H224" s="11"/>
      <c r="I224" s="11"/>
      <c r="J224" s="11"/>
      <c r="K224" s="11"/>
      <c r="L224" s="11"/>
      <c r="M224" s="20"/>
      <c r="N224" s="11"/>
      <c r="O224" s="11"/>
      <c r="P224" s="11"/>
      <c r="Q224" s="11"/>
      <c r="R224" s="11"/>
      <c r="S224" s="11"/>
      <c r="T224" s="20"/>
      <c r="U224" s="11"/>
    </row>
    <row r="225" spans="1:21">
      <c r="A225" s="11"/>
      <c r="B225" s="11"/>
      <c r="C225" s="11"/>
      <c r="D225" s="11"/>
      <c r="E225" s="11"/>
      <c r="F225" s="20"/>
      <c r="G225" s="11"/>
      <c r="H225" s="11"/>
      <c r="I225" s="11"/>
      <c r="J225" s="11"/>
      <c r="K225" s="11"/>
      <c r="L225" s="11"/>
      <c r="M225" s="20"/>
      <c r="N225" s="11"/>
      <c r="O225" s="11"/>
      <c r="P225" s="11"/>
      <c r="Q225" s="11"/>
      <c r="R225" s="11"/>
      <c r="S225" s="11"/>
      <c r="T225" s="20"/>
      <c r="U225" s="11"/>
    </row>
    <row r="226" spans="8:8">
      <c r="H226" s="7"/>
    </row>
    <row r="227" spans="1:2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</row>
    <row r="228" spans="1:2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</row>
    <row r="229" spans="1:2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</row>
    <row r="230" spans="1:2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</row>
    <row r="231" spans="1:2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</row>
    <row r="232" spans="1:2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</row>
    <row r="233" spans="1:2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</row>
    <row r="234" spans="1:2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</row>
    <row r="235" spans="1:2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</row>
    <row r="236" spans="1:2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</row>
    <row r="237" spans="1:2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</row>
    <row r="238" spans="1:21">
      <c r="A238" s="20"/>
      <c r="B238" s="20"/>
      <c r="C238" s="20"/>
      <c r="D238" s="20"/>
      <c r="E238" s="20"/>
      <c r="F238" s="7"/>
      <c r="G238" s="7"/>
      <c r="H238" s="20"/>
      <c r="I238" s="20"/>
      <c r="J238" s="20"/>
      <c r="K238" s="20"/>
      <c r="L238" s="20"/>
      <c r="M238" s="7"/>
      <c r="N238" s="7"/>
      <c r="O238" s="20"/>
      <c r="P238" s="20"/>
      <c r="Q238" s="20"/>
      <c r="R238" s="20"/>
      <c r="S238" s="20"/>
      <c r="T238" s="7"/>
      <c r="U238" s="7"/>
    </row>
    <row r="239" spans="1:21">
      <c r="A239" s="20"/>
      <c r="B239" s="20"/>
      <c r="C239" s="20"/>
      <c r="D239" s="20"/>
      <c r="E239" s="20"/>
      <c r="F239" s="7"/>
      <c r="G239" s="7"/>
      <c r="H239" s="20"/>
      <c r="I239" s="20"/>
      <c r="J239" s="20"/>
      <c r="K239" s="20"/>
      <c r="L239" s="20"/>
      <c r="M239" s="7"/>
      <c r="N239" s="7"/>
      <c r="O239" s="20"/>
      <c r="P239" s="20"/>
      <c r="Q239" s="20"/>
      <c r="R239" s="20"/>
      <c r="S239" s="20"/>
      <c r="T239" s="7"/>
      <c r="U239" s="7"/>
    </row>
    <row r="240" spans="1:21">
      <c r="A240" s="20"/>
      <c r="B240" s="7"/>
      <c r="C240" s="11"/>
      <c r="D240" s="11"/>
      <c r="E240" s="7"/>
      <c r="F240" s="11"/>
      <c r="G240" s="20"/>
      <c r="H240" s="20"/>
      <c r="I240" s="7"/>
      <c r="J240" s="11"/>
      <c r="K240" s="11"/>
      <c r="L240" s="7"/>
      <c r="M240" s="11"/>
      <c r="N240" s="20"/>
      <c r="O240" s="20"/>
      <c r="P240" s="7"/>
      <c r="Q240" s="11"/>
      <c r="R240" s="11"/>
      <c r="S240" s="7"/>
      <c r="T240" s="11"/>
      <c r="U240" s="20"/>
    </row>
    <row r="241" spans="1:21">
      <c r="A241" s="20"/>
      <c r="B241" s="11"/>
      <c r="C241" s="11"/>
      <c r="D241" s="11"/>
      <c r="E241" s="11"/>
      <c r="F241" s="20"/>
      <c r="G241" s="20"/>
      <c r="H241" s="20"/>
      <c r="I241" s="11"/>
      <c r="J241" s="11"/>
      <c r="K241" s="11"/>
      <c r="L241" s="11"/>
      <c r="M241" s="20"/>
      <c r="N241" s="20"/>
      <c r="O241" s="20"/>
      <c r="P241" s="11"/>
      <c r="Q241" s="11"/>
      <c r="R241" s="11"/>
      <c r="S241" s="11"/>
      <c r="T241" s="20"/>
      <c r="U241" s="20"/>
    </row>
    <row r="242" spans="1:21">
      <c r="A242" s="20"/>
      <c r="B242" s="11"/>
      <c r="C242" s="11"/>
      <c r="D242" s="11"/>
      <c r="E242" s="11"/>
      <c r="F242" s="11"/>
      <c r="G242" s="11"/>
      <c r="H242" s="20"/>
      <c r="I242" s="11"/>
      <c r="J242" s="11"/>
      <c r="K242" s="11"/>
      <c r="L242" s="11"/>
      <c r="M242" s="11"/>
      <c r="N242" s="11"/>
      <c r="O242" s="20"/>
      <c r="P242" s="11"/>
      <c r="Q242" s="11"/>
      <c r="R242" s="11"/>
      <c r="S242" s="11"/>
      <c r="T242" s="11"/>
      <c r="U242" s="11"/>
    </row>
    <row r="243" spans="1:21">
      <c r="A243" s="20"/>
      <c r="B243" s="11"/>
      <c r="C243" s="11"/>
      <c r="D243" s="11"/>
      <c r="E243" s="11"/>
      <c r="F243" s="11"/>
      <c r="G243" s="11"/>
      <c r="H243" s="20"/>
      <c r="I243" s="11"/>
      <c r="J243" s="11"/>
      <c r="K243" s="11"/>
      <c r="L243" s="11"/>
      <c r="M243" s="11"/>
      <c r="N243" s="11"/>
      <c r="O243" s="20"/>
      <c r="P243" s="11"/>
      <c r="Q243" s="11"/>
      <c r="R243" s="11"/>
      <c r="S243" s="11"/>
      <c r="T243" s="11"/>
      <c r="U243" s="11"/>
    </row>
    <row r="244" spans="1:21">
      <c r="A244" s="20"/>
      <c r="B244" s="11"/>
      <c r="C244" s="11"/>
      <c r="D244" s="11"/>
      <c r="E244" s="11"/>
      <c r="F244" s="20"/>
      <c r="G244" s="11"/>
      <c r="H244" s="20"/>
      <c r="I244" s="11"/>
      <c r="J244" s="11"/>
      <c r="K244" s="11"/>
      <c r="L244" s="11"/>
      <c r="M244" s="20"/>
      <c r="N244" s="11"/>
      <c r="O244" s="20"/>
      <c r="P244" s="11"/>
      <c r="Q244" s="11"/>
      <c r="R244" s="11"/>
      <c r="S244" s="11"/>
      <c r="T244" s="20"/>
      <c r="U244" s="11"/>
    </row>
    <row r="245" spans="1:21">
      <c r="A245" s="11"/>
      <c r="B245" s="11"/>
      <c r="C245" s="11"/>
      <c r="D245" s="11"/>
      <c r="E245" s="11"/>
      <c r="F245" s="20"/>
      <c r="G245" s="11"/>
      <c r="H245" s="11"/>
      <c r="I245" s="11"/>
      <c r="J245" s="11"/>
      <c r="K245" s="11"/>
      <c r="L245" s="11"/>
      <c r="M245" s="20"/>
      <c r="N245" s="11"/>
      <c r="O245" s="11"/>
      <c r="P245" s="11"/>
      <c r="Q245" s="11"/>
      <c r="R245" s="11"/>
      <c r="S245" s="11"/>
      <c r="T245" s="20"/>
      <c r="U245" s="11"/>
    </row>
    <row r="246" spans="1:21">
      <c r="A246" s="11"/>
      <c r="B246" s="11"/>
      <c r="C246" s="11"/>
      <c r="D246" s="11"/>
      <c r="E246" s="11"/>
      <c r="F246" s="20"/>
      <c r="G246" s="11"/>
      <c r="H246" s="11"/>
      <c r="I246" s="11"/>
      <c r="J246" s="11"/>
      <c r="K246" s="11"/>
      <c r="L246" s="11"/>
      <c r="M246" s="20"/>
      <c r="N246" s="11"/>
      <c r="O246" s="11"/>
      <c r="P246" s="11"/>
      <c r="Q246" s="11"/>
      <c r="R246" s="11"/>
      <c r="S246" s="11"/>
      <c r="T246" s="20"/>
      <c r="U246" s="11"/>
    </row>
    <row r="248" spans="1:1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P248" s="36"/>
    </row>
    <row r="249" spans="1:1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P249" s="36"/>
    </row>
    <row r="250" spans="1:1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P250" s="36"/>
    </row>
    <row r="251" spans="1:1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P251" s="36"/>
    </row>
    <row r="252" spans="1:1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P252" s="36"/>
    </row>
    <row r="253" spans="1:1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P253" s="36"/>
    </row>
    <row r="254" spans="1:1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spans="1:14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</row>
    <row r="256" spans="1:14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</row>
    <row r="257" spans="1:14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</row>
    <row r="258" spans="1:14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</row>
    <row r="259" spans="1:14">
      <c r="A259" s="20"/>
      <c r="B259" s="20"/>
      <c r="C259" s="20"/>
      <c r="D259" s="20"/>
      <c r="E259" s="20"/>
      <c r="F259" s="7"/>
      <c r="G259" s="7"/>
      <c r="H259" s="20"/>
      <c r="I259" s="20"/>
      <c r="J259" s="20"/>
      <c r="K259" s="20"/>
      <c r="L259" s="20"/>
      <c r="M259" s="7"/>
      <c r="N259" s="7"/>
    </row>
    <row r="260" spans="2:14">
      <c r="B260" s="20"/>
      <c r="C260" s="20"/>
      <c r="D260" s="20"/>
      <c r="E260" s="20"/>
      <c r="F260" s="7"/>
      <c r="G260" s="7"/>
      <c r="I260" s="20"/>
      <c r="J260" s="20"/>
      <c r="K260" s="20"/>
      <c r="L260" s="20"/>
      <c r="M260" s="7"/>
      <c r="N260" s="7"/>
    </row>
    <row r="261" spans="1:12">
      <c r="A261" s="20"/>
      <c r="B261" s="20"/>
      <c r="C261" s="20"/>
      <c r="D261" s="20"/>
      <c r="E261" s="20"/>
      <c r="H261" s="20"/>
      <c r="I261" s="20"/>
      <c r="J261" s="20"/>
      <c r="K261" s="20"/>
      <c r="L261" s="20"/>
    </row>
    <row r="262" spans="1:8">
      <c r="A262" s="20"/>
      <c r="H262" s="20"/>
    </row>
    <row r="263" spans="1:14">
      <c r="A263" s="20"/>
      <c r="B263" s="7"/>
      <c r="C263" s="11"/>
      <c r="D263" s="11"/>
      <c r="E263" s="7"/>
      <c r="F263" s="11"/>
      <c r="G263" s="20"/>
      <c r="H263" s="20"/>
      <c r="I263" s="7"/>
      <c r="J263" s="11"/>
      <c r="K263" s="11"/>
      <c r="L263" s="7"/>
      <c r="M263" s="11"/>
      <c r="N263" s="20"/>
    </row>
    <row r="264" spans="1:14">
      <c r="A264" s="20"/>
      <c r="B264" s="11"/>
      <c r="C264" s="11"/>
      <c r="D264" s="11"/>
      <c r="E264" s="11"/>
      <c r="F264" s="20"/>
      <c r="G264" s="20"/>
      <c r="H264" s="20"/>
      <c r="I264" s="11"/>
      <c r="J264" s="11"/>
      <c r="K264" s="11"/>
      <c r="L264" s="11"/>
      <c r="M264" s="20"/>
      <c r="N264" s="20"/>
    </row>
    <row r="265" spans="1:14">
      <c r="A265" s="20"/>
      <c r="B265" s="11"/>
      <c r="C265" s="11"/>
      <c r="D265" s="11"/>
      <c r="E265" s="11"/>
      <c r="F265" s="11"/>
      <c r="G265" s="11"/>
      <c r="H265" s="20"/>
      <c r="I265" s="11"/>
      <c r="J265" s="11"/>
      <c r="K265" s="11"/>
      <c r="L265" s="11"/>
      <c r="M265" s="11"/>
      <c r="N265" s="11"/>
    </row>
    <row r="266" spans="1: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>
      <c r="A267" s="11"/>
      <c r="B267" s="11"/>
      <c r="C267" s="11"/>
      <c r="D267" s="11"/>
      <c r="E267" s="11"/>
      <c r="F267" s="20"/>
      <c r="G267" s="11"/>
      <c r="H267" s="11"/>
      <c r="I267" s="11"/>
      <c r="J267" s="11"/>
      <c r="K267" s="11"/>
      <c r="L267" s="11"/>
      <c r="M267" s="20"/>
      <c r="N267" s="11"/>
    </row>
    <row r="268" spans="2:14">
      <c r="B268" s="11"/>
      <c r="C268" s="11"/>
      <c r="D268" s="11"/>
      <c r="E268" s="11"/>
      <c r="F268" s="20"/>
      <c r="G268" s="11"/>
      <c r="I268" s="11"/>
      <c r="J268" s="11"/>
      <c r="K268" s="11"/>
      <c r="L268" s="11"/>
      <c r="M268" s="20"/>
      <c r="N268" s="11"/>
    </row>
    <row r="269" spans="2:14">
      <c r="B269" s="11"/>
      <c r="C269" s="11"/>
      <c r="D269" s="11"/>
      <c r="E269" s="11"/>
      <c r="F269" s="20"/>
      <c r="G269" s="11"/>
      <c r="I269" s="11"/>
      <c r="J269" s="11"/>
      <c r="K269" s="11"/>
      <c r="L269" s="11"/>
      <c r="M269" s="20"/>
      <c r="N269" s="11"/>
    </row>
    <row r="271" spans="1:2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</row>
    <row r="272" spans="1:2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</row>
    <row r="273" spans="1:2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</row>
    <row r="274" spans="1:2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</row>
    <row r="275" spans="1:2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</row>
    <row r="276" spans="1:2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</row>
    <row r="277" spans="1:2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</row>
    <row r="278" spans="1:2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</row>
    <row r="279" spans="1:2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</row>
    <row r="280" spans="1:2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</row>
    <row r="281" spans="1:2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</row>
    <row r="282" spans="1:2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</row>
    <row r="283" spans="1:2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11"/>
      <c r="U283" s="7"/>
    </row>
    <row r="284" spans="1:21">
      <c r="A284" s="20"/>
      <c r="B284" s="20"/>
      <c r="C284" s="20"/>
      <c r="D284" s="20"/>
      <c r="E284" s="20"/>
      <c r="F284" s="11"/>
      <c r="G284" s="7"/>
      <c r="H284" s="20"/>
      <c r="I284" s="20"/>
      <c r="J284" s="20"/>
      <c r="K284" s="20"/>
      <c r="L284" s="20"/>
      <c r="M284" s="11"/>
      <c r="N284" s="7"/>
      <c r="O284" s="20"/>
      <c r="P284" s="20"/>
      <c r="Q284" s="20"/>
      <c r="R284" s="20"/>
      <c r="S284" s="20"/>
      <c r="T284" s="7"/>
      <c r="U284" s="11"/>
    </row>
    <row r="285" spans="1:21">
      <c r="A285" s="20"/>
      <c r="B285" s="20"/>
      <c r="C285" s="20"/>
      <c r="D285" s="20"/>
      <c r="E285" s="20"/>
      <c r="F285" s="7"/>
      <c r="G285" s="11"/>
      <c r="H285" s="20"/>
      <c r="I285" s="20"/>
      <c r="J285" s="20"/>
      <c r="K285" s="20"/>
      <c r="L285" s="20"/>
      <c r="M285" s="7"/>
      <c r="N285" s="11"/>
      <c r="O285" s="20"/>
      <c r="P285" s="20"/>
      <c r="Q285" s="20"/>
      <c r="R285" s="20"/>
      <c r="S285" s="20"/>
      <c r="T285" s="11"/>
      <c r="U285" s="11"/>
    </row>
    <row r="286" spans="1:21">
      <c r="A286" s="20"/>
      <c r="B286" s="20"/>
      <c r="C286" s="20"/>
      <c r="D286" s="20"/>
      <c r="E286" s="20"/>
      <c r="F286" s="11"/>
      <c r="G286" s="11"/>
      <c r="H286" s="20"/>
      <c r="I286" s="20"/>
      <c r="J286" s="20"/>
      <c r="K286" s="20"/>
      <c r="L286" s="20"/>
      <c r="M286" s="11"/>
      <c r="N286" s="11"/>
      <c r="O286" s="20"/>
      <c r="P286" s="7"/>
      <c r="Q286" s="11"/>
      <c r="R286" s="11"/>
      <c r="S286" s="7"/>
      <c r="T286" s="11"/>
      <c r="U286" s="11"/>
    </row>
    <row r="287" spans="1:21">
      <c r="A287" s="20"/>
      <c r="B287" s="20"/>
      <c r="C287" s="20"/>
      <c r="D287" s="20"/>
      <c r="E287" s="20"/>
      <c r="H287" s="20"/>
      <c r="I287" s="20"/>
      <c r="J287" s="20"/>
      <c r="K287" s="20"/>
      <c r="L287" s="20"/>
      <c r="O287" s="20"/>
      <c r="P287" s="11"/>
      <c r="Q287" s="11"/>
      <c r="R287" s="11"/>
      <c r="S287" s="11"/>
      <c r="U287" s="11"/>
    </row>
    <row r="288" spans="1:21">
      <c r="A288" s="20"/>
      <c r="B288" s="7"/>
      <c r="C288" s="11"/>
      <c r="D288" s="11"/>
      <c r="E288" s="7"/>
      <c r="F288" s="11"/>
      <c r="G288" s="11"/>
      <c r="H288" s="20"/>
      <c r="I288" s="7"/>
      <c r="J288" s="11"/>
      <c r="K288" s="11"/>
      <c r="L288" s="7"/>
      <c r="M288" s="11"/>
      <c r="N288" s="11"/>
      <c r="O288" s="20"/>
      <c r="P288" s="11"/>
      <c r="Q288" s="11"/>
      <c r="R288" s="11"/>
      <c r="S288" s="11"/>
      <c r="T288" s="11"/>
      <c r="U288" s="11"/>
    </row>
    <row r="289" spans="1:21">
      <c r="A289" s="20"/>
      <c r="B289" s="11"/>
      <c r="C289" s="11"/>
      <c r="D289" s="11"/>
      <c r="E289" s="11"/>
      <c r="G289" s="11"/>
      <c r="H289" s="20"/>
      <c r="I289" s="11"/>
      <c r="J289" s="11"/>
      <c r="K289" s="11"/>
      <c r="L289" s="11"/>
      <c r="N289" s="11"/>
      <c r="O289" s="20"/>
      <c r="P289" s="11"/>
      <c r="Q289" s="11"/>
      <c r="R289" s="11"/>
      <c r="S289" s="11"/>
      <c r="T289" s="11"/>
      <c r="U289" s="11"/>
    </row>
    <row r="290" spans="1:21">
      <c r="A290" s="20"/>
      <c r="B290" s="11"/>
      <c r="C290" s="11"/>
      <c r="D290" s="11"/>
      <c r="E290" s="11"/>
      <c r="F290" s="11"/>
      <c r="G290" s="11"/>
      <c r="H290" s="20"/>
      <c r="I290" s="11"/>
      <c r="J290" s="11"/>
      <c r="K290" s="11"/>
      <c r="L290" s="11"/>
      <c r="M290" s="11"/>
      <c r="N290" s="11"/>
      <c r="O290" s="20"/>
      <c r="P290" s="11"/>
      <c r="Q290" s="11"/>
      <c r="R290" s="11"/>
      <c r="S290" s="11"/>
      <c r="T290" s="20"/>
      <c r="U290" s="11"/>
    </row>
    <row r="291" spans="1:21">
      <c r="A291" s="20"/>
      <c r="B291" s="11"/>
      <c r="C291" s="11"/>
      <c r="D291" s="11"/>
      <c r="E291" s="11"/>
      <c r="F291" s="11"/>
      <c r="G291" s="11"/>
      <c r="H291" s="20"/>
      <c r="I291" s="11"/>
      <c r="J291" s="11"/>
      <c r="K291" s="11"/>
      <c r="L291" s="11"/>
      <c r="M291" s="11"/>
      <c r="N291" s="11"/>
      <c r="O291" s="20"/>
      <c r="P291" s="11"/>
      <c r="Q291" s="11"/>
      <c r="R291" s="11"/>
      <c r="S291" s="11"/>
      <c r="T291" s="20"/>
      <c r="U291" s="11"/>
    </row>
    <row r="292" spans="1:21">
      <c r="A292" s="20"/>
      <c r="B292" s="11"/>
      <c r="C292" s="11"/>
      <c r="D292" s="11"/>
      <c r="E292" s="11"/>
      <c r="F292" s="20"/>
      <c r="G292" s="11"/>
      <c r="H292" s="20"/>
      <c r="I292" s="11"/>
      <c r="J292" s="11"/>
      <c r="K292" s="11"/>
      <c r="L292" s="11"/>
      <c r="M292" s="20"/>
      <c r="N292" s="11"/>
      <c r="O292" s="20"/>
      <c r="P292" s="11"/>
      <c r="Q292" s="11"/>
      <c r="R292" s="11"/>
      <c r="S292" s="11"/>
      <c r="T292" s="20"/>
      <c r="U292" s="11"/>
    </row>
    <row r="293" spans="1:14">
      <c r="A293" s="20"/>
      <c r="B293" s="11"/>
      <c r="C293" s="11"/>
      <c r="D293" s="11"/>
      <c r="E293" s="11"/>
      <c r="F293" s="20"/>
      <c r="G293" s="11"/>
      <c r="H293" s="20"/>
      <c r="I293" s="11"/>
      <c r="J293" s="11"/>
      <c r="K293" s="11"/>
      <c r="L293" s="11"/>
      <c r="M293" s="20"/>
      <c r="N293" s="11"/>
    </row>
    <row r="294" spans="1:14">
      <c r="A294" s="20"/>
      <c r="B294" s="11"/>
      <c r="C294" s="11"/>
      <c r="D294" s="11"/>
      <c r="E294" s="11"/>
      <c r="F294" s="20"/>
      <c r="G294" s="11"/>
      <c r="H294" s="20"/>
      <c r="I294" s="11"/>
      <c r="J294" s="11"/>
      <c r="K294" s="11"/>
      <c r="L294" s="11"/>
      <c r="M294" s="20"/>
      <c r="N294" s="11"/>
    </row>
  </sheetData>
  <mergeCells count="2">
    <mergeCell ref="I24:L24"/>
    <mergeCell ref="T35:U35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4"/>
  <sheetViews>
    <sheetView topLeftCell="A34" workbookViewId="0">
      <selection activeCell="V61" sqref="V61"/>
    </sheetView>
  </sheetViews>
  <sheetFormatPr defaultColWidth="7.625" defaultRowHeight="15"/>
  <cols>
    <col min="1" max="21" width="8.625" style="17" customWidth="1"/>
    <col min="22" max="22" width="8.625" style="30" customWidth="1"/>
    <col min="23" max="23" width="8.625" style="36" customWidth="1"/>
    <col min="24" max="28" width="8.625" style="17" customWidth="1"/>
    <col min="29" max="29" width="7.625" style="17"/>
    <col min="30" max="16384" width="7.625" style="14"/>
  </cols>
  <sheetData>
    <row r="1" customHeight="1" spans="1:26">
      <c r="A1" s="11" t="str">
        <f>木桩!A1</f>
        <v>技能</v>
      </c>
      <c r="B1" s="11" t="str">
        <f>木桩!B1</f>
        <v>怒气</v>
      </c>
      <c r="C1" s="11" t="str">
        <f>木桩!C1</f>
        <v>实际系数</v>
      </c>
      <c r="D1" s="11" t="str">
        <f>木桩!D1</f>
        <v>基础伤害</v>
      </c>
      <c r="E1" s="11" t="str">
        <f>木桩!E1</f>
        <v>武伤系数</v>
      </c>
      <c r="F1" s="11" t="str">
        <f>木桩!F1</f>
        <v>伤害加成</v>
      </c>
      <c r="G1" s="11" t="str">
        <f>木桩!G1</f>
        <v>会心加成</v>
      </c>
      <c r="H1" s="11" t="str">
        <f>木桩!H1</f>
        <v>会效加成</v>
      </c>
      <c r="I1" s="11" t="s">
        <v>278</v>
      </c>
      <c r="J1" s="11" t="s">
        <v>26</v>
      </c>
      <c r="K1" s="11" t="s">
        <v>279</v>
      </c>
      <c r="L1" s="11" t="s">
        <v>36</v>
      </c>
      <c r="M1" s="11" t="s">
        <v>205</v>
      </c>
      <c r="N1" s="11" t="s">
        <v>15</v>
      </c>
      <c r="O1" s="11" t="s">
        <v>16</v>
      </c>
      <c r="P1" s="7" t="s">
        <v>280</v>
      </c>
      <c r="Q1" s="11" t="s">
        <v>75</v>
      </c>
      <c r="R1" s="11" t="s">
        <v>212</v>
      </c>
      <c r="S1" s="11" t="s">
        <v>213</v>
      </c>
      <c r="T1" s="20" t="s">
        <v>281</v>
      </c>
      <c r="U1" s="37" t="str">
        <f t="shared" ref="U1:V17" si="0">Y1</f>
        <v>实战属性</v>
      </c>
      <c r="V1" s="20"/>
      <c r="W1" s="41" t="str">
        <f>属性!H5</f>
        <v>裸buff属性</v>
      </c>
      <c r="X1" s="46"/>
      <c r="Y1" s="41" t="s">
        <v>197</v>
      </c>
      <c r="Z1" s="46"/>
    </row>
    <row r="2" customHeight="1" spans="1:27">
      <c r="A2" s="12" t="str">
        <f>木桩!A2</f>
        <v>昆吾·弦刃</v>
      </c>
      <c r="B2" s="11">
        <f>木桩!B2</f>
        <v>0</v>
      </c>
      <c r="C2" s="11">
        <f>木桩!C2</f>
        <v>0.854</v>
      </c>
      <c r="D2" s="11">
        <f>木桩!D2</f>
        <v>0</v>
      </c>
      <c r="E2" s="13">
        <f>木桩!E2</f>
        <v>0</v>
      </c>
      <c r="F2" s="13">
        <f ca="1">木桩!F2+Q$23</f>
        <v>0.0101333333333333</v>
      </c>
      <c r="G2" s="13">
        <f>木桩!G2</f>
        <v>0</v>
      </c>
      <c r="H2" s="13">
        <f>木桩!H2</f>
        <v>0</v>
      </c>
      <c r="I2" s="21">
        <f ca="1">(N:N*C:C+D:D+E:E*Q:Q)*(1+F:F)*(K:K*(L:L+H:H-1)+1-R:R-0.75*S:S)*(1+M:M)*INDEX($O$25:$O$29,MATCH($Q$27,$M$25:$M$29,))</f>
        <v>41934.4893782447</v>
      </c>
      <c r="J2" s="13">
        <f ca="1" t="shared" ref="J2:J18" si="1">INDEX(V:V,MATCH($1:$1,$U:$U,))+$G:$G</f>
        <v>0.433665199880085</v>
      </c>
      <c r="K2" s="15">
        <f ca="1" t="shared" ref="K2:K8" si="2">J:J+(0.211855500496661*J:J^6-0.937563819411654*J:J^5+1.77483619127542*J:J^4-1.89647323402313*J:J^3+1.2737744963305*J:J^2-0.565275505039552*J:J+0.164596522595162)*$D$28</f>
        <v>0.487805126715561</v>
      </c>
      <c r="L2" s="13">
        <f ca="1">INDEX(V2:V17,MATCH(1:1,U2:U17,))</f>
        <v>1.9433</v>
      </c>
      <c r="M2" s="13">
        <f ca="1">INDEX(V2:V17,MATCH(1:1,U2:U17,))</f>
        <v>0.902992590034019</v>
      </c>
      <c r="N2" s="21">
        <f ca="1">INDEX(V2:V17,MATCH(1:1,U2:U17,))+O:O*P:P</f>
        <v>17965.8209384615</v>
      </c>
      <c r="O2" s="21">
        <f ca="1">INDEX(V2:V17,MATCH(1:1,U2:U17,))</f>
        <v>7522.72307692308</v>
      </c>
      <c r="P2" s="40">
        <f t="shared" ref="P2:P8" si="3">60%+D$32*0.2*6/25+60%*(25+6*D$32)*(1+H$28)/H$27</f>
        <v>0.772</v>
      </c>
      <c r="Q2" s="21">
        <f ca="1">INDEX(V2:V17,MATCH(1:1,U2:U17,))</f>
        <v>751</v>
      </c>
      <c r="R2" s="13">
        <f ca="1">INDEX(V2:V17,MATCH(1:1,U2:U17,))</f>
        <v>0</v>
      </c>
      <c r="S2" s="13">
        <f ca="1">INDEX(V2:V17,MATCH(1:1,U2:U17,))</f>
        <v>0</v>
      </c>
      <c r="T2" s="20">
        <f>实战!T2</f>
        <v>45</v>
      </c>
      <c r="U2" s="20" t="str">
        <f t="shared" si="0"/>
        <v>身法</v>
      </c>
      <c r="V2" s="20">
        <f ca="1" t="shared" si="0"/>
        <v>1970.1</v>
      </c>
      <c r="W2" s="17" t="str">
        <f>属性!H6</f>
        <v>身法</v>
      </c>
      <c r="X2" s="17">
        <f>属性!I6</f>
        <v>1749</v>
      </c>
      <c r="Y2" s="17" t="s">
        <v>6</v>
      </c>
      <c r="Z2" s="17">
        <f ca="1">Z3*(1+G23)</f>
        <v>1970.1</v>
      </c>
      <c r="AA2" s="23"/>
    </row>
    <row r="3" customHeight="1" spans="1:27">
      <c r="A3" s="12" t="str">
        <f>木桩!A3</f>
        <v>昆吾·折锋</v>
      </c>
      <c r="B3" s="11">
        <f>木桩!B3</f>
        <v>0</v>
      </c>
      <c r="C3" s="14">
        <f>木桩!C3</f>
        <v>0.338</v>
      </c>
      <c r="D3" s="11">
        <f>木桩!D3</f>
        <v>0</v>
      </c>
      <c r="E3" s="13">
        <f>木桩!E3</f>
        <v>0</v>
      </c>
      <c r="F3" s="13">
        <f ca="1">木桩!F3+Q$23</f>
        <v>0.0101333333333333</v>
      </c>
      <c r="G3" s="13">
        <f>木桩!G3</f>
        <v>0</v>
      </c>
      <c r="H3" s="13">
        <f>木桩!H3</f>
        <v>0</v>
      </c>
      <c r="I3" s="21">
        <f ca="1" t="shared" ref="I3:I18" si="4">(N:N*C:C+D:D+E:E*Q:Q)*(1+F:F)*(K:K*(L:L+H:H-1)+1-R:R-0.75*S:S)*(1+M:M)*INDEX($O$25:$O$29,MATCH($Q$27,$M$25:$M$29,))</f>
        <v>16597.0227281578</v>
      </c>
      <c r="J3" s="13">
        <f ca="1" t="shared" si="1"/>
        <v>0.433665199880085</v>
      </c>
      <c r="K3" s="15">
        <f ca="1" t="shared" si="2"/>
        <v>0.487805126715561</v>
      </c>
      <c r="L3" s="13">
        <f ca="1">INDEX(V2:V17,MATCH(1:1,U2:U17,))</f>
        <v>1.9433</v>
      </c>
      <c r="M3" s="13">
        <f ca="1">INDEX(V2:V17,MATCH(1:1,U2:U17,))</f>
        <v>0.902992590034019</v>
      </c>
      <c r="N3" s="21">
        <f ca="1">INDEX(V2:V17,MATCH(1:1,U2:U17,))+O:O*P:P</f>
        <v>17965.8209384615</v>
      </c>
      <c r="O3" s="21">
        <f ca="1">INDEX(V2:V17,MATCH(1:1,U2:U17,))</f>
        <v>7522.72307692308</v>
      </c>
      <c r="P3" s="40">
        <f t="shared" si="3"/>
        <v>0.772</v>
      </c>
      <c r="Q3" s="21">
        <f ca="1">INDEX(V2:V17,MATCH(1:1,U2:U17,))</f>
        <v>751</v>
      </c>
      <c r="R3" s="13">
        <f ca="1">INDEX(V2:V17,MATCH(1:1,U2:U17,))</f>
        <v>0</v>
      </c>
      <c r="S3" s="13">
        <f ca="1">INDEX(V2:V17,MATCH(1:1,U2:U17,))</f>
        <v>0</v>
      </c>
      <c r="T3" s="20">
        <f>实战!T3</f>
        <v>20</v>
      </c>
      <c r="U3" s="20" t="str">
        <f t="shared" si="0"/>
        <v>基础身法</v>
      </c>
      <c r="V3" s="20">
        <f ca="1" t="shared" si="0"/>
        <v>1791</v>
      </c>
      <c r="W3" s="17" t="str">
        <f>属性!H7</f>
        <v>基础身法</v>
      </c>
      <c r="X3" s="17">
        <f>属性!I7</f>
        <v>1590</v>
      </c>
      <c r="Y3" s="17" t="s">
        <v>201</v>
      </c>
      <c r="Z3" s="17">
        <f ca="1">X3+G21</f>
        <v>1791</v>
      </c>
      <c r="AA3" s="23"/>
    </row>
    <row r="4" customHeight="1" spans="1:27">
      <c r="A4" s="12" t="str">
        <f>木桩!A4</f>
        <v>盾刀1</v>
      </c>
      <c r="B4" s="11">
        <f>木桩!B4</f>
        <v>5</v>
      </c>
      <c r="C4" s="11">
        <f>木桩!C4</f>
        <v>0.656</v>
      </c>
      <c r="D4" s="11">
        <f>木桩!D4</f>
        <v>137.5</v>
      </c>
      <c r="E4" s="13">
        <f>木桩!E4</f>
        <v>1</v>
      </c>
      <c r="F4" s="13">
        <f ca="1">木桩!F4+Q$23</f>
        <v>0.130133333333333</v>
      </c>
      <c r="G4" s="13">
        <f>木桩!G4</f>
        <v>0</v>
      </c>
      <c r="H4" s="13">
        <f>木桩!H4</f>
        <v>0</v>
      </c>
      <c r="I4" s="21">
        <f ca="1" t="shared" si="4"/>
        <v>38755.5404518177</v>
      </c>
      <c r="J4" s="13">
        <f ca="1" t="shared" si="1"/>
        <v>0.433665199880085</v>
      </c>
      <c r="K4" s="15">
        <f ca="1" t="shared" si="2"/>
        <v>0.487805126715561</v>
      </c>
      <c r="L4" s="13">
        <f ca="1">INDEX(V2:V17,MATCH(1:1,U2:U17,))</f>
        <v>1.9433</v>
      </c>
      <c r="M4" s="13">
        <f ca="1">INDEX(V2:V17,MATCH(1:1,U2:U17,))</f>
        <v>0.902992590034019</v>
      </c>
      <c r="N4" s="21">
        <f ca="1">INDEX(V2:V17,MATCH(1:1,U2:U17,))+O:O*P:P</f>
        <v>17965.8209384615</v>
      </c>
      <c r="O4" s="21">
        <f ca="1">INDEX(V2:V17,MATCH(1:1,U2:U17,))</f>
        <v>7522.72307692308</v>
      </c>
      <c r="P4" s="40">
        <f t="shared" si="3"/>
        <v>0.772</v>
      </c>
      <c r="Q4" s="21">
        <f ca="1">INDEX(V2:V17,MATCH(1:1,U2:U17,))</f>
        <v>751</v>
      </c>
      <c r="R4" s="13">
        <f ca="1">INDEX(V2:V17,MATCH(1:1,U2:U17,))</f>
        <v>0</v>
      </c>
      <c r="S4" s="13">
        <f ca="1">INDEX(V2:V17,MATCH(1:1,U2:U17,))</f>
        <v>0</v>
      </c>
      <c r="T4" s="20">
        <f>1-Q25/16</f>
        <v>0.9375</v>
      </c>
      <c r="U4" s="20" t="str">
        <f t="shared" si="0"/>
        <v>力道</v>
      </c>
      <c r="V4" s="20">
        <f ca="1" t="shared" si="0"/>
        <v>84</v>
      </c>
      <c r="W4" s="17" t="str">
        <f>属性!H8</f>
        <v>力道</v>
      </c>
      <c r="X4" s="17">
        <f>属性!I8</f>
        <v>32</v>
      </c>
      <c r="Y4" s="17" t="s">
        <v>191</v>
      </c>
      <c r="Z4" s="17">
        <f ca="1">(X4+H21)*(1+H23)</f>
        <v>84</v>
      </c>
      <c r="AA4" s="23"/>
    </row>
    <row r="5" customHeight="1" spans="1:27">
      <c r="A5" s="12" t="str">
        <f>木桩!A5</f>
        <v>废弃栏</v>
      </c>
      <c r="B5" s="11">
        <f>木桩!B5</f>
        <v>5</v>
      </c>
      <c r="C5" s="11">
        <f>木桩!C5</f>
        <v>0.9375</v>
      </c>
      <c r="D5" s="11">
        <f>木桩!D5</f>
        <v>137.5</v>
      </c>
      <c r="E5" s="13">
        <f>木桩!E5</f>
        <v>1</v>
      </c>
      <c r="F5" s="13">
        <f ca="1">木桩!F5+Q$23</f>
        <v>0.130133333333333</v>
      </c>
      <c r="G5" s="13">
        <f>木桩!G5</f>
        <v>0</v>
      </c>
      <c r="H5" s="13">
        <f>木桩!H5</f>
        <v>0</v>
      </c>
      <c r="I5" s="21">
        <f ca="1" t="shared" si="4"/>
        <v>54220.2892409119</v>
      </c>
      <c r="J5" s="13">
        <f ca="1" t="shared" si="1"/>
        <v>0.433665199880085</v>
      </c>
      <c r="K5" s="15">
        <f ca="1" t="shared" si="2"/>
        <v>0.487805126715561</v>
      </c>
      <c r="L5" s="13">
        <f ca="1">INDEX(V2:V17,MATCH(1:1,U2:U17,))</f>
        <v>1.9433</v>
      </c>
      <c r="M5" s="13">
        <f ca="1">INDEX(V2:V17,MATCH(1:1,U2:U17,))</f>
        <v>0.902992590034019</v>
      </c>
      <c r="N5" s="21">
        <f ca="1">INDEX(V2:V17,MATCH(1:1,U2:U17,))+O:O*P:P</f>
        <v>17965.8209384615</v>
      </c>
      <c r="O5" s="21">
        <f ca="1">INDEX(V2:V17,MATCH(1:1,U2:U17,))</f>
        <v>7522.72307692308</v>
      </c>
      <c r="P5" s="40">
        <f t="shared" si="3"/>
        <v>0.772</v>
      </c>
      <c r="Q5" s="21">
        <f ca="1">INDEX(V2:V17,MATCH(1:1,U2:U17,))</f>
        <v>751</v>
      </c>
      <c r="R5" s="13">
        <f ca="1">INDEX(V2:V17,MATCH(1:1,U2:U17,))</f>
        <v>0</v>
      </c>
      <c r="S5" s="13">
        <f ca="1">INDEX(V2:V17,MATCH(1:1,U2:U17,))</f>
        <v>0</v>
      </c>
      <c r="T5" s="20">
        <f>1-Q26/16</f>
        <v>0.875</v>
      </c>
      <c r="U5" s="20" t="str">
        <f t="shared" si="0"/>
        <v>面板攻击</v>
      </c>
      <c r="V5" s="20">
        <f ca="1" t="shared" si="0"/>
        <v>12158.2787230769</v>
      </c>
      <c r="W5" s="17" t="str">
        <f>属性!H9</f>
        <v>面板攻击</v>
      </c>
      <c r="X5" s="17">
        <f>属性!I9</f>
        <v>12484</v>
      </c>
      <c r="Y5" s="17" t="s">
        <v>15</v>
      </c>
      <c r="Z5" s="17">
        <f ca="1">Z6*(1+I23)+Z2*L26</f>
        <v>12158.2787230769</v>
      </c>
      <c r="AA5" s="23"/>
    </row>
    <row r="6" customHeight="1" spans="1:27">
      <c r="A6" s="12" t="str">
        <f>木桩!A6</f>
        <v>盾击</v>
      </c>
      <c r="B6" s="11">
        <f>木桩!B6</f>
        <v>5</v>
      </c>
      <c r="C6" s="11">
        <f>木桩!C6</f>
        <v>0.625</v>
      </c>
      <c r="D6" s="11">
        <f>木桩!D6</f>
        <v>109</v>
      </c>
      <c r="E6" s="13">
        <f>木桩!E6</f>
        <v>1</v>
      </c>
      <c r="F6" s="13">
        <f ca="1">木桩!F6+Q$23</f>
        <v>0.0101333333333333</v>
      </c>
      <c r="G6" s="13">
        <f>木桩!G6</f>
        <v>0</v>
      </c>
      <c r="H6" s="13">
        <f>木桩!H6</f>
        <v>0</v>
      </c>
      <c r="I6" s="21">
        <f ca="1" t="shared" si="4"/>
        <v>33040.2859519281</v>
      </c>
      <c r="J6" s="13">
        <f ca="1" t="shared" si="1"/>
        <v>0.433665199880085</v>
      </c>
      <c r="K6" s="15">
        <f ca="1" t="shared" si="2"/>
        <v>0.487805126715561</v>
      </c>
      <c r="L6" s="13">
        <f ca="1">INDEX(V2:V17,MATCH(1:1,U2:U17,))</f>
        <v>1.9433</v>
      </c>
      <c r="M6" s="13">
        <f ca="1">INDEX(V2:V17,MATCH(1:1,U2:U17,))</f>
        <v>0.902992590034019</v>
      </c>
      <c r="N6" s="21">
        <f ca="1">INDEX(V2:V17,MATCH(1:1,U2:U17,))+O:O*P:P</f>
        <v>17965.8209384615</v>
      </c>
      <c r="O6" s="21">
        <f ca="1">INDEX(V2:V17,MATCH(1:1,U2:U17,))</f>
        <v>7522.72307692308</v>
      </c>
      <c r="P6" s="40">
        <f t="shared" si="3"/>
        <v>0.772</v>
      </c>
      <c r="Q6" s="21">
        <f ca="1">INDEX(V2:V17,MATCH(1:1,U2:U17,))</f>
        <v>751</v>
      </c>
      <c r="R6" s="13">
        <f ca="1">INDEX(V2:V17,MATCH(1:1,U2:U17,))</f>
        <v>0</v>
      </c>
      <c r="S6" s="13">
        <f ca="1">INDEX(V2:V17,MATCH(1:1,U2:U17,))</f>
        <v>0</v>
      </c>
      <c r="T6" s="20">
        <f>1-Q25/16</f>
        <v>0.9375</v>
      </c>
      <c r="U6" s="20" t="str">
        <f t="shared" si="0"/>
        <v>基础攻击</v>
      </c>
      <c r="V6" s="20">
        <f ca="1" t="shared" si="0"/>
        <v>7522.72307692308</v>
      </c>
      <c r="W6" s="17" t="str">
        <f>属性!H10</f>
        <v>基础攻击</v>
      </c>
      <c r="X6" s="17">
        <f>属性!I10</f>
        <v>7315.92307692308</v>
      </c>
      <c r="Y6" s="17" t="s">
        <v>16</v>
      </c>
      <c r="Z6" s="17">
        <f ca="1">X6+I21+L28*(Z4-X4)</f>
        <v>7522.72307692308</v>
      </c>
      <c r="AA6" s="23"/>
    </row>
    <row r="7" customHeight="1" spans="1:27">
      <c r="A7" s="12" t="str">
        <f>木桩!A7</f>
        <v>盾压</v>
      </c>
      <c r="B7" s="11">
        <f>木桩!B7</f>
        <v>15</v>
      </c>
      <c r="C7" s="11">
        <f>木桩!C7</f>
        <v>1.243</v>
      </c>
      <c r="D7" s="11">
        <f>木桩!D7</f>
        <v>211</v>
      </c>
      <c r="E7" s="13">
        <f>木桩!E7</f>
        <v>1</v>
      </c>
      <c r="F7" s="13">
        <f ca="1">木桩!F7+Q$23</f>
        <v>0.200133333333333</v>
      </c>
      <c r="G7" s="13">
        <f>木桩!G7</f>
        <v>0.07</v>
      </c>
      <c r="H7" s="13">
        <f>木桩!H7</f>
        <v>0</v>
      </c>
      <c r="I7" s="21">
        <f ca="1" t="shared" si="4"/>
        <v>78760.2817622488</v>
      </c>
      <c r="J7" s="13">
        <f ca="1" t="shared" si="1"/>
        <v>0.503665199880085</v>
      </c>
      <c r="K7" s="15">
        <f ca="1" t="shared" si="2"/>
        <v>0.551656521857724</v>
      </c>
      <c r="L7" s="13">
        <f ca="1">INDEX(V2:V17,MATCH(1:1,U2:U17,))</f>
        <v>1.9433</v>
      </c>
      <c r="M7" s="13">
        <f ca="1">INDEX(V2:V17,MATCH(1:1,U2:U17,))</f>
        <v>0.902992590034019</v>
      </c>
      <c r="N7" s="21">
        <f ca="1">INDEX(V2:V17,MATCH(1:1,U2:U17,))+O:O*P:P</f>
        <v>17965.8209384615</v>
      </c>
      <c r="O7" s="21">
        <f ca="1">INDEX(V2:V17,MATCH(1:1,U2:U17,))</f>
        <v>7522.72307692308</v>
      </c>
      <c r="P7" s="40">
        <f t="shared" si="3"/>
        <v>0.772</v>
      </c>
      <c r="Q7" s="21">
        <f ca="1">INDEX(V2:V17,MATCH(1:1,U2:U17,))</f>
        <v>751</v>
      </c>
      <c r="R7" s="13">
        <f ca="1">INDEX(V2:V17,MATCH(1:1,U2:U17,))</f>
        <v>0</v>
      </c>
      <c r="S7" s="13">
        <f ca="1">INDEX(V2:V17,MATCH(1:1,U2:U17,))</f>
        <v>0</v>
      </c>
      <c r="T7" s="20">
        <f>1.5-Q24/16</f>
        <v>1.375</v>
      </c>
      <c r="U7" s="20" t="str">
        <f t="shared" si="0"/>
        <v>会心</v>
      </c>
      <c r="V7" s="20">
        <f ca="1" t="shared" si="0"/>
        <v>0.433665199880085</v>
      </c>
      <c r="W7" s="17" t="str">
        <f>属性!H11</f>
        <v>会心</v>
      </c>
      <c r="X7" s="17">
        <f>属性!I11</f>
        <v>0.2668</v>
      </c>
      <c r="Y7" s="17" t="s">
        <v>26</v>
      </c>
      <c r="Z7" s="17">
        <f ca="1">X7+K21/J25+(Z2-X2)*L29/J25+K23</f>
        <v>0.433665199880085</v>
      </c>
      <c r="AA7" s="23"/>
    </row>
    <row r="8" customHeight="1" spans="1:27">
      <c r="A8" s="12" t="str">
        <f>木桩!A8</f>
        <v>盾猛</v>
      </c>
      <c r="B8" s="11">
        <f>木桩!B8</f>
        <v>15</v>
      </c>
      <c r="C8" s="11">
        <f>木桩!C8</f>
        <v>2.4525</v>
      </c>
      <c r="D8" s="11">
        <f>木桩!D8</f>
        <v>340</v>
      </c>
      <c r="E8" s="13">
        <f>木桩!E8</f>
        <v>1</v>
      </c>
      <c r="F8" s="13">
        <f ca="1">木桩!F8+Q$23</f>
        <v>0.0101333333333333</v>
      </c>
      <c r="G8" s="13">
        <f>木桩!G8</f>
        <v>0.1</v>
      </c>
      <c r="H8" s="13">
        <f>木桩!H8</f>
        <v>0.1</v>
      </c>
      <c r="I8" s="21">
        <f ca="1" t="shared" si="4"/>
        <v>135607.209534485</v>
      </c>
      <c r="J8" s="13">
        <f ca="1" t="shared" si="1"/>
        <v>0.533665199880085</v>
      </c>
      <c r="K8" s="15">
        <f ca="1" t="shared" si="2"/>
        <v>0.579391677895563</v>
      </c>
      <c r="L8" s="13">
        <f ca="1">INDEX(V2:V17,MATCH(1:1,U2:U17,))</f>
        <v>1.9433</v>
      </c>
      <c r="M8" s="13">
        <f ca="1">INDEX(V2:V17,MATCH(1:1,U2:U17,))</f>
        <v>0.902992590034019</v>
      </c>
      <c r="N8" s="21">
        <f ca="1">INDEX(V2:V17,MATCH(1:1,U2:U17,))+O:O*P:P</f>
        <v>17965.8209384615</v>
      </c>
      <c r="O8" s="21">
        <f ca="1">INDEX(V2:V17,MATCH(1:1,U2:U17,))</f>
        <v>7522.72307692308</v>
      </c>
      <c r="P8" s="40">
        <f t="shared" si="3"/>
        <v>0.772</v>
      </c>
      <c r="Q8" s="21">
        <f ca="1">INDEX(V2:V17,MATCH(1:1,U2:U17,))</f>
        <v>751</v>
      </c>
      <c r="R8" s="13">
        <f ca="1">INDEX(V2:V17,MATCH(1:1,U2:U17,))</f>
        <v>0</v>
      </c>
      <c r="S8" s="13">
        <f ca="1">INDEX(V2:V17,MATCH(1:1,U2:U17,))</f>
        <v>0</v>
      </c>
      <c r="T8" s="20">
        <f>1.5-Q24/16</f>
        <v>1.375</v>
      </c>
      <c r="U8" s="20" t="str">
        <f t="shared" si="0"/>
        <v>会效</v>
      </c>
      <c r="V8" s="20">
        <f ca="1" t="shared" si="0"/>
        <v>1.9433</v>
      </c>
      <c r="W8" s="17" t="str">
        <f>属性!H12</f>
        <v>会效</v>
      </c>
      <c r="X8" s="17">
        <f>属性!I12</f>
        <v>1.8533</v>
      </c>
      <c r="Y8" s="17" t="s">
        <v>36</v>
      </c>
      <c r="Z8" s="17">
        <f ca="1">X8+(L21+(Z2-X2)*L30)/J26+L23</f>
        <v>1.9433</v>
      </c>
      <c r="AA8" s="23"/>
    </row>
    <row r="9" customHeight="1" spans="1:27">
      <c r="A9" s="12" t="str">
        <f>木桩!A9</f>
        <v>盾飞</v>
      </c>
      <c r="B9" s="11">
        <f>木桩!B9</f>
        <v>0</v>
      </c>
      <c r="C9" s="11">
        <f>木桩!C9</f>
        <v>0.168</v>
      </c>
      <c r="D9" s="11">
        <f>木桩!D9</f>
        <v>25</v>
      </c>
      <c r="E9" s="13">
        <f>木桩!E9</f>
        <v>1</v>
      </c>
      <c r="F9" s="13">
        <f ca="1">木桩!F9+Q$23</f>
        <v>0.130133333333333</v>
      </c>
      <c r="G9" s="13">
        <f>木桩!G9</f>
        <v>0.05</v>
      </c>
      <c r="H9" s="13">
        <f>木桩!H9</f>
        <v>0</v>
      </c>
      <c r="I9" s="21">
        <f ca="1" t="shared" si="4"/>
        <v>12530.6398657717</v>
      </c>
      <c r="J9" s="13">
        <f ca="1" t="shared" si="1"/>
        <v>0.483665199880085</v>
      </c>
      <c r="K9" s="15">
        <f ca="1" t="shared" ref="K9:K14" si="5">J:J+K$19</f>
        <v>0.532106492123557</v>
      </c>
      <c r="L9" s="13">
        <f ca="1">INDEX(V2:V17,MATCH(1:1,U2:U17,))</f>
        <v>1.9433</v>
      </c>
      <c r="M9" s="13">
        <f ca="1">INDEX(V2:V17,MATCH(1:1,U2:U17,))</f>
        <v>0.902992590034019</v>
      </c>
      <c r="N9" s="21">
        <f ca="1">INDEX(V2:V17,MATCH(1:1,U2:U17,))+O:O*P:P</f>
        <v>19094.2294</v>
      </c>
      <c r="O9" s="21">
        <f ca="1">INDEX(V2:V17,MATCH(1:1,U2:U17,))</f>
        <v>7522.72307692308</v>
      </c>
      <c r="P9" s="40">
        <f t="shared" ref="P9:P14" si="6">60%+D$32*0.2*6/25+0.15*D$21+60%*(25+6*D$32)*(1+H$28)/H$27</f>
        <v>0.922</v>
      </c>
      <c r="Q9" s="21">
        <f ca="1">INDEX(V2:V17,MATCH(1:1,U2:U17,))</f>
        <v>751</v>
      </c>
      <c r="R9" s="13">
        <f ca="1">INDEX(V2:V17,MATCH(1:1,U2:U17,))</f>
        <v>0</v>
      </c>
      <c r="S9" s="13">
        <f ca="1">INDEX(V2:V17,MATCH(1:1,U2:U17,))</f>
        <v>0</v>
      </c>
      <c r="T9" s="20">
        <f>1.5-Q24/16</f>
        <v>1.375</v>
      </c>
      <c r="U9" s="20" t="str">
        <f t="shared" si="0"/>
        <v>破防值</v>
      </c>
      <c r="V9" s="20">
        <f ca="1">Z9</f>
        <v>13855.6989</v>
      </c>
      <c r="W9" s="17" t="str">
        <f>属性!H13</f>
        <v>破防值</v>
      </c>
      <c r="X9" s="17">
        <f>属性!I13</f>
        <v>7718.1326</v>
      </c>
      <c r="Y9" s="17" t="s">
        <v>206</v>
      </c>
      <c r="Z9" s="17">
        <f ca="1">Z10*(1+O23)</f>
        <v>13855.6989</v>
      </c>
      <c r="AA9" s="23"/>
    </row>
    <row r="10" customHeight="1" spans="1:27">
      <c r="A10" s="12" t="str">
        <f>木桩!A10</f>
        <v>劫刀</v>
      </c>
      <c r="B10" s="11">
        <f>木桩!B10</f>
        <v>-5</v>
      </c>
      <c r="C10" s="11">
        <f>木桩!C10</f>
        <v>1.1</v>
      </c>
      <c r="D10" s="11">
        <f>木桩!D10</f>
        <v>124.5</v>
      </c>
      <c r="E10" s="13">
        <f>木桩!E10</f>
        <v>1</v>
      </c>
      <c r="F10" s="13">
        <f ca="1">木桩!F10+Q$23</f>
        <v>0.230133333333333</v>
      </c>
      <c r="G10" s="13">
        <f>木桩!G10</f>
        <v>0.15</v>
      </c>
      <c r="H10" s="13">
        <f>木桩!H10</f>
        <v>0.15</v>
      </c>
      <c r="I10" s="21">
        <f ca="1" t="shared" si="4"/>
        <v>84340.9750940621</v>
      </c>
      <c r="J10" s="13">
        <f ca="1" t="shared" si="1"/>
        <v>0.583665199880085</v>
      </c>
      <c r="K10" s="15">
        <f ca="1" t="shared" si="5"/>
        <v>0.632106492123557</v>
      </c>
      <c r="L10" s="13">
        <f ca="1">INDEX(V2:V17,MATCH(1:1,U2:U17,))</f>
        <v>1.9433</v>
      </c>
      <c r="M10" s="13">
        <f ca="1">INDEX(V2:V17,MATCH(1:1,U2:U17,))</f>
        <v>0.902992590034019</v>
      </c>
      <c r="N10" s="21">
        <f ca="1">INDEX(V2:V17,MATCH(1:1,U2:U17,))+O:O*P:P</f>
        <v>19094.2294</v>
      </c>
      <c r="O10" s="21">
        <f ca="1">INDEX(V2:V17,MATCH(1:1,U2:U17,))</f>
        <v>7522.72307692308</v>
      </c>
      <c r="P10" s="40">
        <f t="shared" si="6"/>
        <v>0.922</v>
      </c>
      <c r="Q10" s="21">
        <f ca="1">INDEX(V2:V17,MATCH(1:1,U2:U17,))</f>
        <v>751</v>
      </c>
      <c r="R10" s="13">
        <f ca="1">INDEX(V2:V17,MATCH(1:1,U2:U17,))</f>
        <v>0</v>
      </c>
      <c r="S10" s="13">
        <f ca="1">INDEX(V2:V17,MATCH(1:1,U2:U17,))</f>
        <v>0</v>
      </c>
      <c r="T10" s="20">
        <f>1.5-Q24/16</f>
        <v>1.375</v>
      </c>
      <c r="U10" s="20" t="str">
        <f t="shared" si="0"/>
        <v>基础破防</v>
      </c>
      <c r="V10" s="20">
        <f ca="1">Z10</f>
        <v>9237.1326</v>
      </c>
      <c r="W10" s="17" t="str">
        <f>属性!H14</f>
        <v>基础破防</v>
      </c>
      <c r="X10" s="17">
        <f>属性!I14</f>
        <v>7718.1326</v>
      </c>
      <c r="Y10" s="17" t="s">
        <v>47</v>
      </c>
      <c r="Z10" s="17">
        <f ca="1">X10+O21+(Z4-X4)*L27</f>
        <v>9237.1326</v>
      </c>
      <c r="AA10" s="23"/>
    </row>
    <row r="11" customHeight="1" spans="1:27">
      <c r="A11" s="12" t="str">
        <f>木桩!A11</f>
        <v>斩刀</v>
      </c>
      <c r="B11" s="11">
        <f>木桩!B11</f>
        <v>-15</v>
      </c>
      <c r="C11" s="11">
        <f>木桩!C11</f>
        <v>1.193</v>
      </c>
      <c r="D11" s="11">
        <f>木桩!D11</f>
        <v>233</v>
      </c>
      <c r="E11" s="13">
        <f>木桩!E11</f>
        <v>1</v>
      </c>
      <c r="F11" s="13">
        <f ca="1">木桩!F11+Q$23</f>
        <v>0.180133333333333</v>
      </c>
      <c r="G11" s="13">
        <f>木桩!G11</f>
        <v>0.04</v>
      </c>
      <c r="H11" s="13">
        <f>木桩!H11</f>
        <v>0</v>
      </c>
      <c r="I11" s="21">
        <f ca="1" t="shared" si="4"/>
        <v>77561.5421027481</v>
      </c>
      <c r="J11" s="13">
        <f ca="1" t="shared" si="1"/>
        <v>0.473665199880085</v>
      </c>
      <c r="K11" s="15">
        <f ca="1" t="shared" si="5"/>
        <v>0.522106492123557</v>
      </c>
      <c r="L11" s="13">
        <f ca="1">INDEX(V2:V17,MATCH(1:1,U2:U17,))</f>
        <v>1.9433</v>
      </c>
      <c r="M11" s="13">
        <f ca="1">INDEX(V2:V17,MATCH(1:1,U2:U17,))</f>
        <v>0.902992590034019</v>
      </c>
      <c r="N11" s="21">
        <f ca="1">INDEX(V2:V17,MATCH(1:1,U2:U17,))+O:O*P:P</f>
        <v>19094.2294</v>
      </c>
      <c r="O11" s="21">
        <f ca="1">INDEX(V2:V17,MATCH(1:1,U2:U17,))</f>
        <v>7522.72307692308</v>
      </c>
      <c r="P11" s="40">
        <f t="shared" si="6"/>
        <v>0.922</v>
      </c>
      <c r="Q11" s="21">
        <f ca="1">INDEX(V2:V17,MATCH(1:1,U2:U17,))</f>
        <v>751</v>
      </c>
      <c r="R11" s="13">
        <f ca="1">INDEX(V2:V17,MATCH(1:1,U2:U17,))</f>
        <v>0</v>
      </c>
      <c r="S11" s="13">
        <f ca="1">INDEX(V2:V17,MATCH(1:1,U2:U17,))</f>
        <v>0</v>
      </c>
      <c r="T11" s="20">
        <f>1.5-Q24/16</f>
        <v>1.375</v>
      </c>
      <c r="U11" s="20" t="str">
        <f t="shared" si="0"/>
        <v>破防</v>
      </c>
      <c r="V11" s="20">
        <f ca="1" t="shared" si="0"/>
        <v>0.902992590034019</v>
      </c>
      <c r="W11" s="17" t="str">
        <f>属性!H15</f>
        <v>破防</v>
      </c>
      <c r="X11" s="17">
        <f>属性!I15</f>
        <v>0.503</v>
      </c>
      <c r="Y11" s="17" t="s">
        <v>205</v>
      </c>
      <c r="Z11" s="17">
        <f ca="1">Z9/J30</f>
        <v>0.902992590034019</v>
      </c>
      <c r="AA11" s="23"/>
    </row>
    <row r="12" customHeight="1" spans="1:27">
      <c r="A12" s="12" t="str">
        <f>木桩!A12</f>
        <v>闪刀</v>
      </c>
      <c r="B12" s="11">
        <f>木桩!B12</f>
        <v>-15</v>
      </c>
      <c r="C12" s="11">
        <f>木桩!C12</f>
        <v>0.9</v>
      </c>
      <c r="D12" s="11">
        <f>木桩!D12</f>
        <v>157.5</v>
      </c>
      <c r="E12" s="13">
        <f>木桩!E12</f>
        <v>1</v>
      </c>
      <c r="F12" s="13">
        <f ca="1">木桩!F12+Q$23</f>
        <v>0.0101333333333333</v>
      </c>
      <c r="G12" s="13">
        <f>木桩!G12</f>
        <v>0</v>
      </c>
      <c r="H12" s="13">
        <f>木桩!H12</f>
        <v>0</v>
      </c>
      <c r="I12" s="21">
        <f ca="1" t="shared" si="4"/>
        <v>49269.9994724709</v>
      </c>
      <c r="J12" s="13">
        <f ca="1" t="shared" si="1"/>
        <v>0.433665199880085</v>
      </c>
      <c r="K12" s="15">
        <f ca="1" t="shared" si="5"/>
        <v>0.482106492123557</v>
      </c>
      <c r="L12" s="13">
        <f ca="1">INDEX(V2:V17,MATCH(1:1,U2:U17,))</f>
        <v>1.9433</v>
      </c>
      <c r="M12" s="13">
        <f ca="1">INDEX(V2:V17,MATCH(1:1,U2:U17,))</f>
        <v>0.902992590034019</v>
      </c>
      <c r="N12" s="21">
        <f ca="1">INDEX(V2:V17,MATCH(1:1,U2:U17,))+O:O*P:P</f>
        <v>19094.2294</v>
      </c>
      <c r="O12" s="21">
        <f ca="1">INDEX(V2:V17,MATCH(1:1,U2:U17,))</f>
        <v>7522.72307692308</v>
      </c>
      <c r="P12" s="40">
        <f t="shared" si="6"/>
        <v>0.922</v>
      </c>
      <c r="Q12" s="21">
        <f ca="1">INDEX(V2:V17,MATCH(1:1,U2:U17,))</f>
        <v>751</v>
      </c>
      <c r="R12" s="13">
        <f ca="1">INDEX(V2:V17,MATCH(1:1,U2:U17,))</f>
        <v>0</v>
      </c>
      <c r="S12" s="13">
        <f ca="1">INDEX(V2:V17,MATCH(1:1,U2:U17,))</f>
        <v>0</v>
      </c>
      <c r="T12" s="20">
        <f>1.5-Q24/16</f>
        <v>1.375</v>
      </c>
      <c r="U12" s="20" t="str">
        <f t="shared" si="0"/>
        <v>加速</v>
      </c>
      <c r="V12" s="20">
        <f t="shared" si="0"/>
        <v>828</v>
      </c>
      <c r="W12" s="17" t="str">
        <f>属性!H16</f>
        <v>加速</v>
      </c>
      <c r="X12" s="17">
        <f>属性!I16</f>
        <v>828</v>
      </c>
      <c r="Y12" s="17" t="s">
        <v>83</v>
      </c>
      <c r="Z12" s="17">
        <f>X12</f>
        <v>828</v>
      </c>
      <c r="AA12" s="23"/>
    </row>
    <row r="13" customHeight="1" spans="1:27">
      <c r="A13" s="12" t="str">
        <f>木桩!A13</f>
        <v>绝刀</v>
      </c>
      <c r="B13" s="11">
        <f>木桩!B13</f>
        <v>0</v>
      </c>
      <c r="C13" s="11">
        <f>木桩!C13</f>
        <v>1.211</v>
      </c>
      <c r="D13" s="11">
        <f>木桩!D13</f>
        <v>186</v>
      </c>
      <c r="E13" s="13">
        <f>木桩!E13</f>
        <v>1</v>
      </c>
      <c r="F13" s="13">
        <f ca="1">木桩!F13+Q$23</f>
        <v>0.500133333333333</v>
      </c>
      <c r="G13" s="13">
        <f>木桩!G13</f>
        <v>0.04</v>
      </c>
      <c r="H13" s="13">
        <f>木桩!H13</f>
        <v>0</v>
      </c>
      <c r="I13" s="21">
        <f ca="1" t="shared" si="4"/>
        <v>99823.7763961937</v>
      </c>
      <c r="J13" s="13">
        <f ca="1" t="shared" si="1"/>
        <v>0.473665199880085</v>
      </c>
      <c r="K13" s="15">
        <f ca="1" t="shared" si="5"/>
        <v>0.522106492123557</v>
      </c>
      <c r="L13" s="13">
        <f ca="1">INDEX(V2:V17,MATCH(1:1,U2:U17,))</f>
        <v>1.9433</v>
      </c>
      <c r="M13" s="13">
        <f ca="1">INDEX(V2:V17,MATCH(1:1,U2:U17,))</f>
        <v>0.902992590034019</v>
      </c>
      <c r="N13" s="21">
        <f ca="1">INDEX(V2:V17,MATCH(1:1,U2:U17,))+O:O*P:P</f>
        <v>19094.2294</v>
      </c>
      <c r="O13" s="21">
        <f ca="1">INDEX(V2:V17,MATCH(1:1,U2:U17,))</f>
        <v>7522.72307692308</v>
      </c>
      <c r="P13" s="40">
        <f t="shared" si="6"/>
        <v>0.922</v>
      </c>
      <c r="Q13" s="21">
        <f ca="1">INDEX(V2:V17,MATCH(1:1,U2:U17,))</f>
        <v>751</v>
      </c>
      <c r="R13" s="13">
        <f ca="1">INDEX(V2:V17,MATCH(1:1,U2:U17,))</f>
        <v>0</v>
      </c>
      <c r="S13" s="13">
        <f ca="1">INDEX(V2:V17,MATCH(1:1,U2:U17,))</f>
        <v>0</v>
      </c>
      <c r="T13" s="20">
        <f>1.5-Q24/16</f>
        <v>1.375</v>
      </c>
      <c r="U13" s="20" t="str">
        <f t="shared" si="0"/>
        <v>命中</v>
      </c>
      <c r="V13" s="20">
        <f ca="1" t="shared" si="0"/>
        <v>1.13257753521884</v>
      </c>
      <c r="W13" s="17" t="str">
        <f>属性!H17</f>
        <v>命中</v>
      </c>
      <c r="X13" s="17">
        <f>属性!I17</f>
        <v>1.0715</v>
      </c>
      <c r="Y13" s="17" t="s">
        <v>56</v>
      </c>
      <c r="Z13" s="17">
        <f ca="1">X13+J23+J21/J27</f>
        <v>1.13257753521884</v>
      </c>
      <c r="AA13" s="23"/>
    </row>
    <row r="14" customHeight="1" spans="1:27">
      <c r="A14" s="11" t="str">
        <f>木桩!A14</f>
        <v>流血</v>
      </c>
      <c r="B14" s="11">
        <f>木桩!B14</f>
        <v>0</v>
      </c>
      <c r="C14" s="14">
        <f>木桩!C14</f>
        <v>0.34375</v>
      </c>
      <c r="D14" s="11">
        <f>木桩!D14</f>
        <v>47</v>
      </c>
      <c r="E14" s="13">
        <f>木桩!E14</f>
        <v>0</v>
      </c>
      <c r="F14" s="13">
        <f ca="1">木桩!F14+Q$23</f>
        <v>0.0101333333333333</v>
      </c>
      <c r="G14" s="13">
        <f>木桩!G14</f>
        <v>0</v>
      </c>
      <c r="H14" s="13">
        <f>木桩!H14</f>
        <v>0</v>
      </c>
      <c r="I14" s="21">
        <f ca="1" t="shared" si="4"/>
        <v>18001.4800973604</v>
      </c>
      <c r="J14" s="13">
        <f ca="1" t="shared" si="1"/>
        <v>0.433665199880085</v>
      </c>
      <c r="K14" s="15">
        <f ca="1" t="shared" si="5"/>
        <v>0.482106492123557</v>
      </c>
      <c r="L14" s="13">
        <f ca="1">INDEX(V2:V17,MATCH(1:1,U2:U17,))</f>
        <v>1.9433</v>
      </c>
      <c r="M14" s="13">
        <f ca="1">INDEX(V2:V17,MATCH(1:1,U2:U17,))</f>
        <v>0.902992590034019</v>
      </c>
      <c r="N14" s="21">
        <f ca="1">INDEX(V2:V17,MATCH(1:1,U2:U17,))+O:O*P:P</f>
        <v>19094.2294</v>
      </c>
      <c r="O14" s="21">
        <f ca="1">INDEX(V2:V17,MATCH(1:1,U2:U17,))</f>
        <v>7522.72307692308</v>
      </c>
      <c r="P14" s="40">
        <f t="shared" si="6"/>
        <v>0.922</v>
      </c>
      <c r="Q14" s="21">
        <f ca="1">INDEX(V2:V17,MATCH(1:1,U2:U17,))</f>
        <v>751</v>
      </c>
      <c r="R14" s="13">
        <f ca="1">INDEX(V2:V17,MATCH(1:1,U2:U17,))</f>
        <v>0</v>
      </c>
      <c r="S14" s="13">
        <f ca="1">INDEX(V2:V17,MATCH(1:1,U2:U17,))</f>
        <v>0</v>
      </c>
      <c r="T14" s="20">
        <f>(2-Q26/16)*NOT(D22)+(1-Q25/16)*D22</f>
        <v>0.9375</v>
      </c>
      <c r="U14" s="20" t="str">
        <f t="shared" si="0"/>
        <v>无双</v>
      </c>
      <c r="V14" s="20">
        <f ca="1" t="shared" si="0"/>
        <v>0.273382518124254</v>
      </c>
      <c r="W14" s="17" t="str">
        <f>属性!H18</f>
        <v>无双</v>
      </c>
      <c r="X14" s="17">
        <f>属性!I18</f>
        <v>0.2319</v>
      </c>
      <c r="Y14" s="17" t="s">
        <v>66</v>
      </c>
      <c r="Z14" s="17">
        <f ca="1">X14+N23+N21/J28</f>
        <v>0.273382518124254</v>
      </c>
      <c r="AA14" s="23"/>
    </row>
    <row r="15" customHeight="1" spans="1:27">
      <c r="A15" s="11" t="str">
        <f>木桩!A15</f>
        <v>卷雪刀</v>
      </c>
      <c r="B15" s="11">
        <f>木桩!B15</f>
        <v>0</v>
      </c>
      <c r="C15" s="11">
        <f>木桩!C15</f>
        <v>0.1375</v>
      </c>
      <c r="D15" s="11">
        <f>木桩!D15</f>
        <v>0</v>
      </c>
      <c r="E15" s="13">
        <f>木桩!E15</f>
        <v>1</v>
      </c>
      <c r="F15" s="13">
        <f ca="1">木桩!F15+Q$23</f>
        <v>0.0101333333333333</v>
      </c>
      <c r="G15" s="13">
        <f>木桩!G15</f>
        <v>0</v>
      </c>
      <c r="H15" s="13">
        <f>木桩!H15</f>
        <v>0</v>
      </c>
      <c r="I15" s="21">
        <f ca="1" t="shared" si="4"/>
        <v>8804.35702504861</v>
      </c>
      <c r="J15" s="13">
        <f ca="1" t="shared" si="1"/>
        <v>0.433665199880085</v>
      </c>
      <c r="K15" s="15">
        <f ca="1">J:J+(0.211855500496661*J:J^6-0.937563819411654*J:J^5+1.77483619127542*J:J^4-1.89647323402313*J:J^3+1.2737744963305*J:J^2-0.565275505039552*J:J+0.164596522595162)*$D$28</f>
        <v>0.487805126715561</v>
      </c>
      <c r="L15" s="13">
        <f ca="1">INDEX(V2:V17,MATCH(1:1,U2:U17,))</f>
        <v>1.9433</v>
      </c>
      <c r="M15" s="13">
        <f ca="1">INDEX(V2:V17,MATCH(1:1,U2:U17,))</f>
        <v>0.902992590034019</v>
      </c>
      <c r="N15" s="21">
        <f ca="1">INDEX(V2:V17,MATCH(1:1,U2:U17,))+O:O*P:P</f>
        <v>17965.8209384615</v>
      </c>
      <c r="O15" s="21">
        <f ca="1">INDEX(V2:V17,MATCH(1:1,U2:U17,))</f>
        <v>7522.72307692308</v>
      </c>
      <c r="P15" s="40">
        <f>60%+D$32*0.2*6/25+60%*(25+6*D$32)*(1+H$28)/H$27</f>
        <v>0.772</v>
      </c>
      <c r="Q15" s="21">
        <f ca="1">INDEX(V2:V17,MATCH(1:1,U2:U17,))</f>
        <v>751</v>
      </c>
      <c r="R15" s="13">
        <f ca="1">INDEX(V2:V17,MATCH(1:1,U2:U17,))</f>
        <v>0</v>
      </c>
      <c r="S15" s="13">
        <f ca="1">INDEX(V2:V17,MATCH(1:1,U2:U17,))</f>
        <v>0</v>
      </c>
      <c r="T15" s="20">
        <f>1.5-Q24/16</f>
        <v>1.375</v>
      </c>
      <c r="U15" s="20" t="str">
        <f t="shared" si="0"/>
        <v>武器伤害</v>
      </c>
      <c r="V15" s="20">
        <f ca="1" t="shared" si="0"/>
        <v>751</v>
      </c>
      <c r="W15" s="17" t="str">
        <f>属性!H19</f>
        <v>武器伤害</v>
      </c>
      <c r="X15" s="17">
        <f ca="1">属性!I19+P21</f>
        <v>751</v>
      </c>
      <c r="Y15" s="17" t="s">
        <v>75</v>
      </c>
      <c r="Z15" s="17">
        <f ca="1">X15</f>
        <v>751</v>
      </c>
      <c r="AA15" s="23"/>
    </row>
    <row r="16" customHeight="1" spans="1:27">
      <c r="A16" s="7" t="str">
        <f>木桩!A16</f>
        <v>卷雪刀1</v>
      </c>
      <c r="B16" s="7">
        <f>木桩!B16</f>
        <v>0</v>
      </c>
      <c r="C16" s="7">
        <f>木桩!C16</f>
        <v>0.1375</v>
      </c>
      <c r="D16" s="7">
        <f>木桩!D16</f>
        <v>0</v>
      </c>
      <c r="E16" s="16">
        <f>木桩!E16</f>
        <v>1</v>
      </c>
      <c r="F16" s="13">
        <f ca="1">木桩!F16+Q$23</f>
        <v>0.0101333333333333</v>
      </c>
      <c r="G16" s="16">
        <f>木桩!G16</f>
        <v>0</v>
      </c>
      <c r="H16" s="16">
        <f>木桩!H16</f>
        <v>0</v>
      </c>
      <c r="I16" s="21">
        <f ca="1" t="shared" si="4"/>
        <v>9194.4505795872</v>
      </c>
      <c r="J16" s="13">
        <f ca="1" t="shared" si="1"/>
        <v>0.433665199880085</v>
      </c>
      <c r="K16" s="15">
        <f ca="1">J:J+K$19</f>
        <v>0.482106492123557</v>
      </c>
      <c r="L16" s="16">
        <f ca="1">INDEX(V2:V17,MATCH(1:1,U2:U17,))</f>
        <v>1.9433</v>
      </c>
      <c r="M16" s="16">
        <f ca="1">INDEX(V2:V17,MATCH(1:1,U2:U17,))</f>
        <v>0.902992590034019</v>
      </c>
      <c r="N16" s="23">
        <f ca="1">INDEX(V2:V17,MATCH(1:1,U2:U17,))+O:O*P:P</f>
        <v>19094.2294</v>
      </c>
      <c r="O16" s="23">
        <f ca="1">INDEX(V2:V17,MATCH(1:1,U2:U17,))</f>
        <v>7522.72307692308</v>
      </c>
      <c r="P16" s="16">
        <f>P12</f>
        <v>0.922</v>
      </c>
      <c r="Q16" s="23">
        <f ca="1">INDEX(V2:V17,MATCH(1:1,U2:U17,))</f>
        <v>751</v>
      </c>
      <c r="R16" s="16">
        <f ca="1">INDEX(V2:V17,MATCH(1:1,U2:U17,))</f>
        <v>0</v>
      </c>
      <c r="S16" s="16">
        <f ca="1">INDEX(V2:V17,MATCH(1:1,U2:U17,))</f>
        <v>0</v>
      </c>
      <c r="T16" s="20">
        <f>1.5-Q24/16</f>
        <v>1.375</v>
      </c>
      <c r="U16" s="17" t="str">
        <f t="shared" si="0"/>
        <v>偏离率</v>
      </c>
      <c r="V16" s="30">
        <f ca="1" t="shared" si="0"/>
        <v>0</v>
      </c>
      <c r="W16" s="17" t="str">
        <f>属性!H20</f>
        <v>偏离率</v>
      </c>
      <c r="X16" s="16">
        <f>属性!I20</f>
        <v>0</v>
      </c>
      <c r="Y16" s="17" t="s">
        <v>212</v>
      </c>
      <c r="Z16" s="17">
        <f ca="1">IF(X16-Z13+X13&gt;0,X16-Z13+X13,0)</f>
        <v>0</v>
      </c>
      <c r="AA16" s="23"/>
    </row>
    <row r="17" customHeight="1" spans="1:27">
      <c r="A17" s="11" t="str">
        <f>木桩!A17</f>
        <v>绝刀1</v>
      </c>
      <c r="B17" s="11">
        <f>木桩!B17</f>
        <v>0</v>
      </c>
      <c r="C17" s="11">
        <f>木桩!C17</f>
        <v>1.211</v>
      </c>
      <c r="D17" s="11">
        <f>木桩!D17</f>
        <v>186</v>
      </c>
      <c r="E17" s="13">
        <f>木桩!E17</f>
        <v>1</v>
      </c>
      <c r="F17" s="13">
        <f ca="1">木桩!F17+Q$23</f>
        <v>0.500133333333333</v>
      </c>
      <c r="G17" s="13">
        <f>木桩!G17</f>
        <v>0.07</v>
      </c>
      <c r="H17" s="13">
        <f>木桩!H17</f>
        <v>0</v>
      </c>
      <c r="I17" s="21">
        <f ca="1" t="shared" si="4"/>
        <v>101688.122432135</v>
      </c>
      <c r="J17" s="13">
        <f ca="1" t="shared" si="1"/>
        <v>0.503665199880085</v>
      </c>
      <c r="K17" s="15">
        <f ca="1">J:J+(0.211855500496661*J:J^6-0.937563819411654*J:J^5+1.77483619127542*J:J^4-1.89647323402313*J:J^3+1.2737744963305*J:J^2-0.565275505039552*J:J+0.164596522595162)*$D$28</f>
        <v>0.551656521857724</v>
      </c>
      <c r="L17" s="13">
        <f ca="1">INDEX(V2:V17,MATCH(1:1,U2:U17,))</f>
        <v>1.9433</v>
      </c>
      <c r="M17" s="13">
        <f ca="1">INDEX(V2:V17,MATCH(1:1,U2:U17,))</f>
        <v>0.902992590034019</v>
      </c>
      <c r="N17" s="21">
        <f ca="1">INDEX(V2:V17,MATCH(1:1,U2:U17,))+O:O*P:P</f>
        <v>19094.2294</v>
      </c>
      <c r="O17" s="21">
        <f ca="1">INDEX(V2:V17,MATCH(1:1,U2:U17,))</f>
        <v>7522.72307692308</v>
      </c>
      <c r="P17" s="16">
        <f>P13</f>
        <v>0.922</v>
      </c>
      <c r="Q17" s="21">
        <f ca="1">INDEX(V2:V17,MATCH(1:1,U2:U17,))</f>
        <v>751</v>
      </c>
      <c r="R17" s="13">
        <f ca="1">INDEX(V2:V17,MATCH(1:1,U2:U17,))</f>
        <v>0</v>
      </c>
      <c r="S17" s="13">
        <f ca="1">INDEX(V2:V17,MATCH(1:1,U2:U17,))</f>
        <v>0</v>
      </c>
      <c r="T17" s="7">
        <v>0</v>
      </c>
      <c r="U17" s="20" t="str">
        <f t="shared" si="0"/>
        <v>识破率</v>
      </c>
      <c r="V17" s="20">
        <f ca="1" t="shared" si="0"/>
        <v>0</v>
      </c>
      <c r="W17" s="17" t="str">
        <f>属性!H21</f>
        <v>识破率</v>
      </c>
      <c r="X17" s="17">
        <f>属性!I21</f>
        <v>0</v>
      </c>
      <c r="Y17" s="17" t="s">
        <v>213</v>
      </c>
      <c r="Z17" s="17">
        <f ca="1">IF(X17-Z14+X14&gt;0,X17-Z14+X14,0)</f>
        <v>0</v>
      </c>
      <c r="AA17" s="23"/>
    </row>
    <row r="18" customHeight="1" spans="1:27">
      <c r="A18" s="11" t="str">
        <f>木桩!A18</f>
        <v>绝刀2</v>
      </c>
      <c r="B18" s="11">
        <f>木桩!B18</f>
        <v>0</v>
      </c>
      <c r="C18" s="11">
        <f>木桩!C18</f>
        <v>1.211</v>
      </c>
      <c r="D18" s="11">
        <f>木桩!D18</f>
        <v>186</v>
      </c>
      <c r="E18" s="13">
        <f>木桩!E18</f>
        <v>1</v>
      </c>
      <c r="F18" s="13">
        <f ca="1">木桩!F18+Q$23</f>
        <v>0.700133333333333</v>
      </c>
      <c r="G18" s="13">
        <f>木桩!G18</f>
        <v>0.04</v>
      </c>
      <c r="H18" s="13">
        <f>木桩!H18</f>
        <v>0</v>
      </c>
      <c r="I18" s="21">
        <f ca="1" t="shared" si="4"/>
        <v>113132.430257565</v>
      </c>
      <c r="J18" s="13">
        <f ca="1" t="shared" si="1"/>
        <v>0.473665199880085</v>
      </c>
      <c r="K18" s="15">
        <f ca="1">J:J+K$19</f>
        <v>0.522106492123557</v>
      </c>
      <c r="L18" s="13">
        <f ca="1">INDEX(V2:V17,MATCH(1:1,U2:U17,))</f>
        <v>1.9433</v>
      </c>
      <c r="M18" s="13">
        <f ca="1">INDEX(V2:V17,MATCH(1:1,U2:U17,))</f>
        <v>0.902992590034019</v>
      </c>
      <c r="N18" s="21">
        <f ca="1">INDEX(V2:V17,MATCH(1:1,U2:U17,))+O:O*P:P</f>
        <v>19094.2294</v>
      </c>
      <c r="O18" s="21">
        <f ca="1">INDEX(V2:V17,MATCH(1:1,U2:U17,))</f>
        <v>7522.72307692308</v>
      </c>
      <c r="P18" s="16">
        <f>P13</f>
        <v>0.922</v>
      </c>
      <c r="Q18" s="21">
        <f ca="1">INDEX(V2:V17,MATCH(1:1,U2:U17,))</f>
        <v>751</v>
      </c>
      <c r="R18" s="13">
        <f ca="1">INDEX(V2:V17,MATCH(1:1,U2:U17,))</f>
        <v>0</v>
      </c>
      <c r="S18" s="13">
        <f ca="1">INDEX(V2:V17,MATCH(1:1,U2:U17,))</f>
        <v>0</v>
      </c>
      <c r="T18" s="7">
        <v>0</v>
      </c>
      <c r="AA18" s="23"/>
    </row>
    <row r="19" customHeight="1" spans="5:27">
      <c r="E19" s="16"/>
      <c r="F19" s="16"/>
      <c r="G19" s="16"/>
      <c r="H19" s="16"/>
      <c r="I19" s="13" t="s">
        <v>291</v>
      </c>
      <c r="J19" s="24">
        <f ca="1">(0.75*J11+0.75*J12+8.5*J10+15*J9)/25</f>
        <v>0.515865199880085</v>
      </c>
      <c r="K19" s="7">
        <f ca="1">(0.450269547036277*J:J^6-1.63135022943507*J:J^5+2.53454201422095*J:J^4-2.30008535755169*J:J^3+1.39860127189957*J:J^2-0.596843023464342*J:J+0.171517229012336)*D28</f>
        <v>0.0484412922434724</v>
      </c>
      <c r="L19" s="16"/>
      <c r="M19" s="16"/>
      <c r="N19" s="23"/>
      <c r="O19" s="23"/>
      <c r="P19" s="16"/>
      <c r="Q19" s="23"/>
      <c r="R19" s="16"/>
      <c r="S19" s="16"/>
      <c r="V19" s="29"/>
      <c r="AA19" s="23"/>
    </row>
    <row r="20" customHeight="1" spans="5:27">
      <c r="E20" s="16"/>
      <c r="F20" s="16"/>
      <c r="G20" s="37" t="str">
        <f>属性!H1</f>
        <v>身法</v>
      </c>
      <c r="H20" s="37" t="str">
        <f>属性!I1</f>
        <v>力道</v>
      </c>
      <c r="I20" s="37" t="str">
        <f>属性!J1</f>
        <v>基础攻击</v>
      </c>
      <c r="J20" s="37" t="str">
        <f>属性!K1</f>
        <v>命中</v>
      </c>
      <c r="K20" s="41" t="str">
        <f>属性!L1</f>
        <v>会心</v>
      </c>
      <c r="L20" s="37" t="str">
        <f>属性!M1</f>
        <v>会效</v>
      </c>
      <c r="M20" s="37" t="str">
        <f>属性!N1</f>
        <v>加速</v>
      </c>
      <c r="N20" s="37" t="str">
        <f>属性!O1</f>
        <v>无双</v>
      </c>
      <c r="O20" s="37" t="str">
        <f>属性!P1</f>
        <v>基础破防</v>
      </c>
      <c r="P20" s="42" t="str">
        <f>属性!Q1</f>
        <v>武器伤害</v>
      </c>
      <c r="Q20" s="42" t="str">
        <f>属性!R1</f>
        <v>减防</v>
      </c>
      <c r="R20" s="16"/>
      <c r="S20" s="16"/>
      <c r="AA20" s="23"/>
    </row>
    <row r="21" customHeight="1" spans="1:27">
      <c r="A21" s="20" t="str">
        <f>属性!D1</f>
        <v>第一重</v>
      </c>
      <c r="B21" s="20" t="str">
        <f>属性!E1</f>
        <v>刀魂</v>
      </c>
      <c r="C21" s="11" t="s">
        <v>13</v>
      </c>
      <c r="D21" s="11" t="b">
        <f t="shared" ref="D21:D32" si="7">C21=B21</f>
        <v>1</v>
      </c>
      <c r="E21" s="11" t="s">
        <v>292</v>
      </c>
      <c r="F21" s="11" t="b">
        <f t="shared" ref="F21:F31" si="8">E21=B21</f>
        <v>0</v>
      </c>
      <c r="G21" s="20">
        <f ca="1">属性!H2</f>
        <v>201</v>
      </c>
      <c r="H21" s="20">
        <f ca="1">属性!I2</f>
        <v>52</v>
      </c>
      <c r="I21" s="17">
        <f ca="1">属性!J2</f>
        <v>199</v>
      </c>
      <c r="J21" s="17">
        <f ca="1">属性!K2</f>
        <v>294</v>
      </c>
      <c r="K21" s="20">
        <f ca="1">属性!L2</f>
        <v>194</v>
      </c>
      <c r="L21" s="43">
        <f ca="1">属性!M2</f>
        <v>0</v>
      </c>
      <c r="M21" s="20">
        <f ca="1">属性!N2</f>
        <v>0</v>
      </c>
      <c r="N21" s="20">
        <f ca="1">属性!O2+0.1</f>
        <v>100.1</v>
      </c>
      <c r="O21" s="20">
        <f ca="1">属性!P2</f>
        <v>1506</v>
      </c>
      <c r="P21" s="32">
        <f ca="1">属性!Q2</f>
        <v>0</v>
      </c>
      <c r="Q21" s="34">
        <f ca="1">属性!R2</f>
        <v>200</v>
      </c>
      <c r="R21" s="16"/>
      <c r="S21" s="16"/>
      <c r="AA21" s="23"/>
    </row>
    <row r="22" customHeight="1" spans="1:27">
      <c r="A22" s="20" t="str">
        <f>属性!D2</f>
        <v>第二重</v>
      </c>
      <c r="B22" s="20" t="str">
        <f>属性!E2</f>
        <v>炼狱</v>
      </c>
      <c r="C22" s="11" t="s">
        <v>24</v>
      </c>
      <c r="D22" s="11" t="b">
        <f t="shared" si="7"/>
        <v>1</v>
      </c>
      <c r="E22" s="11"/>
      <c r="F22" s="11"/>
      <c r="G22" s="38" t="str">
        <f>属性!H3</f>
        <v>身法</v>
      </c>
      <c r="H22" s="39" t="str">
        <f>属性!I3</f>
        <v>力道</v>
      </c>
      <c r="I22" s="39" t="str">
        <f>属性!J3</f>
        <v>面板攻击</v>
      </c>
      <c r="J22" s="39" t="str">
        <f>属性!K3</f>
        <v>命中</v>
      </c>
      <c r="K22" s="39" t="str">
        <f>属性!L3</f>
        <v>会心</v>
      </c>
      <c r="L22" s="39" t="str">
        <f>属性!M3</f>
        <v>会效</v>
      </c>
      <c r="M22" s="39" t="str">
        <f>属性!N3</f>
        <v>加速</v>
      </c>
      <c r="N22" s="39" t="str">
        <f>属性!O3</f>
        <v>无双</v>
      </c>
      <c r="O22" s="39" t="str">
        <f>属性!P3</f>
        <v>面板破防</v>
      </c>
      <c r="P22" s="44" t="str">
        <f>属性!Q3</f>
        <v>易伤</v>
      </c>
      <c r="Q22" s="44" t="str">
        <f>属性!R3</f>
        <v>伤害加成</v>
      </c>
      <c r="R22" s="16"/>
      <c r="S22" s="16"/>
      <c r="X22" s="23"/>
      <c r="AA22" s="23"/>
    </row>
    <row r="23" customHeight="1" spans="1:27">
      <c r="A23" s="20" t="str">
        <f>属性!D3</f>
        <v>第三重</v>
      </c>
      <c r="B23" s="20" t="str">
        <f>属性!E3</f>
        <v>飞瀑</v>
      </c>
      <c r="C23" s="11" t="s">
        <v>34</v>
      </c>
      <c r="D23" s="11" t="b">
        <f t="shared" si="7"/>
        <v>1</v>
      </c>
      <c r="E23" s="7"/>
      <c r="F23" s="7"/>
      <c r="G23" s="17">
        <f ca="1">属性!H4</f>
        <v>0.1</v>
      </c>
      <c r="H23" s="20">
        <f ca="1">属性!I4</f>
        <v>0</v>
      </c>
      <c r="I23" s="20">
        <f ca="1">属性!J4</f>
        <v>0.171</v>
      </c>
      <c r="J23" s="20">
        <f ca="1">属性!K4</f>
        <v>0.04</v>
      </c>
      <c r="K23" s="20">
        <f ca="1">属性!L4</f>
        <v>0.145</v>
      </c>
      <c r="L23" s="20">
        <f ca="1">属性!M4</f>
        <v>0.09</v>
      </c>
      <c r="M23" s="20">
        <f ca="1">属性!N4</f>
        <v>0</v>
      </c>
      <c r="N23" s="20">
        <f ca="1">属性!O4</f>
        <v>0.03</v>
      </c>
      <c r="O23" s="13">
        <f ca="1">属性!P4</f>
        <v>0.5</v>
      </c>
      <c r="P23" s="45">
        <f ca="1">属性!Q4</f>
        <v>0</v>
      </c>
      <c r="Q23" s="34">
        <f ca="1">属性!R4</f>
        <v>0.0101333333333333</v>
      </c>
      <c r="R23" s="16"/>
      <c r="S23" s="16"/>
      <c r="X23" s="23"/>
      <c r="AA23" s="23"/>
    </row>
    <row r="24" customHeight="1" spans="1:27">
      <c r="A24" s="20" t="str">
        <f>属性!D4</f>
        <v>第四重</v>
      </c>
      <c r="B24" s="20" t="str">
        <f>属性!E4</f>
        <v>劫生</v>
      </c>
      <c r="C24" s="11" t="s">
        <v>44</v>
      </c>
      <c r="D24" s="11" t="b">
        <f t="shared" si="7"/>
        <v>1</v>
      </c>
      <c r="E24" s="11"/>
      <c r="F24" s="11"/>
      <c r="H24" s="36"/>
      <c r="I24" s="46" t="s">
        <v>198</v>
      </c>
      <c r="J24" s="46"/>
      <c r="K24" s="46"/>
      <c r="L24" s="46"/>
      <c r="M24" s="47" t="s">
        <v>215</v>
      </c>
      <c r="N24" s="47" t="str">
        <f>属性!H29</f>
        <v>实战</v>
      </c>
      <c r="O24" s="43" t="str">
        <f>属性!I29</f>
        <v>实战盾击</v>
      </c>
      <c r="P24" s="26" t="s">
        <v>295</v>
      </c>
      <c r="Q24" s="11">
        <f>IF($V$12&gt;18,1)+IF($V$12&gt;827,1)+IF($V$12&gt;1728,1)+IF($V$12&gt;2703,1)</f>
        <v>2</v>
      </c>
      <c r="R24" s="16"/>
      <c r="S24" s="16"/>
      <c r="V24" s="32"/>
      <c r="X24" s="23"/>
      <c r="AA24" s="23"/>
    </row>
    <row r="25" spans="1:27">
      <c r="A25" s="20" t="str">
        <f>属性!D5</f>
        <v>第五重</v>
      </c>
      <c r="B25" s="20" t="str">
        <f>属性!E5</f>
        <v>锋鸣</v>
      </c>
      <c r="C25" s="11" t="s">
        <v>293</v>
      </c>
      <c r="D25" s="11" t="b">
        <f t="shared" si="7"/>
        <v>0</v>
      </c>
      <c r="E25" s="11" t="s">
        <v>54</v>
      </c>
      <c r="F25" s="11" t="b">
        <f t="shared" si="8"/>
        <v>1</v>
      </c>
      <c r="I25" s="20" t="s">
        <v>26</v>
      </c>
      <c r="J25" s="20">
        <v>15344.2</v>
      </c>
      <c r="K25" s="20" t="s">
        <v>200</v>
      </c>
      <c r="L25" s="20"/>
      <c r="M25" s="11" t="s">
        <v>93</v>
      </c>
      <c r="N25" s="15">
        <f ca="1">属性!H30</f>
        <v>0.948871388530846</v>
      </c>
      <c r="O25" s="15">
        <f ca="1">属性!I30</f>
        <v>0.973765015090248</v>
      </c>
      <c r="P25" s="26" t="s">
        <v>296</v>
      </c>
      <c r="Q25" s="30">
        <f>IF($V$12&gt;18,1)+IF($V$12&gt;1268,1)+IF($V$12&gt;2703,1)</f>
        <v>1</v>
      </c>
      <c r="R25" s="16"/>
      <c r="S25" s="16"/>
      <c r="V25" s="32"/>
      <c r="X25" s="23"/>
      <c r="AA25" s="23"/>
    </row>
    <row r="26" spans="1:27">
      <c r="A26" s="20" t="str">
        <f>属性!D6</f>
        <v>第六重</v>
      </c>
      <c r="B26" s="20" t="str">
        <f>属性!E6</f>
        <v>割裂</v>
      </c>
      <c r="C26" s="11" t="s">
        <v>64</v>
      </c>
      <c r="D26" s="11" t="b">
        <f t="shared" si="7"/>
        <v>1</v>
      </c>
      <c r="E26" s="11" t="s">
        <v>294</v>
      </c>
      <c r="F26" s="11" t="b">
        <f t="shared" si="8"/>
        <v>0</v>
      </c>
      <c r="I26" s="20" t="s">
        <v>36</v>
      </c>
      <c r="J26" s="20">
        <v>5370.3</v>
      </c>
      <c r="K26" s="20"/>
      <c r="L26" s="20">
        <v>1.7</v>
      </c>
      <c r="M26" s="11" t="s">
        <v>229</v>
      </c>
      <c r="N26" s="15">
        <f ca="1">属性!H31</f>
        <v>0.91750264956783</v>
      </c>
      <c r="O26" s="15">
        <f ca="1">属性!I31</f>
        <v>0.956976669392992</v>
      </c>
      <c r="P26" s="26" t="s">
        <v>297</v>
      </c>
      <c r="Q26" s="30">
        <f>IF($V$12&gt;18,1)+IF($V$12&gt;625,1)+IF($V$12&gt;1268,1)+IF($V$12&gt;1949,1)+IF($V$12&gt;2703,1)</f>
        <v>2</v>
      </c>
      <c r="R26" s="16"/>
      <c r="S26" s="16"/>
      <c r="V26" s="32"/>
      <c r="X26" s="23"/>
      <c r="AA26" s="23"/>
    </row>
    <row r="27" spans="1:27">
      <c r="A27" s="20" t="str">
        <f>属性!D7</f>
        <v>第七重</v>
      </c>
      <c r="B27" s="20" t="str">
        <f>属性!E7</f>
        <v>活脉</v>
      </c>
      <c r="C27" s="11" t="s">
        <v>72</v>
      </c>
      <c r="D27" s="11" t="b">
        <f t="shared" si="7"/>
        <v>1</v>
      </c>
      <c r="E27" s="11"/>
      <c r="F27" s="11" t="b">
        <f t="shared" si="8"/>
        <v>0</v>
      </c>
      <c r="G27" s="17" t="str">
        <f>木桩!G27</f>
        <v>战斗时间</v>
      </c>
      <c r="H27" s="30">
        <f>木桩!H27</f>
        <v>300</v>
      </c>
      <c r="I27" s="20" t="s">
        <v>56</v>
      </c>
      <c r="J27" s="20">
        <v>13948.5</v>
      </c>
      <c r="K27" s="20" t="s">
        <v>203</v>
      </c>
      <c r="L27" s="20">
        <v>0.25</v>
      </c>
      <c r="M27" s="11" t="s">
        <v>299</v>
      </c>
      <c r="N27" s="15">
        <f ca="1">属性!H32</f>
        <v>0.898870262292047</v>
      </c>
      <c r="O27" s="15">
        <f ca="1">属性!I32</f>
        <v>0.946742155208707</v>
      </c>
      <c r="P27" s="47" t="s">
        <v>92</v>
      </c>
      <c r="Q27" s="20" t="str">
        <f>苍云!C11</f>
        <v>102级</v>
      </c>
      <c r="V27" s="32"/>
      <c r="X27" s="23"/>
      <c r="AA27" s="23"/>
    </row>
    <row r="28" spans="1:27">
      <c r="A28" s="20" t="str">
        <f>属性!D8</f>
        <v>第八重</v>
      </c>
      <c r="B28" s="20" t="str">
        <f>属性!E8</f>
        <v>恋战</v>
      </c>
      <c r="C28" s="11" t="s">
        <v>81</v>
      </c>
      <c r="D28" s="11" t="b">
        <f t="shared" si="7"/>
        <v>1</v>
      </c>
      <c r="E28" s="11" t="s">
        <v>269</v>
      </c>
      <c r="F28" s="11" t="b">
        <f t="shared" si="8"/>
        <v>0</v>
      </c>
      <c r="G28" s="17" t="str">
        <f>木桩!G28</f>
        <v>竞技场套装</v>
      </c>
      <c r="H28" s="16" t="b">
        <f>木桩!H28</f>
        <v>1</v>
      </c>
      <c r="I28" s="20" t="s">
        <v>66</v>
      </c>
      <c r="J28" s="20">
        <v>8717.6</v>
      </c>
      <c r="K28" s="20"/>
      <c r="L28" s="20">
        <v>0.15</v>
      </c>
      <c r="M28" s="17" t="s">
        <v>179</v>
      </c>
      <c r="N28" s="15">
        <f ca="1">属性!H33</f>
        <v>0.91750264956783</v>
      </c>
      <c r="O28" s="15">
        <f ca="1">属性!I33</f>
        <v>0.956976669392992</v>
      </c>
      <c r="P28" s="47" t="s">
        <v>100</v>
      </c>
      <c r="Q28" s="20" t="str">
        <f>LEFT(苍云!$C$12,1)</f>
        <v>5</v>
      </c>
      <c r="V28" s="32"/>
      <c r="X28" s="23"/>
      <c r="AA28" s="23"/>
    </row>
    <row r="29" spans="1:24">
      <c r="A29" s="20" t="str">
        <f>属性!D9</f>
        <v>第九重</v>
      </c>
      <c r="B29" s="20" t="str">
        <f>属性!E9</f>
        <v>从容</v>
      </c>
      <c r="C29" s="11" t="s">
        <v>99</v>
      </c>
      <c r="D29" s="11" t="b">
        <f t="shared" si="7"/>
        <v>0</v>
      </c>
      <c r="E29" s="11"/>
      <c r="F29" s="11" t="b">
        <f t="shared" si="8"/>
        <v>0</v>
      </c>
      <c r="G29" s="20" t="str">
        <f>木桩!G29</f>
        <v>套装特效</v>
      </c>
      <c r="H29" s="20" t="b">
        <f>木桩!H29</f>
        <v>1</v>
      </c>
      <c r="I29" s="20" t="s">
        <v>83</v>
      </c>
      <c r="J29" s="20">
        <v>18830.9</v>
      </c>
      <c r="K29" s="20" t="s">
        <v>204</v>
      </c>
      <c r="L29" s="20">
        <v>0.64</v>
      </c>
      <c r="M29" s="20" t="s">
        <v>180</v>
      </c>
      <c r="N29" s="15">
        <f ca="1">属性!H34</f>
        <v>0.91750264956783</v>
      </c>
      <c r="O29" s="15">
        <f ca="1">属性!I34</f>
        <v>0.956976669392992</v>
      </c>
      <c r="P29" s="20" t="str">
        <f>属性!F5</f>
        <v>战斗时间</v>
      </c>
      <c r="Q29" s="20">
        <f>属性!G5</f>
        <v>300</v>
      </c>
      <c r="X29" s="23"/>
    </row>
    <row r="30" spans="1:24">
      <c r="A30" s="20" t="str">
        <f>属性!D10</f>
        <v>第十重</v>
      </c>
      <c r="B30" s="20" t="str">
        <f>属性!E10</f>
        <v>愤恨</v>
      </c>
      <c r="C30" s="11" t="s">
        <v>91</v>
      </c>
      <c r="D30" s="11" t="b">
        <f t="shared" si="7"/>
        <v>0</v>
      </c>
      <c r="E30" s="11"/>
      <c r="F30" s="11" t="b">
        <f t="shared" si="8"/>
        <v>0</v>
      </c>
      <c r="G30" s="20" t="str">
        <f>木桩!G30</f>
        <v>橙武</v>
      </c>
      <c r="H30" s="20" t="b">
        <f>木桩!H30</f>
        <v>1</v>
      </c>
      <c r="I30" s="20" t="s">
        <v>205</v>
      </c>
      <c r="J30" s="20">
        <v>15344.2</v>
      </c>
      <c r="K30" s="20"/>
      <c r="L30" s="20">
        <v>0</v>
      </c>
      <c r="N30" s="15"/>
      <c r="O30" s="15"/>
      <c r="P30" s="17" t="s">
        <v>302</v>
      </c>
      <c r="Q30" s="11">
        <f ca="1">$I$14/$T$14</f>
        <v>19201.5787705177</v>
      </c>
      <c r="X30" s="23"/>
    </row>
    <row r="31" spans="1:24">
      <c r="A31" s="20" t="str">
        <f>属性!D11</f>
        <v>第十一重</v>
      </c>
      <c r="B31" s="20" t="str">
        <f>属性!E11</f>
        <v>蔑视</v>
      </c>
      <c r="C31" s="11" t="s">
        <v>107</v>
      </c>
      <c r="D31" s="11" t="b">
        <f t="shared" si="7"/>
        <v>1</v>
      </c>
      <c r="E31" s="11"/>
      <c r="F31" s="11" t="b">
        <f t="shared" si="8"/>
        <v>0</v>
      </c>
      <c r="G31" s="20" t="str">
        <f>木桩!G31</f>
        <v>小橙武</v>
      </c>
      <c r="H31" s="20" t="b">
        <f>木桩!H31</f>
        <v>0</v>
      </c>
      <c r="N31" s="7"/>
      <c r="O31" s="7"/>
      <c r="P31" s="17" t="s">
        <v>303</v>
      </c>
      <c r="Q31" s="17">
        <f ca="1">(I13-I10)*5/60*H30</f>
        <v>1290.2334418443</v>
      </c>
      <c r="X31" s="23"/>
    </row>
    <row r="32" spans="1:24">
      <c r="A32" s="20" t="str">
        <f>属性!D12</f>
        <v>第十二重</v>
      </c>
      <c r="B32" s="20" t="str">
        <f>属性!E12</f>
        <v>骇日</v>
      </c>
      <c r="C32" s="11" t="s">
        <v>116</v>
      </c>
      <c r="D32" s="11" t="b">
        <f t="shared" si="7"/>
        <v>1</v>
      </c>
      <c r="E32" s="11"/>
      <c r="F32" s="11"/>
      <c r="P32" s="11" t="s">
        <v>305</v>
      </c>
      <c r="Q32" s="20">
        <f ca="1">$I$2/$T$2</f>
        <v>931.877541738772</v>
      </c>
      <c r="X32" s="23"/>
    </row>
    <row r="33" spans="16:22">
      <c r="P33" s="17" t="s">
        <v>306</v>
      </c>
      <c r="Q33" s="20">
        <f ca="1">$I$3/$T$3</f>
        <v>829.851136407888</v>
      </c>
      <c r="U33" s="20"/>
      <c r="V33" s="32"/>
    </row>
    <row r="34" spans="22:22">
      <c r="V34" s="32"/>
    </row>
    <row r="35" spans="1:23">
      <c r="A35" s="11" t="s">
        <v>271</v>
      </c>
      <c r="B35" s="20" t="s">
        <v>272</v>
      </c>
      <c r="C35" s="20" t="s">
        <v>304</v>
      </c>
      <c r="D35" s="20" t="s">
        <v>281</v>
      </c>
      <c r="E35" s="20" t="s">
        <v>278</v>
      </c>
      <c r="H35" s="20"/>
      <c r="I35" s="20"/>
      <c r="J35" s="20"/>
      <c r="K35" s="20"/>
      <c r="L35" s="20"/>
      <c r="M35" s="20"/>
      <c r="N35" s="20"/>
      <c r="O35" s="11"/>
      <c r="P35" s="11"/>
      <c r="Q35" s="11"/>
      <c r="R35" s="11"/>
      <c r="S35" s="11"/>
      <c r="T35" s="7"/>
      <c r="U35" s="7"/>
      <c r="V35" s="32"/>
      <c r="W35" s="34"/>
    </row>
    <row r="36" spans="1:23">
      <c r="A36" s="11" t="s">
        <v>55</v>
      </c>
      <c r="B36" s="20">
        <f ca="1" t="shared" ref="B36:B48" si="9">IFERROR(VLOOKUP(A36,实战技能表,MATCH("怒气",$A$1:$T$1,0),0),0)*C36</f>
        <v>15</v>
      </c>
      <c r="C36" s="20">
        <v>1</v>
      </c>
      <c r="D36" s="20">
        <f ca="1" t="shared" ref="D36:D48" si="10">IFERROR(VLOOKUP(A36,实战技能表,MATCH("时间",$A$1:$T$1,0),0),0)*C36</f>
        <v>1.375</v>
      </c>
      <c r="E36" s="20">
        <f ca="1" t="shared" ref="E36:E48" si="11">IFERROR(VLOOKUP(A36,实战技能表,MATCH("dmg",$A$1:$T$1,0),0),0)*C36</f>
        <v>135607.209534485</v>
      </c>
      <c r="H36" s="20"/>
      <c r="I36" s="20"/>
      <c r="J36" s="20"/>
      <c r="K36" s="20"/>
      <c r="L36" s="20"/>
      <c r="M36" s="20"/>
      <c r="N36" s="20"/>
      <c r="O36" s="11"/>
      <c r="P36" s="11"/>
      <c r="Q36" s="11"/>
      <c r="R36" s="11"/>
      <c r="S36" s="11"/>
      <c r="T36" s="11"/>
      <c r="U36" s="20"/>
      <c r="V36" s="32"/>
      <c r="W36" s="32"/>
    </row>
    <row r="37" spans="1:23">
      <c r="A37" s="11" t="s">
        <v>82</v>
      </c>
      <c r="B37" s="20">
        <f ca="1" t="shared" si="9"/>
        <v>4.5</v>
      </c>
      <c r="C37" s="20">
        <v>0.3</v>
      </c>
      <c r="D37" s="20">
        <f ca="1" t="shared" si="10"/>
        <v>0.4125</v>
      </c>
      <c r="E37" s="20">
        <f ca="1" t="shared" si="11"/>
        <v>23628.0845286746</v>
      </c>
      <c r="H37" s="20"/>
      <c r="I37" s="20"/>
      <c r="J37" s="20"/>
      <c r="K37" s="20"/>
      <c r="L37" s="20"/>
      <c r="M37" s="20"/>
      <c r="N37" s="20"/>
      <c r="O37" s="11"/>
      <c r="P37" s="11"/>
      <c r="Q37" s="11"/>
      <c r="R37" s="11"/>
      <c r="S37" s="11"/>
      <c r="T37" s="11"/>
      <c r="U37" s="20"/>
      <c r="V37" s="32"/>
      <c r="W37" s="32"/>
    </row>
    <row r="38" spans="1:23">
      <c r="A38" s="11" t="s">
        <v>65</v>
      </c>
      <c r="B38" s="20">
        <f ca="1" t="shared" si="9"/>
        <v>-11.25</v>
      </c>
      <c r="C38" s="20">
        <v>0.75</v>
      </c>
      <c r="D38" s="20">
        <f ca="1" t="shared" si="10"/>
        <v>1.03125</v>
      </c>
      <c r="E38" s="20">
        <f ca="1" t="shared" si="11"/>
        <v>58171.1565770611</v>
      </c>
      <c r="H38" s="20"/>
      <c r="I38" s="20"/>
      <c r="J38" s="20"/>
      <c r="K38" s="20"/>
      <c r="L38" s="20"/>
      <c r="M38" s="20"/>
      <c r="N38" s="20"/>
      <c r="O38" s="11"/>
      <c r="P38" s="11"/>
      <c r="Q38" s="11"/>
      <c r="R38" s="11"/>
      <c r="S38" s="11"/>
      <c r="T38" s="11"/>
      <c r="U38" s="20"/>
      <c r="V38" s="32"/>
      <c r="W38" s="32"/>
    </row>
    <row r="39" spans="1:23">
      <c r="A39" s="20" t="s">
        <v>73</v>
      </c>
      <c r="B39" s="20">
        <f ca="1" t="shared" si="9"/>
        <v>-11.25</v>
      </c>
      <c r="C39" s="20">
        <v>0.75</v>
      </c>
      <c r="D39" s="20">
        <f ca="1" t="shared" si="10"/>
        <v>1.03125</v>
      </c>
      <c r="E39" s="20">
        <f ca="1" t="shared" si="11"/>
        <v>36952.4996043532</v>
      </c>
      <c r="H39" s="20"/>
      <c r="I39" s="20"/>
      <c r="J39" s="20"/>
      <c r="K39" s="20"/>
      <c r="L39" s="20"/>
      <c r="M39" s="20"/>
      <c r="N39" s="20"/>
      <c r="O39" s="11"/>
      <c r="P39" s="11"/>
      <c r="Q39" s="11"/>
      <c r="R39" s="11"/>
      <c r="S39" s="11"/>
      <c r="T39" s="11"/>
      <c r="U39" s="20"/>
      <c r="V39" s="32"/>
      <c r="W39" s="32"/>
    </row>
    <row r="40" spans="1:23">
      <c r="A40" s="11" t="s">
        <v>14</v>
      </c>
      <c r="B40" s="20">
        <f ca="1" t="shared" si="9"/>
        <v>-2.5</v>
      </c>
      <c r="C40" s="20">
        <v>0.5</v>
      </c>
      <c r="D40" s="20">
        <f ca="1" t="shared" si="10"/>
        <v>0.6875</v>
      </c>
      <c r="E40" s="20">
        <f ca="1" t="shared" si="11"/>
        <v>42170.487547031</v>
      </c>
      <c r="H40" s="20"/>
      <c r="I40" s="20"/>
      <c r="J40" s="20"/>
      <c r="K40" s="20"/>
      <c r="L40" s="20"/>
      <c r="M40" s="20"/>
      <c r="N40" s="20"/>
      <c r="O40" s="11"/>
      <c r="P40" s="11"/>
      <c r="Q40" s="11"/>
      <c r="R40" s="11"/>
      <c r="S40" s="11"/>
      <c r="T40" s="11"/>
      <c r="U40" s="20"/>
      <c r="V40" s="32"/>
      <c r="W40" s="32"/>
    </row>
    <row r="41" spans="1:23">
      <c r="A41" s="11" t="s">
        <v>14</v>
      </c>
      <c r="B41" s="20">
        <f ca="1" t="shared" si="9"/>
        <v>-5</v>
      </c>
      <c r="C41" s="20">
        <v>1</v>
      </c>
      <c r="D41" s="20">
        <f ca="1" t="shared" si="10"/>
        <v>1.375</v>
      </c>
      <c r="E41" s="20">
        <f ca="1" t="shared" si="11"/>
        <v>84340.9750940621</v>
      </c>
      <c r="H41" s="20"/>
      <c r="I41" s="20"/>
      <c r="J41" s="20"/>
      <c r="K41" s="20"/>
      <c r="L41" s="20"/>
      <c r="M41" s="20"/>
      <c r="N41" s="20"/>
      <c r="O41" s="11"/>
      <c r="P41" s="11"/>
      <c r="Q41" s="11"/>
      <c r="R41" s="11"/>
      <c r="S41" s="11"/>
      <c r="T41" s="11"/>
      <c r="U41" s="20"/>
      <c r="V41" s="32"/>
      <c r="W41" s="32"/>
    </row>
    <row r="42" spans="1:23">
      <c r="A42" s="11" t="s">
        <v>14</v>
      </c>
      <c r="B42" s="20">
        <f ca="1" t="shared" si="9"/>
        <v>-5</v>
      </c>
      <c r="C42" s="20">
        <v>1</v>
      </c>
      <c r="D42" s="20">
        <f ca="1" t="shared" si="10"/>
        <v>1.375</v>
      </c>
      <c r="E42" s="20">
        <f ca="1" t="shared" si="11"/>
        <v>84340.9750940621</v>
      </c>
      <c r="H42" s="20"/>
      <c r="I42" s="20"/>
      <c r="J42" s="20"/>
      <c r="K42" s="20"/>
      <c r="L42" s="20"/>
      <c r="M42" s="20"/>
      <c r="N42" s="20"/>
      <c r="O42" s="11"/>
      <c r="P42" s="11"/>
      <c r="Q42" s="11"/>
      <c r="R42" s="11"/>
      <c r="S42" s="11"/>
      <c r="T42" s="11"/>
      <c r="U42" s="20"/>
      <c r="V42" s="32"/>
      <c r="W42" s="32"/>
    </row>
    <row r="43" spans="1:23">
      <c r="A43" s="11" t="s">
        <v>14</v>
      </c>
      <c r="B43" s="20">
        <f ca="1" t="shared" si="9"/>
        <v>-5</v>
      </c>
      <c r="C43" s="20">
        <v>1</v>
      </c>
      <c r="D43" s="20">
        <f ca="1" t="shared" si="10"/>
        <v>1.375</v>
      </c>
      <c r="E43" s="20">
        <f ca="1" t="shared" si="11"/>
        <v>84340.9750940621</v>
      </c>
      <c r="H43" s="20"/>
      <c r="I43" s="20"/>
      <c r="J43" s="20"/>
      <c r="K43" s="20"/>
      <c r="L43" s="20"/>
      <c r="M43" s="20"/>
      <c r="N43" s="20"/>
      <c r="O43" s="11"/>
      <c r="P43" s="11"/>
      <c r="Q43" s="11"/>
      <c r="R43" s="11"/>
      <c r="S43" s="11"/>
      <c r="T43" s="11"/>
      <c r="U43" s="20"/>
      <c r="V43" s="32"/>
      <c r="W43" s="32"/>
    </row>
    <row r="44" spans="1:23">
      <c r="A44" s="11" t="s">
        <v>14</v>
      </c>
      <c r="B44" s="20">
        <f ca="1" t="shared" si="9"/>
        <v>-5</v>
      </c>
      <c r="C44" s="20">
        <v>1</v>
      </c>
      <c r="D44" s="20">
        <f ca="1" t="shared" si="10"/>
        <v>1.375</v>
      </c>
      <c r="E44" s="20">
        <f ca="1" t="shared" si="11"/>
        <v>84340.9750940621</v>
      </c>
      <c r="H44" s="20"/>
      <c r="I44" s="20"/>
      <c r="J44" s="20"/>
      <c r="K44" s="20"/>
      <c r="L44" s="20"/>
      <c r="M44" s="20"/>
      <c r="N44" s="20"/>
      <c r="O44" s="11"/>
      <c r="P44" s="11"/>
      <c r="Q44" s="11"/>
      <c r="R44" s="11"/>
      <c r="S44" s="11"/>
      <c r="T44" s="11"/>
      <c r="U44" s="20"/>
      <c r="V44" s="32"/>
      <c r="W44" s="32"/>
    </row>
    <row r="45" spans="1:23">
      <c r="A45" s="11" t="s">
        <v>14</v>
      </c>
      <c r="B45" s="20">
        <f ca="1" t="shared" si="9"/>
        <v>-5</v>
      </c>
      <c r="C45" s="20">
        <v>1</v>
      </c>
      <c r="D45" s="20">
        <f ca="1" t="shared" si="10"/>
        <v>1.375</v>
      </c>
      <c r="E45" s="20">
        <f ca="1" t="shared" si="11"/>
        <v>84340.9750940621</v>
      </c>
      <c r="H45" s="20"/>
      <c r="I45" s="20"/>
      <c r="J45" s="20"/>
      <c r="K45" s="20"/>
      <c r="L45" s="20"/>
      <c r="M45" s="20"/>
      <c r="N45" s="20"/>
      <c r="O45" s="11"/>
      <c r="P45" s="11"/>
      <c r="Q45" s="11"/>
      <c r="R45" s="11"/>
      <c r="S45" s="11"/>
      <c r="T45" s="11"/>
      <c r="U45" s="20"/>
      <c r="V45" s="32"/>
      <c r="W45" s="32"/>
    </row>
    <row r="46" spans="1:23">
      <c r="A46" s="11" t="s">
        <v>14</v>
      </c>
      <c r="B46" s="20">
        <f ca="1" t="shared" si="9"/>
        <v>-5</v>
      </c>
      <c r="C46" s="20">
        <v>1</v>
      </c>
      <c r="D46" s="20">
        <f ca="1" t="shared" si="10"/>
        <v>1.375</v>
      </c>
      <c r="E46" s="20">
        <f ca="1" t="shared" si="11"/>
        <v>84340.9750940621</v>
      </c>
      <c r="H46" s="20"/>
      <c r="I46" s="20"/>
      <c r="J46" s="20"/>
      <c r="K46" s="20"/>
      <c r="L46" s="20"/>
      <c r="M46" s="20"/>
      <c r="N46" s="20"/>
      <c r="O46" s="11"/>
      <c r="P46" s="11"/>
      <c r="Q46" s="11"/>
      <c r="R46" s="11"/>
      <c r="S46" s="11"/>
      <c r="T46" s="11"/>
      <c r="U46" s="20"/>
      <c r="V46" s="32"/>
      <c r="W46" s="32"/>
    </row>
    <row r="47" spans="1:23">
      <c r="A47" s="11" t="s">
        <v>14</v>
      </c>
      <c r="B47" s="20">
        <f ca="1" t="shared" si="9"/>
        <v>-5</v>
      </c>
      <c r="C47" s="20">
        <v>1</v>
      </c>
      <c r="D47" s="20">
        <f ca="1" t="shared" si="10"/>
        <v>1.375</v>
      </c>
      <c r="E47" s="20">
        <f ca="1" t="shared" si="11"/>
        <v>84340.9750940621</v>
      </c>
      <c r="H47" s="20"/>
      <c r="I47" s="20"/>
      <c r="J47" s="20"/>
      <c r="K47" s="20"/>
      <c r="L47" s="20"/>
      <c r="M47" s="7"/>
      <c r="N47" s="7"/>
      <c r="O47" s="11"/>
      <c r="P47" s="11"/>
      <c r="Q47" s="11"/>
      <c r="R47" s="11"/>
      <c r="S47" s="11"/>
      <c r="T47" s="11"/>
      <c r="U47" s="20"/>
      <c r="V47" s="32"/>
      <c r="W47" s="32"/>
    </row>
    <row r="48" spans="1:23">
      <c r="A48" s="11" t="s">
        <v>14</v>
      </c>
      <c r="B48" s="20">
        <f ca="1" t="shared" si="9"/>
        <v>-5</v>
      </c>
      <c r="C48" s="20">
        <v>1</v>
      </c>
      <c r="D48" s="20">
        <f ca="1" t="shared" si="10"/>
        <v>1.375</v>
      </c>
      <c r="E48" s="20">
        <f ca="1" t="shared" si="11"/>
        <v>84340.9750940621</v>
      </c>
      <c r="H48" s="20"/>
      <c r="I48" s="20"/>
      <c r="J48" s="20"/>
      <c r="K48" s="20"/>
      <c r="L48" s="20"/>
      <c r="M48" s="7"/>
      <c r="N48" s="7"/>
      <c r="O48" s="11"/>
      <c r="P48" s="11"/>
      <c r="Q48" s="11"/>
      <c r="R48" s="11"/>
      <c r="S48" s="11"/>
      <c r="T48" s="11"/>
      <c r="U48" s="20"/>
      <c r="V48" s="32"/>
      <c r="W48" s="32"/>
    </row>
    <row r="49" spans="1:23">
      <c r="A49" s="11"/>
      <c r="B49" s="7"/>
      <c r="C49" s="11">
        <f>SUM(C38:C48)</f>
        <v>10</v>
      </c>
      <c r="D49" s="11">
        <f ca="1">SUM(D39:D48)+C49/16</f>
        <v>13.34375</v>
      </c>
      <c r="E49" s="7">
        <f ca="1">INT(D49+1)*$I$9</f>
        <v>175428.958120804</v>
      </c>
      <c r="F49" s="11">
        <f ca="1">D49*$I$16/$T$15+(D50-D49)*$I$15/$T$15</f>
        <v>103274.915014594</v>
      </c>
      <c r="H49" s="20"/>
      <c r="I49" s="20"/>
      <c r="J49" s="20"/>
      <c r="K49" s="20"/>
      <c r="L49" s="20"/>
      <c r="O49" s="11"/>
      <c r="P49" s="11"/>
      <c r="Q49" s="11"/>
      <c r="R49" s="11"/>
      <c r="S49" s="11"/>
      <c r="T49" s="11"/>
      <c r="U49" s="20"/>
      <c r="V49" s="32"/>
      <c r="W49" s="32"/>
    </row>
    <row r="50" spans="1:23">
      <c r="A50" s="11"/>
      <c r="B50" s="11">
        <f ca="1">SUM(B36:B48)</f>
        <v>-45.5</v>
      </c>
      <c r="C50" s="11">
        <f>SUM(C36:C48)</f>
        <v>11.3</v>
      </c>
      <c r="D50" s="11">
        <f ca="1">SUM(D36:D48)</f>
        <v>15.5375</v>
      </c>
      <c r="E50" s="11">
        <f ca="1">SUM(E36:E49)</f>
        <v>1146686.19666491</v>
      </c>
      <c r="H50" s="20"/>
      <c r="I50" s="20"/>
      <c r="J50" s="20"/>
      <c r="K50" s="20"/>
      <c r="L50" s="20"/>
      <c r="O50" s="11"/>
      <c r="P50" s="11"/>
      <c r="Q50" s="11"/>
      <c r="R50" s="11"/>
      <c r="S50" s="11"/>
      <c r="T50" s="7"/>
      <c r="U50" s="20"/>
      <c r="V50" s="32"/>
      <c r="W50" s="32"/>
    </row>
    <row r="51" spans="1:23">
      <c r="A51" s="11"/>
      <c r="B51" s="11">
        <v>0</v>
      </c>
      <c r="C51" s="11">
        <f>C50*B51</f>
        <v>0</v>
      </c>
      <c r="D51" s="11">
        <f ca="1">D50+C51/16</f>
        <v>15.5375</v>
      </c>
      <c r="E51" s="11">
        <f ca="1">E50/D51</f>
        <v>73801.2033251749</v>
      </c>
      <c r="F51" s="11">
        <f ca="1">F49/D51</f>
        <v>6646.81673464806</v>
      </c>
      <c r="G51" s="11">
        <f ca="1" t="shared" ref="G51:G55" si="12">(E51+F51+$Q$30+$Q$31+$Q$32+$Q$33)*(1+$P$23)</f>
        <v>102701.560950332</v>
      </c>
      <c r="H51" s="20"/>
      <c r="I51" s="20"/>
      <c r="J51" s="20"/>
      <c r="K51" s="20"/>
      <c r="L51" s="20"/>
      <c r="O51" s="11"/>
      <c r="P51" s="11"/>
      <c r="Q51" s="11"/>
      <c r="R51" s="11"/>
      <c r="S51" s="11"/>
      <c r="T51" s="11"/>
      <c r="U51" s="20"/>
      <c r="V51" s="32"/>
      <c r="W51" s="32"/>
    </row>
    <row r="52" spans="1:23">
      <c r="A52" s="11"/>
      <c r="B52" s="11">
        <v>1</v>
      </c>
      <c r="C52" s="11">
        <f>C50*B52</f>
        <v>11.3</v>
      </c>
      <c r="D52" s="11">
        <f ca="1">D50+C52/16</f>
        <v>16.24375</v>
      </c>
      <c r="E52" s="11">
        <f ca="1">E50/D52</f>
        <v>70592.4553545152</v>
      </c>
      <c r="F52" s="11">
        <f ca="1">F49/D52</f>
        <v>6357.82470270684</v>
      </c>
      <c r="G52" s="11">
        <f ca="1" t="shared" si="12"/>
        <v>99203.8209477307</v>
      </c>
      <c r="H52" s="20">
        <f ca="1">(G52-实战!G52)*10</f>
        <v>0</v>
      </c>
      <c r="I52" s="20"/>
      <c r="J52" s="20"/>
      <c r="K52" s="20"/>
      <c r="L52" s="20"/>
      <c r="O52" s="11"/>
      <c r="P52" s="11"/>
      <c r="Q52" s="7"/>
      <c r="R52" s="11"/>
      <c r="S52" s="11"/>
      <c r="T52" s="11"/>
      <c r="U52" s="20"/>
      <c r="V52" s="32"/>
      <c r="W52" s="32"/>
    </row>
    <row r="53" spans="1:23">
      <c r="A53" s="11"/>
      <c r="B53" s="11">
        <v>3</v>
      </c>
      <c r="C53" s="11">
        <f>C50*B53</f>
        <v>33.9</v>
      </c>
      <c r="D53" s="11">
        <f ca="1">D50+C53/16</f>
        <v>17.65625</v>
      </c>
      <c r="E53" s="11">
        <f ca="1">E50/D53</f>
        <v>64945.0589261539</v>
      </c>
      <c r="F53" s="20">
        <f ca="1">F49/D53</f>
        <v>5849.19872649029</v>
      </c>
      <c r="G53" s="11">
        <f ca="1" t="shared" si="12"/>
        <v>93047.7985431529</v>
      </c>
      <c r="H53" s="20"/>
      <c r="I53" s="20"/>
      <c r="J53" s="20"/>
      <c r="K53" s="20"/>
      <c r="L53" s="20"/>
      <c r="O53" s="7"/>
      <c r="P53" s="11"/>
      <c r="Q53" s="7"/>
      <c r="R53" s="11"/>
      <c r="S53" s="11"/>
      <c r="T53" s="11"/>
      <c r="U53" s="20"/>
      <c r="V53" s="32"/>
      <c r="W53" s="32"/>
    </row>
    <row r="54" spans="1:23">
      <c r="A54" s="11"/>
      <c r="B54" s="11">
        <v>5</v>
      </c>
      <c r="C54" s="11">
        <f>C50*B54</f>
        <v>56.5</v>
      </c>
      <c r="D54" s="11">
        <f ca="1">D50+C54/16</f>
        <v>19.06875</v>
      </c>
      <c r="E54" s="11">
        <f ca="1">E50/D54</f>
        <v>60134.3138205129</v>
      </c>
      <c r="F54" s="20">
        <f ca="1">F49/D54</f>
        <v>5415.92474675027</v>
      </c>
      <c r="G54" s="11">
        <f ca="1" t="shared" si="12"/>
        <v>87803.7794577718</v>
      </c>
      <c r="H54" s="11"/>
      <c r="I54" s="20"/>
      <c r="J54" s="20"/>
      <c r="K54" s="20"/>
      <c r="L54" s="20"/>
      <c r="O54" s="11"/>
      <c r="P54" s="11"/>
      <c r="Q54" s="7"/>
      <c r="R54" s="11"/>
      <c r="S54" s="11"/>
      <c r="T54" s="11"/>
      <c r="U54" s="20"/>
      <c r="V54" s="32"/>
      <c r="W54" s="32"/>
    </row>
    <row r="55" spans="1:23">
      <c r="A55" s="11"/>
      <c r="B55" s="11">
        <v>7</v>
      </c>
      <c r="C55" s="11">
        <f>C50*B55</f>
        <v>79.1</v>
      </c>
      <c r="D55" s="11">
        <f ca="1">D50+C55/16</f>
        <v>20.48125</v>
      </c>
      <c r="E55" s="11">
        <f ca="1">E50/D55</f>
        <v>55987.1197639258</v>
      </c>
      <c r="F55" s="20">
        <f ca="1">F49/D55</f>
        <v>5042.41269525025</v>
      </c>
      <c r="G55" s="11">
        <f ca="1" t="shared" si="12"/>
        <v>83283.0733496847</v>
      </c>
      <c r="H55" s="11"/>
      <c r="I55" s="20"/>
      <c r="J55" s="20"/>
      <c r="K55" s="20"/>
      <c r="L55" s="20"/>
      <c r="O55" s="11"/>
      <c r="P55" s="11"/>
      <c r="Q55" s="7"/>
      <c r="R55" s="11"/>
      <c r="S55" s="11"/>
      <c r="T55" s="11"/>
      <c r="U55" s="20"/>
      <c r="V55" s="32"/>
      <c r="W55" s="32"/>
    </row>
    <row r="56" spans="8:23">
      <c r="H56" s="20"/>
      <c r="I56" s="20"/>
      <c r="J56" s="20"/>
      <c r="K56" s="20"/>
      <c r="L56" s="20"/>
      <c r="M56" s="20"/>
      <c r="N56" s="20"/>
      <c r="O56" s="11"/>
      <c r="P56" s="11"/>
      <c r="Q56" s="7"/>
      <c r="R56" s="11"/>
      <c r="S56" s="11"/>
      <c r="T56" s="11"/>
      <c r="U56" s="20"/>
      <c r="V56" s="32"/>
      <c r="W56" s="32"/>
    </row>
    <row r="57" spans="8:24">
      <c r="H57" s="20"/>
      <c r="I57" s="20"/>
      <c r="J57" s="20"/>
      <c r="K57" s="20"/>
      <c r="L57" s="20"/>
      <c r="M57" s="20"/>
      <c r="N57" s="20"/>
      <c r="O57" s="11"/>
      <c r="P57" s="11"/>
      <c r="Q57" s="7"/>
      <c r="R57" s="11"/>
      <c r="S57" s="11"/>
      <c r="T57" s="11"/>
      <c r="U57" s="20"/>
      <c r="V57" s="32"/>
      <c r="W57" s="32"/>
      <c r="X57" s="32"/>
    </row>
    <row r="58" spans="1:23">
      <c r="A58" s="20"/>
      <c r="B58" s="20"/>
      <c r="C58" s="20"/>
      <c r="D58" s="20"/>
      <c r="E58" s="20"/>
      <c r="H58" s="20"/>
      <c r="I58" s="20"/>
      <c r="J58" s="20"/>
      <c r="K58" s="20"/>
      <c r="L58" s="20"/>
      <c r="M58" s="20"/>
      <c r="N58" s="20"/>
      <c r="O58" s="11"/>
      <c r="P58" s="11"/>
      <c r="Q58" s="7"/>
      <c r="R58" s="11"/>
      <c r="S58" s="11"/>
      <c r="T58" s="11"/>
      <c r="U58" s="20"/>
      <c r="V58" s="32"/>
      <c r="W58" s="34"/>
    </row>
    <row r="59" spans="1:23">
      <c r="A59" s="20"/>
      <c r="B59" s="20"/>
      <c r="C59" s="20"/>
      <c r="D59" s="20"/>
      <c r="E59" s="20"/>
      <c r="H59" s="20"/>
      <c r="I59" s="20"/>
      <c r="J59" s="20"/>
      <c r="K59" s="20"/>
      <c r="L59" s="20"/>
      <c r="M59" s="20"/>
      <c r="N59" s="20"/>
      <c r="O59" s="11"/>
      <c r="P59" s="11"/>
      <c r="Q59" s="7"/>
      <c r="R59" s="11"/>
      <c r="S59" s="11"/>
      <c r="T59" s="11"/>
      <c r="U59" s="20"/>
      <c r="V59" s="32"/>
      <c r="W59" s="34"/>
    </row>
    <row r="60" spans="1:23">
      <c r="A60" s="20"/>
      <c r="B60" s="20"/>
      <c r="C60" s="20"/>
      <c r="D60" s="20"/>
      <c r="E60" s="20"/>
      <c r="H60" s="20"/>
      <c r="I60" s="20"/>
      <c r="J60" s="20"/>
      <c r="K60" s="20"/>
      <c r="L60" s="20"/>
      <c r="M60" s="20"/>
      <c r="N60" s="20"/>
      <c r="O60" s="11"/>
      <c r="P60" s="11"/>
      <c r="Q60" s="7"/>
      <c r="R60" s="11"/>
      <c r="S60" s="11"/>
      <c r="T60" s="11"/>
      <c r="U60" s="20"/>
      <c r="V60" s="32"/>
      <c r="W60" s="34"/>
    </row>
    <row r="61" spans="1:23">
      <c r="A61" s="20"/>
      <c r="B61" s="20"/>
      <c r="C61" s="20"/>
      <c r="D61" s="20"/>
      <c r="E61" s="20"/>
      <c r="H61" s="20"/>
      <c r="I61" s="20"/>
      <c r="J61" s="20"/>
      <c r="K61" s="20"/>
      <c r="L61" s="20"/>
      <c r="M61" s="20"/>
      <c r="N61" s="20"/>
      <c r="O61" s="11"/>
      <c r="P61" s="11"/>
      <c r="Q61" s="7"/>
      <c r="R61" s="11"/>
      <c r="S61" s="11"/>
      <c r="T61" s="11"/>
      <c r="U61" s="20"/>
      <c r="V61" s="32"/>
      <c r="W61" s="34"/>
    </row>
    <row r="62" spans="1:23">
      <c r="A62" s="20"/>
      <c r="B62" s="20"/>
      <c r="C62" s="20"/>
      <c r="D62" s="20"/>
      <c r="E62" s="20"/>
      <c r="H62" s="20"/>
      <c r="I62" s="20"/>
      <c r="J62" s="20"/>
      <c r="K62" s="20"/>
      <c r="L62" s="20"/>
      <c r="M62" s="20"/>
      <c r="N62" s="20"/>
      <c r="O62" s="11"/>
      <c r="P62" s="11"/>
      <c r="Q62" s="7"/>
      <c r="R62" s="11"/>
      <c r="S62" s="11"/>
      <c r="T62" s="11"/>
      <c r="U62" s="20"/>
      <c r="V62" s="32"/>
      <c r="W62" s="34"/>
    </row>
    <row r="63" spans="1:23">
      <c r="A63" s="20"/>
      <c r="B63" s="20"/>
      <c r="C63" s="20"/>
      <c r="D63" s="20"/>
      <c r="E63" s="20"/>
      <c r="H63" s="20"/>
      <c r="I63" s="20"/>
      <c r="J63" s="20"/>
      <c r="K63" s="20"/>
      <c r="L63" s="20"/>
      <c r="M63" s="20"/>
      <c r="N63" s="20"/>
      <c r="O63" s="11"/>
      <c r="U63" s="20"/>
      <c r="V63" s="32"/>
      <c r="W63" s="34"/>
    </row>
    <row r="64" spans="1:23">
      <c r="A64" s="20"/>
      <c r="B64" s="20"/>
      <c r="C64" s="20"/>
      <c r="D64" s="20"/>
      <c r="E64" s="20"/>
      <c r="H64" s="20"/>
      <c r="I64" s="20"/>
      <c r="J64" s="20"/>
      <c r="K64" s="20"/>
      <c r="L64" s="20"/>
      <c r="M64" s="20"/>
      <c r="N64" s="20"/>
      <c r="P64" s="7"/>
      <c r="Q64" s="11"/>
      <c r="R64" s="11"/>
      <c r="S64" s="7"/>
      <c r="T64" s="11"/>
      <c r="U64" s="20"/>
      <c r="V64" s="32"/>
      <c r="W64" s="34"/>
    </row>
    <row r="65" spans="1:23">
      <c r="A65" s="20"/>
      <c r="B65" s="20"/>
      <c r="C65" s="20"/>
      <c r="D65" s="20"/>
      <c r="E65" s="20"/>
      <c r="H65" s="20"/>
      <c r="I65" s="20"/>
      <c r="J65" s="20"/>
      <c r="K65" s="20"/>
      <c r="L65" s="20"/>
      <c r="M65" s="20"/>
      <c r="N65" s="20"/>
      <c r="O65" s="11"/>
      <c r="P65" s="11"/>
      <c r="Q65" s="11"/>
      <c r="R65" s="11"/>
      <c r="S65" s="11"/>
      <c r="T65" s="11"/>
      <c r="U65" s="20"/>
      <c r="V65" s="32"/>
      <c r="W65" s="34"/>
    </row>
    <row r="66" spans="1:23">
      <c r="A66" s="20"/>
      <c r="B66" s="20"/>
      <c r="C66" s="20"/>
      <c r="D66" s="20"/>
      <c r="E66" s="20"/>
      <c r="H66" s="20"/>
      <c r="I66" s="20"/>
      <c r="J66" s="20"/>
      <c r="K66" s="20"/>
      <c r="L66" s="20"/>
      <c r="M66" s="20"/>
      <c r="N66" s="20"/>
      <c r="O66" s="11"/>
      <c r="P66" s="11"/>
      <c r="Q66" s="11"/>
      <c r="R66" s="11"/>
      <c r="S66" s="11"/>
      <c r="T66" s="11"/>
      <c r="U66" s="11"/>
      <c r="V66" s="32"/>
      <c r="W66" s="34"/>
    </row>
    <row r="67" spans="1:23">
      <c r="A67" s="20"/>
      <c r="B67" s="20"/>
      <c r="C67" s="20"/>
      <c r="D67" s="20"/>
      <c r="E67" s="20"/>
      <c r="H67" s="20"/>
      <c r="I67" s="20"/>
      <c r="J67" s="20"/>
      <c r="K67" s="20"/>
      <c r="L67" s="20"/>
      <c r="O67" s="11"/>
      <c r="P67" s="11"/>
      <c r="Q67" s="11"/>
      <c r="R67" s="11"/>
      <c r="S67" s="11"/>
      <c r="T67" s="11"/>
      <c r="U67" s="11"/>
      <c r="V67" s="32"/>
      <c r="W67" s="34"/>
    </row>
    <row r="68" spans="1:2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O68" s="11"/>
      <c r="P68" s="11"/>
      <c r="Q68" s="11"/>
      <c r="R68" s="11"/>
      <c r="S68" s="11"/>
      <c r="T68" s="20"/>
      <c r="U68" s="11"/>
      <c r="V68" s="32"/>
      <c r="W68" s="34"/>
    </row>
    <row r="69" spans="1:23">
      <c r="A69" s="20"/>
      <c r="B69" s="20"/>
      <c r="C69" s="20"/>
      <c r="D69" s="20"/>
      <c r="E69" s="20"/>
      <c r="F69" s="20"/>
      <c r="G69" s="20"/>
      <c r="H69" s="11"/>
      <c r="I69" s="20"/>
      <c r="J69" s="20"/>
      <c r="K69" s="20"/>
      <c r="L69" s="20"/>
      <c r="O69" s="11"/>
      <c r="P69" s="11"/>
      <c r="Q69" s="11"/>
      <c r="R69" s="11"/>
      <c r="S69" s="11"/>
      <c r="T69" s="20"/>
      <c r="U69" s="11"/>
      <c r="V69" s="32"/>
      <c r="W69" s="34"/>
    </row>
    <row r="70" spans="1:23">
      <c r="A70" s="20"/>
      <c r="B70" s="20"/>
      <c r="C70" s="20"/>
      <c r="D70" s="20"/>
      <c r="E70" s="20"/>
      <c r="F70" s="20"/>
      <c r="G70" s="20"/>
      <c r="H70" s="11"/>
      <c r="I70" s="20"/>
      <c r="J70" s="20"/>
      <c r="K70" s="20"/>
      <c r="L70" s="20"/>
      <c r="O70" s="11"/>
      <c r="P70" s="11"/>
      <c r="Q70" s="11"/>
      <c r="R70" s="11"/>
      <c r="S70" s="11"/>
      <c r="T70" s="20"/>
      <c r="U70" s="11"/>
      <c r="V70" s="32"/>
      <c r="W70" s="34"/>
    </row>
    <row r="71" spans="1:23">
      <c r="A71" s="11"/>
      <c r="B71" s="7"/>
      <c r="C71" s="11"/>
      <c r="D71" s="11"/>
      <c r="E71" s="7"/>
      <c r="F71" s="11"/>
      <c r="G71" s="11"/>
      <c r="H71" s="20"/>
      <c r="I71" s="7"/>
      <c r="J71" s="11"/>
      <c r="K71" s="11"/>
      <c r="L71" s="7"/>
      <c r="M71" s="11"/>
      <c r="N71" s="11"/>
      <c r="U71" s="20"/>
      <c r="V71" s="32"/>
      <c r="W71" s="34"/>
    </row>
    <row r="72" spans="1:23">
      <c r="A72" s="7"/>
      <c r="B72" s="11"/>
      <c r="C72" s="11"/>
      <c r="D72" s="11"/>
      <c r="E72" s="11"/>
      <c r="F72" s="11"/>
      <c r="G72" s="11"/>
      <c r="H72" s="20"/>
      <c r="I72" s="11"/>
      <c r="J72" s="11"/>
      <c r="K72" s="11"/>
      <c r="L72" s="11"/>
      <c r="N72" s="11"/>
      <c r="O72" s="20"/>
      <c r="U72" s="20"/>
      <c r="V72" s="32"/>
      <c r="W72" s="34"/>
    </row>
    <row r="73" spans="1:23">
      <c r="A73" s="11"/>
      <c r="B73" s="11"/>
      <c r="C73" s="11"/>
      <c r="D73" s="11"/>
      <c r="E73" s="11"/>
      <c r="F73" s="11"/>
      <c r="G73" s="11"/>
      <c r="H73" s="20"/>
      <c r="I73" s="11"/>
      <c r="J73" s="11"/>
      <c r="K73" s="11"/>
      <c r="L73" s="11"/>
      <c r="M73" s="11"/>
      <c r="N73" s="11"/>
      <c r="O73" s="20"/>
      <c r="U73" s="20"/>
      <c r="V73" s="32"/>
      <c r="W73" s="34"/>
    </row>
    <row r="74" spans="1:23">
      <c r="A74" s="11"/>
      <c r="B74" s="11"/>
      <c r="C74" s="11"/>
      <c r="D74" s="11"/>
      <c r="E74" s="11"/>
      <c r="F74" s="11"/>
      <c r="G74" s="11"/>
      <c r="H74" s="20"/>
      <c r="I74" s="11"/>
      <c r="J74" s="11"/>
      <c r="K74" s="11"/>
      <c r="L74" s="11"/>
      <c r="M74" s="11"/>
      <c r="N74" s="11"/>
      <c r="O74" s="20"/>
      <c r="U74" s="20"/>
      <c r="V74" s="32"/>
      <c r="W74" s="34"/>
    </row>
    <row r="75" spans="1:23">
      <c r="A75" s="11"/>
      <c r="B75" s="11"/>
      <c r="C75" s="11"/>
      <c r="D75" s="11"/>
      <c r="E75" s="11"/>
      <c r="F75" s="20"/>
      <c r="G75" s="11"/>
      <c r="H75" s="20"/>
      <c r="I75" s="11"/>
      <c r="J75" s="11"/>
      <c r="K75" s="11"/>
      <c r="L75" s="11"/>
      <c r="M75" s="20"/>
      <c r="N75" s="11"/>
      <c r="O75" s="20"/>
      <c r="U75" s="20"/>
      <c r="V75" s="32"/>
      <c r="W75" s="34"/>
    </row>
    <row r="76" spans="1:23">
      <c r="A76" s="11"/>
      <c r="B76" s="11"/>
      <c r="C76" s="11"/>
      <c r="D76" s="11"/>
      <c r="E76" s="11"/>
      <c r="F76" s="20"/>
      <c r="G76" s="11"/>
      <c r="H76" s="20"/>
      <c r="I76" s="11"/>
      <c r="J76" s="11"/>
      <c r="K76" s="11"/>
      <c r="L76" s="11"/>
      <c r="M76" s="20"/>
      <c r="N76" s="11"/>
      <c r="O76" s="20"/>
      <c r="U76" s="20"/>
      <c r="V76" s="32"/>
      <c r="W76" s="34"/>
    </row>
    <row r="77" spans="1:23">
      <c r="A77" s="11"/>
      <c r="B77" s="11"/>
      <c r="C77" s="11"/>
      <c r="D77" s="11"/>
      <c r="E77" s="11"/>
      <c r="F77" s="20"/>
      <c r="G77" s="11"/>
      <c r="H77" s="20"/>
      <c r="I77" s="11"/>
      <c r="J77" s="11"/>
      <c r="K77" s="11"/>
      <c r="L77" s="11"/>
      <c r="M77" s="20"/>
      <c r="N77" s="11"/>
      <c r="O77" s="20"/>
      <c r="U77" s="20"/>
      <c r="V77" s="32"/>
      <c r="W77" s="34"/>
    </row>
    <row r="78" spans="8:23">
      <c r="H78" s="11"/>
      <c r="I78" s="11"/>
      <c r="J78" s="1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32"/>
      <c r="W78" s="34"/>
    </row>
    <row r="79" spans="8:23">
      <c r="H79" s="11"/>
      <c r="I79" s="11"/>
      <c r="J79" s="1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32"/>
      <c r="W79" s="34"/>
    </row>
    <row r="80" spans="1:2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32"/>
      <c r="W80" s="34"/>
    </row>
    <row r="81" spans="1:2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32"/>
      <c r="W81" s="34"/>
    </row>
    <row r="82" spans="1:2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32"/>
      <c r="W82" s="34"/>
    </row>
    <row r="83" spans="1:2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32"/>
      <c r="W83" s="34"/>
    </row>
    <row r="84" spans="1:2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32"/>
      <c r="W84" s="34"/>
    </row>
    <row r="85" spans="1:2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32"/>
      <c r="W85" s="34"/>
    </row>
    <row r="86" spans="1:2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32"/>
      <c r="W86" s="34"/>
    </row>
    <row r="87" spans="1:2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32"/>
      <c r="W87" s="34"/>
    </row>
    <row r="88" spans="1:2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32"/>
      <c r="W88" s="34"/>
    </row>
    <row r="89" spans="1:2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32"/>
      <c r="W89" s="34"/>
    </row>
    <row r="90" spans="1:2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32"/>
      <c r="W90" s="34"/>
    </row>
    <row r="91" spans="1:2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32"/>
      <c r="W91" s="34"/>
    </row>
    <row r="92" spans="1:2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32"/>
      <c r="W92" s="34"/>
    </row>
    <row r="93" spans="1:23">
      <c r="A93" s="20"/>
      <c r="B93" s="20"/>
      <c r="C93" s="20"/>
      <c r="D93" s="20"/>
      <c r="E93" s="20"/>
      <c r="F93" s="11"/>
      <c r="G93" s="7"/>
      <c r="H93" s="20"/>
      <c r="I93" s="20"/>
      <c r="J93" s="20"/>
      <c r="K93" s="20"/>
      <c r="L93" s="20"/>
      <c r="M93" s="11"/>
      <c r="N93" s="7"/>
      <c r="O93" s="20"/>
      <c r="P93" s="20"/>
      <c r="Q93" s="20"/>
      <c r="R93" s="20"/>
      <c r="S93" s="20"/>
      <c r="T93" s="11"/>
      <c r="U93" s="7"/>
      <c r="V93" s="32"/>
      <c r="W93" s="34"/>
    </row>
    <row r="94" spans="1:23">
      <c r="A94" s="20"/>
      <c r="B94" s="20"/>
      <c r="C94" s="20"/>
      <c r="D94" s="20"/>
      <c r="E94" s="20"/>
      <c r="F94" s="7"/>
      <c r="G94" s="11"/>
      <c r="H94" s="20"/>
      <c r="I94" s="20"/>
      <c r="J94" s="20"/>
      <c r="K94" s="20"/>
      <c r="L94" s="20"/>
      <c r="M94" s="7"/>
      <c r="N94" s="11"/>
      <c r="O94" s="20"/>
      <c r="P94" s="20"/>
      <c r="Q94" s="20"/>
      <c r="R94" s="20"/>
      <c r="S94" s="20"/>
      <c r="T94" s="7"/>
      <c r="U94" s="11"/>
      <c r="V94" s="32"/>
      <c r="W94" s="34"/>
    </row>
    <row r="95" spans="1:23">
      <c r="A95" s="20"/>
      <c r="B95" s="20"/>
      <c r="C95" s="20"/>
      <c r="D95" s="20"/>
      <c r="E95" s="20"/>
      <c r="F95" s="11"/>
      <c r="G95" s="11"/>
      <c r="H95" s="20"/>
      <c r="I95" s="20"/>
      <c r="J95" s="20"/>
      <c r="K95" s="20"/>
      <c r="L95" s="20"/>
      <c r="M95" s="11"/>
      <c r="N95" s="11"/>
      <c r="O95" s="20"/>
      <c r="P95" s="20"/>
      <c r="Q95" s="20"/>
      <c r="R95" s="20"/>
      <c r="S95" s="20"/>
      <c r="T95" s="11"/>
      <c r="U95" s="11"/>
      <c r="V95" s="32"/>
      <c r="W95" s="34"/>
    </row>
    <row r="96" spans="1:23">
      <c r="A96" s="20"/>
      <c r="B96" s="7"/>
      <c r="C96" s="11"/>
      <c r="D96" s="11"/>
      <c r="E96" s="7"/>
      <c r="F96" s="11"/>
      <c r="G96" s="11"/>
      <c r="H96" s="20"/>
      <c r="I96" s="20"/>
      <c r="J96" s="20"/>
      <c r="K96" s="20"/>
      <c r="L96" s="20"/>
      <c r="O96" s="20"/>
      <c r="P96" s="20"/>
      <c r="Q96" s="20"/>
      <c r="R96" s="20"/>
      <c r="S96" s="20"/>
      <c r="V96" s="32"/>
      <c r="W96" s="34"/>
    </row>
    <row r="97" spans="1:23">
      <c r="A97" s="20"/>
      <c r="B97" s="11"/>
      <c r="C97" s="11"/>
      <c r="D97" s="11"/>
      <c r="E97" s="11"/>
      <c r="G97" s="11"/>
      <c r="H97" s="20"/>
      <c r="I97" s="7"/>
      <c r="J97" s="11"/>
      <c r="K97" s="11"/>
      <c r="L97" s="7"/>
      <c r="M97" s="11"/>
      <c r="N97" s="11"/>
      <c r="O97" s="20"/>
      <c r="P97" s="20"/>
      <c r="Q97" s="20"/>
      <c r="R97" s="20"/>
      <c r="S97" s="20"/>
      <c r="V97" s="32"/>
      <c r="W97" s="34"/>
    </row>
    <row r="98" spans="1:23">
      <c r="A98" s="20"/>
      <c r="B98" s="11"/>
      <c r="C98" s="11"/>
      <c r="D98" s="11"/>
      <c r="E98" s="11"/>
      <c r="F98" s="11"/>
      <c r="G98" s="11"/>
      <c r="H98" s="20"/>
      <c r="I98" s="11"/>
      <c r="J98" s="11"/>
      <c r="K98" s="11"/>
      <c r="L98" s="11"/>
      <c r="N98" s="11"/>
      <c r="O98" s="20"/>
      <c r="P98" s="7"/>
      <c r="Q98" s="11"/>
      <c r="R98" s="11"/>
      <c r="S98" s="7"/>
      <c r="T98" s="11"/>
      <c r="U98" s="11"/>
      <c r="V98" s="32"/>
      <c r="W98" s="34"/>
    </row>
    <row r="99" spans="1:23">
      <c r="A99" s="20"/>
      <c r="B99" s="11"/>
      <c r="C99" s="11"/>
      <c r="D99" s="11"/>
      <c r="E99" s="11"/>
      <c r="F99" s="11"/>
      <c r="G99" s="11"/>
      <c r="H99" s="20"/>
      <c r="I99" s="11"/>
      <c r="J99" s="11"/>
      <c r="K99" s="11"/>
      <c r="L99" s="11"/>
      <c r="M99" s="11"/>
      <c r="N99" s="11"/>
      <c r="O99" s="20"/>
      <c r="P99" s="11"/>
      <c r="Q99" s="11"/>
      <c r="R99" s="11"/>
      <c r="S99" s="11"/>
      <c r="U99" s="11"/>
      <c r="V99" s="32"/>
      <c r="W99" s="34"/>
    </row>
    <row r="100" spans="1:23">
      <c r="A100" s="20"/>
      <c r="B100" s="11"/>
      <c r="C100" s="11"/>
      <c r="D100" s="11"/>
      <c r="E100" s="11"/>
      <c r="F100" s="20"/>
      <c r="G100" s="11"/>
      <c r="H100" s="20"/>
      <c r="I100" s="11"/>
      <c r="J100" s="11"/>
      <c r="K100" s="11"/>
      <c r="L100" s="11"/>
      <c r="M100" s="11"/>
      <c r="N100" s="11"/>
      <c r="O100" s="20"/>
      <c r="P100" s="11"/>
      <c r="Q100" s="11"/>
      <c r="R100" s="11"/>
      <c r="S100" s="11"/>
      <c r="T100" s="11"/>
      <c r="U100" s="11"/>
      <c r="V100" s="32"/>
      <c r="W100" s="34"/>
    </row>
    <row r="101" spans="1:23">
      <c r="A101" s="20"/>
      <c r="B101" s="11"/>
      <c r="C101" s="11"/>
      <c r="D101" s="11"/>
      <c r="E101" s="11"/>
      <c r="F101" s="20"/>
      <c r="G101" s="11"/>
      <c r="H101" s="20"/>
      <c r="I101" s="11"/>
      <c r="J101" s="11"/>
      <c r="K101" s="11"/>
      <c r="L101" s="11"/>
      <c r="M101" s="20"/>
      <c r="N101" s="11"/>
      <c r="O101" s="20"/>
      <c r="P101" s="11"/>
      <c r="Q101" s="11"/>
      <c r="R101" s="11"/>
      <c r="S101" s="11"/>
      <c r="T101" s="11"/>
      <c r="U101" s="11"/>
      <c r="V101" s="32"/>
      <c r="W101" s="34"/>
    </row>
    <row r="102" spans="1:23">
      <c r="A102" s="20"/>
      <c r="B102" s="11"/>
      <c r="C102" s="11"/>
      <c r="D102" s="11"/>
      <c r="E102" s="11"/>
      <c r="F102" s="20"/>
      <c r="G102" s="11"/>
      <c r="H102" s="20"/>
      <c r="I102" s="11"/>
      <c r="J102" s="11"/>
      <c r="K102" s="11"/>
      <c r="L102" s="11"/>
      <c r="M102" s="20"/>
      <c r="N102" s="11"/>
      <c r="O102" s="20"/>
      <c r="P102" s="11"/>
      <c r="Q102" s="11"/>
      <c r="R102" s="11"/>
      <c r="S102" s="11"/>
      <c r="T102" s="20"/>
      <c r="U102" s="11"/>
      <c r="V102" s="32"/>
      <c r="W102" s="34"/>
    </row>
    <row r="103" spans="9:23">
      <c r="I103" s="11"/>
      <c r="J103" s="11"/>
      <c r="K103" s="11"/>
      <c r="L103" s="11"/>
      <c r="M103" s="20"/>
      <c r="N103" s="11"/>
      <c r="P103" s="11"/>
      <c r="Q103" s="11"/>
      <c r="R103" s="11"/>
      <c r="S103" s="11"/>
      <c r="T103" s="20"/>
      <c r="U103" s="11"/>
      <c r="V103" s="32"/>
      <c r="W103" s="34"/>
    </row>
    <row r="104" spans="16:23">
      <c r="P104" s="11"/>
      <c r="Q104" s="11"/>
      <c r="R104" s="11"/>
      <c r="S104" s="11"/>
      <c r="T104" s="20"/>
      <c r="U104" s="11"/>
      <c r="V104" s="32"/>
      <c r="W104" s="34"/>
    </row>
    <row r="105" spans="17:23">
      <c r="Q105" s="20"/>
      <c r="R105" s="20"/>
      <c r="S105" s="20"/>
      <c r="T105" s="20"/>
      <c r="U105" s="20"/>
      <c r="V105" s="32"/>
      <c r="W105" s="34"/>
    </row>
    <row r="106" spans="4:23">
      <c r="D106" s="20"/>
      <c r="E106" s="20"/>
      <c r="F106" s="20"/>
      <c r="G106" s="20"/>
      <c r="H106" s="20"/>
      <c r="I106" s="20"/>
      <c r="R106" s="20"/>
      <c r="V106" s="17"/>
      <c r="W106" s="17"/>
    </row>
    <row r="107" spans="18:23">
      <c r="R107" s="20"/>
      <c r="V107" s="17"/>
      <c r="W107" s="17"/>
    </row>
    <row r="108" spans="18:23">
      <c r="R108" s="20"/>
      <c r="V108" s="17"/>
      <c r="W108" s="17"/>
    </row>
    <row r="109" spans="18:23">
      <c r="R109" s="20"/>
      <c r="V109" s="17"/>
      <c r="W109" s="17"/>
    </row>
    <row r="110" spans="18:23">
      <c r="R110" s="20"/>
      <c r="V110" s="17"/>
      <c r="W110" s="17"/>
    </row>
    <row r="111" spans="18:23">
      <c r="R111" s="20"/>
      <c r="V111" s="17"/>
      <c r="W111" s="17"/>
    </row>
    <row r="112" spans="10:23">
      <c r="J112" s="20"/>
      <c r="R112" s="20"/>
      <c r="S112" s="20"/>
      <c r="T112" s="20"/>
      <c r="V112" s="17"/>
      <c r="W112" s="17"/>
    </row>
    <row r="113" spans="4:23">
      <c r="D113" s="16"/>
      <c r="E113" s="16"/>
      <c r="F113" s="16"/>
      <c r="G113" s="16"/>
      <c r="H113" s="16"/>
      <c r="I113" s="16"/>
      <c r="J113" s="13"/>
      <c r="K113" s="16"/>
      <c r="L113" s="16"/>
      <c r="M113" s="16"/>
      <c r="N113" s="16"/>
      <c r="O113" s="16"/>
      <c r="R113" s="20"/>
      <c r="S113" s="20"/>
      <c r="T113" s="20"/>
      <c r="U113" s="16"/>
      <c r="V113" s="17"/>
      <c r="W113" s="17"/>
    </row>
    <row r="114" spans="20:23">
      <c r="T114" s="20"/>
      <c r="V114" s="20"/>
      <c r="W114" s="17"/>
    </row>
    <row r="115" spans="20:23">
      <c r="T115" s="20"/>
      <c r="V115" s="20"/>
      <c r="W115" s="17"/>
    </row>
    <row r="116" spans="20:23">
      <c r="T116" s="20"/>
      <c r="V116" s="20"/>
      <c r="W116" s="17"/>
    </row>
    <row r="117" spans="20:23">
      <c r="T117" s="20"/>
      <c r="V117" s="20"/>
      <c r="W117" s="17"/>
    </row>
    <row r="118" spans="20:23">
      <c r="T118" s="20"/>
      <c r="V118" s="20"/>
      <c r="W118" s="17"/>
    </row>
    <row r="119" spans="18:23">
      <c r="R119" s="20"/>
      <c r="T119" s="20"/>
      <c r="V119" s="17"/>
      <c r="W119" s="17"/>
    </row>
    <row r="120" spans="4:23">
      <c r="D120" s="16"/>
      <c r="E120" s="16"/>
      <c r="F120" s="16"/>
      <c r="G120" s="16"/>
      <c r="H120" s="16"/>
      <c r="I120" s="16"/>
      <c r="J120" s="13"/>
      <c r="K120" s="16"/>
      <c r="L120" s="16"/>
      <c r="M120" s="16"/>
      <c r="N120" s="16"/>
      <c r="O120" s="16"/>
      <c r="R120" s="20"/>
      <c r="T120" s="20"/>
      <c r="U120" s="16"/>
      <c r="V120" s="17"/>
      <c r="W120" s="17"/>
    </row>
    <row r="121" spans="18:23">
      <c r="R121" s="20"/>
      <c r="T121" s="20"/>
      <c r="V121" s="20"/>
      <c r="W121" s="17"/>
    </row>
    <row r="122" spans="18:23">
      <c r="R122" s="20"/>
      <c r="T122" s="20"/>
      <c r="V122" s="20"/>
      <c r="W122" s="17"/>
    </row>
    <row r="123" spans="18:23">
      <c r="R123" s="20"/>
      <c r="T123" s="20"/>
      <c r="V123" s="20"/>
      <c r="W123" s="17"/>
    </row>
    <row r="124" spans="18:23">
      <c r="R124" s="20"/>
      <c r="T124" s="20"/>
      <c r="V124" s="20"/>
      <c r="W124" s="17"/>
    </row>
    <row r="125" spans="18:23">
      <c r="R125" s="20"/>
      <c r="T125" s="20"/>
      <c r="V125" s="20"/>
      <c r="W125" s="17"/>
    </row>
    <row r="126" spans="8:23">
      <c r="H126" s="11"/>
      <c r="R126" s="20"/>
      <c r="T126" s="20"/>
      <c r="V126" s="17"/>
      <c r="W126" s="17"/>
    </row>
    <row r="127" spans="4:23">
      <c r="D127" s="16"/>
      <c r="E127" s="16"/>
      <c r="F127" s="16"/>
      <c r="G127" s="16"/>
      <c r="H127" s="16"/>
      <c r="I127" s="16"/>
      <c r="J127" s="13"/>
      <c r="K127" s="16"/>
      <c r="L127" s="16"/>
      <c r="M127" s="16"/>
      <c r="N127" s="16"/>
      <c r="O127" s="16"/>
      <c r="R127" s="20"/>
      <c r="T127" s="20"/>
      <c r="U127" s="16"/>
      <c r="V127" s="17"/>
      <c r="W127" s="17"/>
    </row>
    <row r="128" spans="18:23">
      <c r="R128" s="20"/>
      <c r="T128" s="20"/>
      <c r="V128" s="20"/>
      <c r="W128" s="17"/>
    </row>
    <row r="129" spans="18:23">
      <c r="R129" s="20"/>
      <c r="T129" s="20"/>
      <c r="V129" s="20"/>
      <c r="W129" s="17"/>
    </row>
    <row r="130" spans="18:23">
      <c r="R130" s="20"/>
      <c r="T130" s="20"/>
      <c r="V130" s="20"/>
      <c r="W130" s="17"/>
    </row>
    <row r="131" spans="18:23">
      <c r="R131" s="20"/>
      <c r="T131" s="20"/>
      <c r="V131" s="20"/>
      <c r="W131" s="17"/>
    </row>
    <row r="132" spans="18:23">
      <c r="R132" s="20"/>
      <c r="T132" s="20"/>
      <c r="V132" s="20"/>
      <c r="W132" s="17"/>
    </row>
    <row r="133" spans="18:23">
      <c r="R133" s="20"/>
      <c r="T133" s="20"/>
      <c r="V133" s="17"/>
      <c r="W133" s="17"/>
    </row>
    <row r="134" spans="4:23">
      <c r="D134" s="16"/>
      <c r="E134" s="16"/>
      <c r="F134" s="16"/>
      <c r="G134" s="16"/>
      <c r="H134" s="16"/>
      <c r="I134" s="16"/>
      <c r="J134" s="13"/>
      <c r="K134" s="16"/>
      <c r="L134" s="16"/>
      <c r="M134" s="16"/>
      <c r="N134" s="16"/>
      <c r="O134" s="16"/>
      <c r="R134" s="20"/>
      <c r="T134" s="20"/>
      <c r="U134" s="16"/>
      <c r="V134" s="17"/>
      <c r="W134" s="17"/>
    </row>
    <row r="135" spans="18:23">
      <c r="R135" s="20"/>
      <c r="T135" s="20"/>
      <c r="V135" s="20"/>
      <c r="W135" s="17"/>
    </row>
    <row r="136" spans="18:23">
      <c r="R136" s="20"/>
      <c r="T136" s="20"/>
      <c r="V136" s="20"/>
      <c r="W136" s="17"/>
    </row>
    <row r="137" spans="18:23">
      <c r="R137" s="20"/>
      <c r="T137" s="20"/>
      <c r="V137" s="20"/>
      <c r="W137" s="17"/>
    </row>
    <row r="138" spans="22:23">
      <c r="V138" s="20"/>
      <c r="W138" s="17"/>
    </row>
    <row r="139" spans="22:23">
      <c r="V139" s="20"/>
      <c r="W139" s="17"/>
    </row>
    <row r="140" spans="22:23">
      <c r="V140" s="17"/>
      <c r="W140" s="20"/>
    </row>
    <row r="141" spans="4:23">
      <c r="D141" s="16"/>
      <c r="E141" s="16"/>
      <c r="F141" s="16"/>
      <c r="G141" s="16"/>
      <c r="H141" s="16"/>
      <c r="I141" s="16"/>
      <c r="J141" s="13"/>
      <c r="K141" s="16"/>
      <c r="L141" s="16"/>
      <c r="M141" s="16"/>
      <c r="N141" s="16"/>
      <c r="O141" s="16"/>
      <c r="V141" s="17"/>
      <c r="W141" s="17"/>
    </row>
    <row r="142" spans="22:23">
      <c r="V142" s="20"/>
      <c r="W142" s="17"/>
    </row>
    <row r="143" spans="22:23">
      <c r="V143" s="20"/>
      <c r="W143" s="17"/>
    </row>
    <row r="144" spans="22:23">
      <c r="V144" s="20"/>
      <c r="W144" s="17"/>
    </row>
    <row r="145" spans="22:23">
      <c r="V145" s="20"/>
      <c r="W145" s="17"/>
    </row>
    <row r="146" spans="1:2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17"/>
    </row>
    <row r="147" spans="1:2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spans="1:2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</row>
    <row r="149" spans="1:2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0" spans="1:2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</row>
    <row r="151" spans="1:2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spans="1:2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</row>
    <row r="153" spans="1:2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</row>
    <row r="154" spans="1:2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</row>
    <row r="155" spans="1:2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</row>
    <row r="156" spans="1:2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</row>
    <row r="157" spans="1:2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</row>
    <row r="158" spans="1:2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</row>
    <row r="159" spans="1:19">
      <c r="A159" s="20"/>
      <c r="B159" s="20"/>
      <c r="C159" s="20"/>
      <c r="D159" s="20"/>
      <c r="E159" s="20"/>
      <c r="H159" s="20"/>
      <c r="I159" s="20"/>
      <c r="J159" s="20"/>
      <c r="K159" s="20"/>
      <c r="L159" s="20"/>
      <c r="O159" s="20"/>
      <c r="P159" s="20"/>
      <c r="Q159" s="20"/>
      <c r="R159" s="20"/>
      <c r="S159" s="20"/>
    </row>
    <row r="160" spans="1:19">
      <c r="A160" s="20"/>
      <c r="B160" s="20"/>
      <c r="C160" s="20"/>
      <c r="D160" s="20"/>
      <c r="E160" s="20"/>
      <c r="H160" s="20"/>
      <c r="I160" s="20"/>
      <c r="J160" s="20"/>
      <c r="K160" s="20"/>
      <c r="L160" s="20"/>
      <c r="O160" s="20"/>
      <c r="P160" s="20"/>
      <c r="Q160" s="20"/>
      <c r="R160" s="20"/>
      <c r="S160" s="20"/>
    </row>
    <row r="161" spans="1:21">
      <c r="A161" s="20"/>
      <c r="B161" s="7"/>
      <c r="C161" s="11"/>
      <c r="D161" s="11"/>
      <c r="E161" s="7"/>
      <c r="F161" s="11"/>
      <c r="G161" s="11"/>
      <c r="H161" s="20"/>
      <c r="I161" s="7"/>
      <c r="J161" s="11"/>
      <c r="K161" s="11"/>
      <c r="L161" s="7"/>
      <c r="M161" s="11"/>
      <c r="N161" s="11"/>
      <c r="O161" s="20"/>
      <c r="P161" s="7"/>
      <c r="Q161" s="11"/>
      <c r="R161" s="11"/>
      <c r="S161" s="7"/>
      <c r="T161" s="11"/>
      <c r="U161" s="11"/>
    </row>
    <row r="162" spans="1:21">
      <c r="A162" s="20"/>
      <c r="B162" s="11"/>
      <c r="C162" s="11"/>
      <c r="D162" s="11"/>
      <c r="E162" s="11"/>
      <c r="F162" s="11"/>
      <c r="G162" s="11"/>
      <c r="H162" s="20"/>
      <c r="I162" s="11"/>
      <c r="J162" s="11"/>
      <c r="K162" s="11"/>
      <c r="L162" s="11"/>
      <c r="M162" s="11"/>
      <c r="N162" s="11"/>
      <c r="O162" s="20"/>
      <c r="P162" s="11"/>
      <c r="Q162" s="11"/>
      <c r="R162" s="11"/>
      <c r="S162" s="11"/>
      <c r="T162" s="11"/>
      <c r="U162" s="11"/>
    </row>
    <row r="163" spans="1:21">
      <c r="A163" s="20"/>
      <c r="B163" s="11"/>
      <c r="C163" s="11"/>
      <c r="D163" s="11"/>
      <c r="E163" s="11"/>
      <c r="F163" s="11"/>
      <c r="G163" s="11"/>
      <c r="H163" s="20"/>
      <c r="I163" s="11"/>
      <c r="J163" s="11"/>
      <c r="K163" s="11"/>
      <c r="L163" s="11"/>
      <c r="M163" s="11"/>
      <c r="N163" s="11"/>
      <c r="O163" s="20"/>
      <c r="P163" s="11"/>
      <c r="Q163" s="11"/>
      <c r="R163" s="11"/>
      <c r="S163" s="11"/>
      <c r="T163" s="11"/>
      <c r="U163" s="11"/>
    </row>
    <row r="164" spans="1:21">
      <c r="A164" s="20"/>
      <c r="B164" s="11"/>
      <c r="C164" s="11"/>
      <c r="D164" s="11"/>
      <c r="E164" s="11"/>
      <c r="F164" s="11"/>
      <c r="G164" s="11"/>
      <c r="H164" s="20"/>
      <c r="I164" s="11"/>
      <c r="J164" s="11"/>
      <c r="K164" s="11"/>
      <c r="L164" s="11"/>
      <c r="M164" s="11"/>
      <c r="N164" s="11"/>
      <c r="O164" s="20"/>
      <c r="P164" s="11"/>
      <c r="Q164" s="11"/>
      <c r="R164" s="11"/>
      <c r="S164" s="11"/>
      <c r="T164" s="11"/>
      <c r="U164" s="11"/>
    </row>
    <row r="165" spans="1:21">
      <c r="A165" s="20"/>
      <c r="B165" s="11"/>
      <c r="C165" s="11"/>
      <c r="D165" s="11"/>
      <c r="E165" s="11"/>
      <c r="F165" s="20"/>
      <c r="G165" s="11"/>
      <c r="H165" s="20"/>
      <c r="I165" s="11"/>
      <c r="J165" s="11"/>
      <c r="K165" s="11"/>
      <c r="L165" s="11"/>
      <c r="M165" s="20"/>
      <c r="N165" s="11"/>
      <c r="O165" s="20"/>
      <c r="P165" s="11"/>
      <c r="Q165" s="11"/>
      <c r="R165" s="11"/>
      <c r="S165" s="11"/>
      <c r="T165" s="20"/>
      <c r="U165" s="11"/>
    </row>
    <row r="166" spans="1:21">
      <c r="A166" s="20"/>
      <c r="B166" s="11"/>
      <c r="C166" s="11"/>
      <c r="D166" s="11"/>
      <c r="E166" s="11"/>
      <c r="F166" s="20"/>
      <c r="G166" s="11"/>
      <c r="H166" s="20"/>
      <c r="I166" s="11"/>
      <c r="J166" s="11"/>
      <c r="K166" s="11"/>
      <c r="L166" s="11"/>
      <c r="M166" s="20"/>
      <c r="N166" s="11"/>
      <c r="O166" s="20"/>
      <c r="P166" s="11"/>
      <c r="Q166" s="11"/>
      <c r="R166" s="11"/>
      <c r="S166" s="11"/>
      <c r="T166" s="20"/>
      <c r="U166" s="11"/>
    </row>
    <row r="167" spans="1:21">
      <c r="A167" s="20"/>
      <c r="B167" s="11"/>
      <c r="C167" s="11"/>
      <c r="D167" s="11"/>
      <c r="E167" s="11"/>
      <c r="F167" s="20"/>
      <c r="G167" s="11"/>
      <c r="H167" s="20"/>
      <c r="I167" s="11"/>
      <c r="J167" s="11"/>
      <c r="K167" s="11"/>
      <c r="L167" s="11"/>
      <c r="M167" s="20"/>
      <c r="N167" s="11"/>
      <c r="O167" s="20"/>
      <c r="P167" s="11"/>
      <c r="Q167" s="11"/>
      <c r="R167" s="11"/>
      <c r="S167" s="11"/>
      <c r="T167" s="20"/>
      <c r="U167" s="11"/>
    </row>
    <row r="168" spans="8:8">
      <c r="H168" s="11"/>
    </row>
    <row r="169" spans="8:8">
      <c r="H169" s="11"/>
    </row>
    <row r="170" spans="8:8">
      <c r="H170" s="11"/>
    </row>
    <row r="171" spans="1:22">
      <c r="A171" s="20"/>
      <c r="B171" s="20"/>
      <c r="C171" s="20"/>
      <c r="D171" s="20"/>
      <c r="E171" s="20"/>
      <c r="F171" s="20"/>
      <c r="G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>
      <c r="A172" s="20"/>
      <c r="B172" s="20"/>
      <c r="C172" s="20"/>
      <c r="D172" s="20"/>
      <c r="E172" s="20"/>
      <c r="F172" s="20"/>
      <c r="G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>
      <c r="A173" s="20"/>
      <c r="B173" s="20"/>
      <c r="C173" s="20"/>
      <c r="D173" s="20"/>
      <c r="E173" s="20"/>
      <c r="F173" s="20"/>
      <c r="G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>
      <c r="A174" s="20"/>
      <c r="B174" s="20"/>
      <c r="C174" s="20"/>
      <c r="D174" s="20"/>
      <c r="E174" s="20"/>
      <c r="F174" s="20"/>
      <c r="G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>
      <c r="A175" s="20"/>
      <c r="B175" s="20"/>
      <c r="C175" s="20"/>
      <c r="D175" s="20"/>
      <c r="E175" s="20"/>
      <c r="F175" s="20"/>
      <c r="G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>
      <c r="A176" s="20"/>
      <c r="B176" s="20"/>
      <c r="C176" s="20"/>
      <c r="D176" s="20"/>
      <c r="E176" s="20"/>
      <c r="F176" s="20"/>
      <c r="G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>
      <c r="A177" s="20"/>
      <c r="B177" s="20"/>
      <c r="C177" s="20"/>
      <c r="D177" s="20"/>
      <c r="E177" s="20"/>
      <c r="F177" s="20"/>
      <c r="G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>
      <c r="A178" s="20"/>
      <c r="B178" s="20"/>
      <c r="C178" s="20"/>
      <c r="D178" s="20"/>
      <c r="E178" s="20"/>
      <c r="F178" s="20"/>
      <c r="G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>
      <c r="A179" s="20"/>
      <c r="B179" s="20"/>
      <c r="C179" s="20"/>
      <c r="D179" s="20"/>
      <c r="E179" s="20"/>
      <c r="F179" s="20"/>
      <c r="G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>
      <c r="A180" s="20"/>
      <c r="B180" s="20"/>
      <c r="C180" s="20"/>
      <c r="D180" s="20"/>
      <c r="E180" s="20"/>
      <c r="F180" s="20"/>
      <c r="G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>
      <c r="A181" s="20"/>
      <c r="B181" s="20"/>
      <c r="C181" s="20"/>
      <c r="D181" s="20"/>
      <c r="E181" s="20"/>
      <c r="F181" s="7"/>
      <c r="G181" s="11"/>
      <c r="I181" s="20"/>
      <c r="J181" s="20"/>
      <c r="K181" s="20"/>
      <c r="L181" s="20"/>
      <c r="M181" s="20"/>
      <c r="N181" s="7"/>
      <c r="O181" s="11"/>
      <c r="P181" s="20"/>
      <c r="Q181" s="20"/>
      <c r="R181" s="20"/>
      <c r="S181" s="20"/>
      <c r="T181" s="20"/>
      <c r="U181" s="7"/>
      <c r="V181" s="11"/>
    </row>
    <row r="182" spans="1:22">
      <c r="A182" s="20"/>
      <c r="B182" s="20"/>
      <c r="C182" s="20"/>
      <c r="D182" s="20"/>
      <c r="E182" s="20"/>
      <c r="I182" s="20"/>
      <c r="J182" s="20"/>
      <c r="K182" s="20"/>
      <c r="L182" s="20"/>
      <c r="M182" s="20"/>
      <c r="P182" s="20"/>
      <c r="Q182" s="20"/>
      <c r="R182" s="20"/>
      <c r="S182" s="20"/>
      <c r="T182" s="20"/>
      <c r="V182" s="17"/>
    </row>
    <row r="183" spans="1:22">
      <c r="A183" s="20"/>
      <c r="B183" s="20"/>
      <c r="C183" s="20"/>
      <c r="D183" s="20"/>
      <c r="E183" s="20"/>
      <c r="I183" s="20"/>
      <c r="J183" s="20"/>
      <c r="K183" s="20"/>
      <c r="L183" s="20"/>
      <c r="M183" s="20"/>
      <c r="P183" s="20"/>
      <c r="Q183" s="20"/>
      <c r="R183" s="20"/>
      <c r="S183" s="20"/>
      <c r="T183" s="20"/>
      <c r="V183" s="17"/>
    </row>
    <row r="184" spans="1:22">
      <c r="A184" s="20"/>
      <c r="B184" s="20"/>
      <c r="C184" s="20"/>
      <c r="D184" s="20"/>
      <c r="E184" s="20"/>
      <c r="I184" s="20"/>
      <c r="J184" s="20"/>
      <c r="K184" s="20"/>
      <c r="L184" s="20"/>
      <c r="M184" s="20"/>
      <c r="P184" s="20"/>
      <c r="Q184" s="20"/>
      <c r="R184" s="20"/>
      <c r="S184" s="20"/>
      <c r="T184" s="20"/>
      <c r="V184" s="17"/>
    </row>
    <row r="185" spans="1:22">
      <c r="A185" s="20"/>
      <c r="B185" s="20"/>
      <c r="C185" s="11"/>
      <c r="D185" s="11"/>
      <c r="E185" s="7"/>
      <c r="F185" s="11"/>
      <c r="G185" s="11"/>
      <c r="I185" s="20"/>
      <c r="J185" s="20"/>
      <c r="K185" s="20"/>
      <c r="L185" s="20"/>
      <c r="M185" s="20"/>
      <c r="P185" s="20"/>
      <c r="Q185" s="20"/>
      <c r="R185" s="11"/>
      <c r="S185" s="11"/>
      <c r="T185" s="7"/>
      <c r="U185" s="11"/>
      <c r="V185" s="11"/>
    </row>
    <row r="186" spans="1:22">
      <c r="A186" s="20"/>
      <c r="B186" s="11"/>
      <c r="C186" s="11"/>
      <c r="D186" s="11"/>
      <c r="E186" s="11"/>
      <c r="F186" s="11"/>
      <c r="G186" s="11"/>
      <c r="I186" s="20"/>
      <c r="J186" s="20"/>
      <c r="K186" s="20"/>
      <c r="L186" s="20"/>
      <c r="M186" s="20"/>
      <c r="P186" s="20"/>
      <c r="Q186" s="11"/>
      <c r="R186" s="11"/>
      <c r="S186" s="11"/>
      <c r="T186" s="11"/>
      <c r="U186" s="11"/>
      <c r="V186" s="11"/>
    </row>
    <row r="187" spans="1:22">
      <c r="A187" s="20"/>
      <c r="B187" s="11"/>
      <c r="C187" s="11"/>
      <c r="D187" s="11"/>
      <c r="E187" s="11"/>
      <c r="F187" s="11"/>
      <c r="G187" s="11"/>
      <c r="I187" s="20"/>
      <c r="J187" s="20"/>
      <c r="K187" s="20"/>
      <c r="L187" s="20"/>
      <c r="M187" s="20"/>
      <c r="P187" s="20"/>
      <c r="Q187" s="11"/>
      <c r="R187" s="11"/>
      <c r="S187" s="11"/>
      <c r="T187" s="11"/>
      <c r="U187" s="11"/>
      <c r="V187" s="11"/>
    </row>
    <row r="188" spans="1:22">
      <c r="A188" s="20"/>
      <c r="B188" s="11"/>
      <c r="C188" s="11"/>
      <c r="D188" s="11"/>
      <c r="E188" s="11"/>
      <c r="F188" s="11"/>
      <c r="G188" s="11"/>
      <c r="I188" s="20"/>
      <c r="J188" s="20"/>
      <c r="K188" s="11"/>
      <c r="L188" s="11"/>
      <c r="M188" s="7"/>
      <c r="N188" s="11"/>
      <c r="O188" s="11"/>
      <c r="P188" s="20"/>
      <c r="Q188" s="11"/>
      <c r="R188" s="11"/>
      <c r="S188" s="11"/>
      <c r="T188" s="11"/>
      <c r="U188" s="11"/>
      <c r="V188" s="11"/>
    </row>
    <row r="189" spans="1:22">
      <c r="A189" s="20"/>
      <c r="B189" s="11"/>
      <c r="C189" s="11"/>
      <c r="D189" s="11"/>
      <c r="E189" s="11"/>
      <c r="F189" s="20"/>
      <c r="G189" s="11"/>
      <c r="J189" s="11"/>
      <c r="K189" s="11"/>
      <c r="L189" s="11"/>
      <c r="M189" s="11"/>
      <c r="N189" s="11"/>
      <c r="O189" s="11"/>
      <c r="P189" s="20"/>
      <c r="Q189" s="11"/>
      <c r="R189" s="11"/>
      <c r="S189" s="11"/>
      <c r="T189" s="11"/>
      <c r="U189" s="20"/>
      <c r="V189" s="11"/>
    </row>
    <row r="190" spans="1:22">
      <c r="A190" s="20"/>
      <c r="B190" s="11"/>
      <c r="C190" s="11"/>
      <c r="D190" s="11"/>
      <c r="E190" s="11"/>
      <c r="F190" s="20"/>
      <c r="G190" s="11"/>
      <c r="J190" s="11"/>
      <c r="K190" s="11"/>
      <c r="L190" s="11"/>
      <c r="M190" s="11"/>
      <c r="N190" s="11"/>
      <c r="O190" s="11"/>
      <c r="P190" s="20"/>
      <c r="Q190" s="11"/>
      <c r="R190" s="11"/>
      <c r="S190" s="11"/>
      <c r="T190" s="11"/>
      <c r="U190" s="20"/>
      <c r="V190" s="11"/>
    </row>
    <row r="191" spans="1:22">
      <c r="A191" s="20"/>
      <c r="B191" s="11"/>
      <c r="C191" s="11"/>
      <c r="D191" s="11"/>
      <c r="E191" s="11"/>
      <c r="F191" s="20"/>
      <c r="G191" s="11"/>
      <c r="J191" s="11"/>
      <c r="K191" s="11"/>
      <c r="L191" s="11"/>
      <c r="M191" s="11"/>
      <c r="N191" s="11"/>
      <c r="O191" s="11"/>
      <c r="P191" s="20"/>
      <c r="Q191" s="11"/>
      <c r="R191" s="11"/>
      <c r="S191" s="11"/>
      <c r="T191" s="11"/>
      <c r="U191" s="20"/>
      <c r="V191" s="11"/>
    </row>
    <row r="192" spans="10:15">
      <c r="J192" s="11"/>
      <c r="K192" s="11"/>
      <c r="L192" s="11"/>
      <c r="M192" s="11"/>
      <c r="N192" s="20"/>
      <c r="O192" s="11"/>
    </row>
    <row r="193" spans="10:15">
      <c r="J193" s="11"/>
      <c r="K193" s="11"/>
      <c r="L193" s="11"/>
      <c r="M193" s="11"/>
      <c r="N193" s="20"/>
      <c r="O193" s="11"/>
    </row>
    <row r="194" spans="10:15">
      <c r="J194" s="11"/>
      <c r="K194" s="11"/>
      <c r="L194" s="11"/>
      <c r="M194" s="11"/>
      <c r="N194" s="20"/>
      <c r="O194" s="11"/>
    </row>
    <row r="206" spans="1:2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</row>
    <row r="207" spans="1:2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</row>
    <row r="208" spans="1:2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</row>
    <row r="209" spans="1:2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</row>
    <row r="210" spans="1:2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</row>
    <row r="211" spans="1:2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</row>
    <row r="212" spans="1:2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</row>
    <row r="213" spans="1:2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</row>
    <row r="214" spans="1:2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</row>
    <row r="215" spans="1:2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</row>
    <row r="216" spans="1:2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</row>
    <row r="217" spans="1:21">
      <c r="A217" s="20"/>
      <c r="B217" s="20"/>
      <c r="C217" s="20"/>
      <c r="D217" s="20"/>
      <c r="E217" s="20"/>
      <c r="F217" s="7"/>
      <c r="G217" s="7"/>
      <c r="H217" s="20"/>
      <c r="I217" s="20"/>
      <c r="J217" s="20"/>
      <c r="K217" s="20"/>
      <c r="L217" s="20"/>
      <c r="M217" s="7"/>
      <c r="N217" s="7"/>
      <c r="O217" s="20"/>
      <c r="P217" s="20"/>
      <c r="Q217" s="20"/>
      <c r="R217" s="20"/>
      <c r="S217" s="20"/>
      <c r="T217" s="7"/>
      <c r="U217" s="7"/>
    </row>
    <row r="218" spans="1:21">
      <c r="A218" s="20"/>
      <c r="B218" s="20"/>
      <c r="C218" s="20"/>
      <c r="D218" s="20"/>
      <c r="E218" s="20"/>
      <c r="F218" s="7"/>
      <c r="G218" s="7"/>
      <c r="H218" s="20"/>
      <c r="I218" s="20"/>
      <c r="J218" s="20"/>
      <c r="K218" s="20"/>
      <c r="L218" s="20"/>
      <c r="M218" s="7"/>
      <c r="N218" s="7"/>
      <c r="O218" s="20"/>
      <c r="P218" s="20"/>
      <c r="Q218" s="20"/>
      <c r="R218" s="20"/>
      <c r="S218" s="20"/>
      <c r="T218" s="7"/>
      <c r="U218" s="7"/>
    </row>
    <row r="219" spans="1:21">
      <c r="A219" s="20"/>
      <c r="B219" s="7"/>
      <c r="C219" s="11"/>
      <c r="D219" s="11"/>
      <c r="E219" s="7"/>
      <c r="F219" s="11"/>
      <c r="G219" s="20"/>
      <c r="H219" s="20"/>
      <c r="I219" s="7"/>
      <c r="J219" s="11"/>
      <c r="K219" s="11"/>
      <c r="L219" s="7"/>
      <c r="M219" s="11"/>
      <c r="N219" s="20"/>
      <c r="O219" s="20"/>
      <c r="P219" s="7"/>
      <c r="Q219" s="11"/>
      <c r="R219" s="11"/>
      <c r="S219" s="7"/>
      <c r="T219" s="11"/>
      <c r="U219" s="20"/>
    </row>
    <row r="220" spans="1:21">
      <c r="A220" s="20"/>
      <c r="B220" s="11"/>
      <c r="C220" s="11"/>
      <c r="D220" s="11"/>
      <c r="E220" s="11"/>
      <c r="F220" s="20"/>
      <c r="G220" s="20"/>
      <c r="H220" s="20"/>
      <c r="I220" s="11"/>
      <c r="J220" s="11"/>
      <c r="K220" s="11"/>
      <c r="L220" s="11"/>
      <c r="M220" s="20"/>
      <c r="N220" s="20"/>
      <c r="O220" s="20"/>
      <c r="P220" s="11"/>
      <c r="Q220" s="11"/>
      <c r="R220" s="11"/>
      <c r="S220" s="11"/>
      <c r="T220" s="20"/>
      <c r="U220" s="20"/>
    </row>
    <row r="221" spans="1:21">
      <c r="A221" s="20"/>
      <c r="B221" s="11"/>
      <c r="C221" s="11"/>
      <c r="D221" s="11"/>
      <c r="E221" s="11"/>
      <c r="F221" s="11"/>
      <c r="G221" s="11"/>
      <c r="H221" s="20"/>
      <c r="I221" s="11"/>
      <c r="J221" s="11"/>
      <c r="K221" s="11"/>
      <c r="L221" s="11"/>
      <c r="M221" s="11"/>
      <c r="N221" s="11"/>
      <c r="O221" s="20"/>
      <c r="P221" s="11"/>
      <c r="Q221" s="11"/>
      <c r="R221" s="11"/>
      <c r="S221" s="11"/>
      <c r="T221" s="11"/>
      <c r="U221" s="11"/>
    </row>
    <row r="222" spans="1:21">
      <c r="A222" s="20"/>
      <c r="B222" s="11"/>
      <c r="C222" s="11"/>
      <c r="D222" s="11"/>
      <c r="E222" s="11"/>
      <c r="F222" s="11"/>
      <c r="G222" s="11"/>
      <c r="H222" s="20"/>
      <c r="I222" s="11"/>
      <c r="J222" s="11"/>
      <c r="K222" s="11"/>
      <c r="L222" s="11"/>
      <c r="M222" s="11"/>
      <c r="N222" s="11"/>
      <c r="O222" s="20"/>
      <c r="P222" s="11"/>
      <c r="Q222" s="11"/>
      <c r="R222" s="11"/>
      <c r="S222" s="11"/>
      <c r="T222" s="11"/>
      <c r="U222" s="11"/>
    </row>
    <row r="223" spans="1:21">
      <c r="A223" s="20"/>
      <c r="B223" s="11"/>
      <c r="C223" s="11"/>
      <c r="D223" s="11"/>
      <c r="E223" s="11"/>
      <c r="F223" s="20"/>
      <c r="G223" s="11"/>
      <c r="H223" s="20"/>
      <c r="I223" s="11"/>
      <c r="J223" s="11"/>
      <c r="K223" s="11"/>
      <c r="L223" s="11"/>
      <c r="M223" s="20"/>
      <c r="N223" s="11"/>
      <c r="O223" s="20"/>
      <c r="P223" s="11"/>
      <c r="Q223" s="11"/>
      <c r="R223" s="11"/>
      <c r="S223" s="11"/>
      <c r="T223" s="20"/>
      <c r="U223" s="11"/>
    </row>
    <row r="224" spans="1:21">
      <c r="A224" s="11"/>
      <c r="B224" s="11"/>
      <c r="C224" s="11"/>
      <c r="D224" s="11"/>
      <c r="E224" s="11"/>
      <c r="F224" s="20"/>
      <c r="G224" s="11"/>
      <c r="H224" s="11"/>
      <c r="I224" s="11"/>
      <c r="J224" s="11"/>
      <c r="K224" s="11"/>
      <c r="L224" s="11"/>
      <c r="M224" s="20"/>
      <c r="N224" s="11"/>
      <c r="O224" s="11"/>
      <c r="P224" s="11"/>
      <c r="Q224" s="11"/>
      <c r="R224" s="11"/>
      <c r="S224" s="11"/>
      <c r="T224" s="20"/>
      <c r="U224" s="11"/>
    </row>
    <row r="225" spans="1:21">
      <c r="A225" s="11"/>
      <c r="B225" s="11"/>
      <c r="C225" s="11"/>
      <c r="D225" s="11"/>
      <c r="E225" s="11"/>
      <c r="F225" s="20"/>
      <c r="G225" s="11"/>
      <c r="H225" s="11"/>
      <c r="I225" s="11"/>
      <c r="J225" s="11"/>
      <c r="K225" s="11"/>
      <c r="L225" s="11"/>
      <c r="M225" s="20"/>
      <c r="N225" s="11"/>
      <c r="O225" s="11"/>
      <c r="P225" s="11"/>
      <c r="Q225" s="11"/>
      <c r="R225" s="11"/>
      <c r="S225" s="11"/>
      <c r="T225" s="20"/>
      <c r="U225" s="11"/>
    </row>
    <row r="226" spans="8:8">
      <c r="H226" s="7"/>
    </row>
    <row r="227" spans="1:2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</row>
    <row r="228" spans="1:2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</row>
    <row r="229" spans="1:2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</row>
    <row r="230" spans="1:2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</row>
    <row r="231" spans="1:2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</row>
    <row r="232" spans="1:2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</row>
    <row r="233" spans="1:2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</row>
    <row r="234" spans="1:2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</row>
    <row r="235" spans="1:2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</row>
    <row r="236" spans="1:2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</row>
    <row r="237" spans="1:2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</row>
    <row r="238" spans="1:21">
      <c r="A238" s="20"/>
      <c r="B238" s="20"/>
      <c r="C238" s="20"/>
      <c r="D238" s="20"/>
      <c r="E238" s="20"/>
      <c r="F238" s="7"/>
      <c r="G238" s="7"/>
      <c r="H238" s="20"/>
      <c r="I238" s="20"/>
      <c r="J238" s="20"/>
      <c r="K238" s="20"/>
      <c r="L238" s="20"/>
      <c r="M238" s="7"/>
      <c r="N238" s="7"/>
      <c r="O238" s="20"/>
      <c r="P238" s="20"/>
      <c r="Q238" s="20"/>
      <c r="R238" s="20"/>
      <c r="S238" s="20"/>
      <c r="T238" s="7"/>
      <c r="U238" s="7"/>
    </row>
    <row r="239" spans="1:21">
      <c r="A239" s="20"/>
      <c r="B239" s="20"/>
      <c r="C239" s="20"/>
      <c r="D239" s="20"/>
      <c r="E239" s="20"/>
      <c r="F239" s="7"/>
      <c r="G239" s="7"/>
      <c r="H239" s="20"/>
      <c r="I239" s="20"/>
      <c r="J239" s="20"/>
      <c r="K239" s="20"/>
      <c r="L239" s="20"/>
      <c r="M239" s="7"/>
      <c r="N239" s="7"/>
      <c r="O239" s="20"/>
      <c r="P239" s="20"/>
      <c r="Q239" s="20"/>
      <c r="R239" s="20"/>
      <c r="S239" s="20"/>
      <c r="T239" s="7"/>
      <c r="U239" s="7"/>
    </row>
    <row r="240" spans="1:21">
      <c r="A240" s="20"/>
      <c r="B240" s="7"/>
      <c r="C240" s="11"/>
      <c r="D240" s="11"/>
      <c r="E240" s="7"/>
      <c r="F240" s="11"/>
      <c r="G240" s="20"/>
      <c r="H240" s="20"/>
      <c r="I240" s="7"/>
      <c r="J240" s="11"/>
      <c r="K240" s="11"/>
      <c r="L240" s="7"/>
      <c r="M240" s="11"/>
      <c r="N240" s="20"/>
      <c r="O240" s="20"/>
      <c r="P240" s="7"/>
      <c r="Q240" s="11"/>
      <c r="R240" s="11"/>
      <c r="S240" s="7"/>
      <c r="T240" s="11"/>
      <c r="U240" s="20"/>
    </row>
    <row r="241" spans="1:21">
      <c r="A241" s="20"/>
      <c r="B241" s="11"/>
      <c r="C241" s="11"/>
      <c r="D241" s="11"/>
      <c r="E241" s="11"/>
      <c r="F241" s="20"/>
      <c r="G241" s="20"/>
      <c r="H241" s="20"/>
      <c r="I241" s="11"/>
      <c r="J241" s="11"/>
      <c r="K241" s="11"/>
      <c r="L241" s="11"/>
      <c r="M241" s="20"/>
      <c r="N241" s="20"/>
      <c r="O241" s="20"/>
      <c r="P241" s="11"/>
      <c r="Q241" s="11"/>
      <c r="R241" s="11"/>
      <c r="S241" s="11"/>
      <c r="T241" s="20"/>
      <c r="U241" s="20"/>
    </row>
    <row r="242" spans="1:21">
      <c r="A242" s="20"/>
      <c r="B242" s="11"/>
      <c r="C242" s="11"/>
      <c r="D242" s="11"/>
      <c r="E242" s="11"/>
      <c r="F242" s="11"/>
      <c r="G242" s="11"/>
      <c r="H242" s="20"/>
      <c r="I242" s="11"/>
      <c r="J242" s="11"/>
      <c r="K242" s="11"/>
      <c r="L242" s="11"/>
      <c r="M242" s="11"/>
      <c r="N242" s="11"/>
      <c r="O242" s="20"/>
      <c r="P242" s="11"/>
      <c r="Q242" s="11"/>
      <c r="R242" s="11"/>
      <c r="S242" s="11"/>
      <c r="T242" s="11"/>
      <c r="U242" s="11"/>
    </row>
    <row r="243" spans="1:21">
      <c r="A243" s="20"/>
      <c r="B243" s="11"/>
      <c r="C243" s="11"/>
      <c r="D243" s="11"/>
      <c r="E243" s="11"/>
      <c r="F243" s="11"/>
      <c r="G243" s="11"/>
      <c r="H243" s="20"/>
      <c r="I243" s="11"/>
      <c r="J243" s="11"/>
      <c r="K243" s="11"/>
      <c r="L243" s="11"/>
      <c r="M243" s="11"/>
      <c r="N243" s="11"/>
      <c r="O243" s="20"/>
      <c r="P243" s="11"/>
      <c r="Q243" s="11"/>
      <c r="R243" s="11"/>
      <c r="S243" s="11"/>
      <c r="T243" s="11"/>
      <c r="U243" s="11"/>
    </row>
    <row r="244" spans="1:21">
      <c r="A244" s="20"/>
      <c r="B244" s="11"/>
      <c r="C244" s="11"/>
      <c r="D244" s="11"/>
      <c r="E244" s="11"/>
      <c r="F244" s="20"/>
      <c r="G244" s="11"/>
      <c r="H244" s="20"/>
      <c r="I244" s="11"/>
      <c r="J244" s="11"/>
      <c r="K244" s="11"/>
      <c r="L244" s="11"/>
      <c r="M244" s="20"/>
      <c r="N244" s="11"/>
      <c r="O244" s="20"/>
      <c r="P244" s="11"/>
      <c r="Q244" s="11"/>
      <c r="R244" s="11"/>
      <c r="S244" s="11"/>
      <c r="T244" s="20"/>
      <c r="U244" s="11"/>
    </row>
    <row r="245" spans="1:21">
      <c r="A245" s="11"/>
      <c r="B245" s="11"/>
      <c r="C245" s="11"/>
      <c r="D245" s="11"/>
      <c r="E245" s="11"/>
      <c r="F245" s="20"/>
      <c r="G245" s="11"/>
      <c r="H245" s="11"/>
      <c r="I245" s="11"/>
      <c r="J245" s="11"/>
      <c r="K245" s="11"/>
      <c r="L245" s="11"/>
      <c r="M245" s="20"/>
      <c r="N245" s="11"/>
      <c r="O245" s="11"/>
      <c r="P245" s="11"/>
      <c r="Q245" s="11"/>
      <c r="R245" s="11"/>
      <c r="S245" s="11"/>
      <c r="T245" s="20"/>
      <c r="U245" s="11"/>
    </row>
    <row r="246" spans="1:21">
      <c r="A246" s="11"/>
      <c r="B246" s="11"/>
      <c r="C246" s="11"/>
      <c r="D246" s="11"/>
      <c r="E246" s="11"/>
      <c r="F246" s="20"/>
      <c r="G246" s="11"/>
      <c r="H246" s="11"/>
      <c r="I246" s="11"/>
      <c r="J246" s="11"/>
      <c r="K246" s="11"/>
      <c r="L246" s="11"/>
      <c r="M246" s="20"/>
      <c r="N246" s="11"/>
      <c r="O246" s="11"/>
      <c r="P246" s="11"/>
      <c r="Q246" s="11"/>
      <c r="R246" s="11"/>
      <c r="S246" s="11"/>
      <c r="T246" s="20"/>
      <c r="U246" s="11"/>
    </row>
    <row r="248" spans="1:1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P248" s="36"/>
    </row>
    <row r="249" spans="1:1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P249" s="36"/>
    </row>
    <row r="250" spans="1:1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P250" s="36"/>
    </row>
    <row r="251" spans="1:1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P251" s="36"/>
    </row>
    <row r="252" spans="1:1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P252" s="36"/>
    </row>
    <row r="253" spans="1:1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P253" s="36"/>
    </row>
    <row r="254" spans="1:1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spans="1:14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</row>
    <row r="256" spans="1:14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</row>
    <row r="257" spans="1:14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</row>
    <row r="258" spans="1:14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</row>
    <row r="259" spans="1:14">
      <c r="A259" s="20"/>
      <c r="B259" s="20"/>
      <c r="C259" s="20"/>
      <c r="D259" s="20"/>
      <c r="E259" s="20"/>
      <c r="F259" s="7"/>
      <c r="G259" s="7"/>
      <c r="H259" s="20"/>
      <c r="I259" s="20"/>
      <c r="J259" s="20"/>
      <c r="K259" s="20"/>
      <c r="L259" s="20"/>
      <c r="M259" s="7"/>
      <c r="N259" s="7"/>
    </row>
    <row r="260" spans="2:14">
      <c r="B260" s="20"/>
      <c r="C260" s="20"/>
      <c r="D260" s="20"/>
      <c r="E260" s="20"/>
      <c r="F260" s="7"/>
      <c r="G260" s="7"/>
      <c r="I260" s="20"/>
      <c r="J260" s="20"/>
      <c r="K260" s="20"/>
      <c r="L260" s="20"/>
      <c r="M260" s="7"/>
      <c r="N260" s="7"/>
    </row>
    <row r="261" spans="1:12">
      <c r="A261" s="20"/>
      <c r="B261" s="20"/>
      <c r="C261" s="20"/>
      <c r="D261" s="20"/>
      <c r="E261" s="20"/>
      <c r="H261" s="20"/>
      <c r="I261" s="20"/>
      <c r="J261" s="20"/>
      <c r="K261" s="20"/>
      <c r="L261" s="20"/>
    </row>
    <row r="262" spans="1:8">
      <c r="A262" s="20"/>
      <c r="H262" s="20"/>
    </row>
    <row r="263" spans="1:14">
      <c r="A263" s="20"/>
      <c r="B263" s="7"/>
      <c r="C263" s="11"/>
      <c r="D263" s="11"/>
      <c r="E263" s="7"/>
      <c r="F263" s="11"/>
      <c r="G263" s="20"/>
      <c r="H263" s="20"/>
      <c r="I263" s="7"/>
      <c r="J263" s="11"/>
      <c r="K263" s="11"/>
      <c r="L263" s="7"/>
      <c r="M263" s="11"/>
      <c r="N263" s="20"/>
    </row>
    <row r="264" spans="1:14">
      <c r="A264" s="20"/>
      <c r="B264" s="11"/>
      <c r="C264" s="11"/>
      <c r="D264" s="11"/>
      <c r="E264" s="11"/>
      <c r="F264" s="20"/>
      <c r="G264" s="20"/>
      <c r="H264" s="20"/>
      <c r="I264" s="11"/>
      <c r="J264" s="11"/>
      <c r="K264" s="11"/>
      <c r="L264" s="11"/>
      <c r="M264" s="20"/>
      <c r="N264" s="20"/>
    </row>
    <row r="265" spans="1:14">
      <c r="A265" s="20"/>
      <c r="B265" s="11"/>
      <c r="C265" s="11"/>
      <c r="D265" s="11"/>
      <c r="E265" s="11"/>
      <c r="F265" s="11"/>
      <c r="G265" s="11"/>
      <c r="H265" s="20"/>
      <c r="I265" s="11"/>
      <c r="J265" s="11"/>
      <c r="K265" s="11"/>
      <c r="L265" s="11"/>
      <c r="M265" s="11"/>
      <c r="N265" s="11"/>
    </row>
    <row r="266" spans="1: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>
      <c r="A267" s="11"/>
      <c r="B267" s="11"/>
      <c r="C267" s="11"/>
      <c r="D267" s="11"/>
      <c r="E267" s="11"/>
      <c r="F267" s="20"/>
      <c r="G267" s="11"/>
      <c r="H267" s="11"/>
      <c r="I267" s="11"/>
      <c r="J267" s="11"/>
      <c r="K267" s="11"/>
      <c r="L267" s="11"/>
      <c r="M267" s="20"/>
      <c r="N267" s="11"/>
    </row>
    <row r="268" spans="2:14">
      <c r="B268" s="11"/>
      <c r="C268" s="11"/>
      <c r="D268" s="11"/>
      <c r="E268" s="11"/>
      <c r="F268" s="20"/>
      <c r="G268" s="11"/>
      <c r="I268" s="11"/>
      <c r="J268" s="11"/>
      <c r="K268" s="11"/>
      <c r="L268" s="11"/>
      <c r="M268" s="20"/>
      <c r="N268" s="11"/>
    </row>
    <row r="269" spans="2:14">
      <c r="B269" s="11"/>
      <c r="C269" s="11"/>
      <c r="D269" s="11"/>
      <c r="E269" s="11"/>
      <c r="F269" s="20"/>
      <c r="G269" s="11"/>
      <c r="I269" s="11"/>
      <c r="J269" s="11"/>
      <c r="K269" s="11"/>
      <c r="L269" s="11"/>
      <c r="M269" s="20"/>
      <c r="N269" s="11"/>
    </row>
    <row r="271" spans="1:2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</row>
    <row r="272" spans="1:2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</row>
    <row r="273" spans="1:2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</row>
    <row r="274" spans="1:2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</row>
    <row r="275" spans="1:2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</row>
    <row r="276" spans="1:2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</row>
    <row r="277" spans="1:2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</row>
    <row r="278" spans="1:2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</row>
    <row r="279" spans="1:2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</row>
    <row r="280" spans="1:2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</row>
    <row r="281" spans="1:2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</row>
    <row r="282" spans="1:2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</row>
    <row r="283" spans="1:2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11"/>
      <c r="U283" s="7"/>
    </row>
    <row r="284" spans="1:21">
      <c r="A284" s="20"/>
      <c r="B284" s="20"/>
      <c r="C284" s="20"/>
      <c r="D284" s="20"/>
      <c r="E284" s="20"/>
      <c r="F284" s="11"/>
      <c r="G284" s="7"/>
      <c r="H284" s="20"/>
      <c r="I284" s="20"/>
      <c r="J284" s="20"/>
      <c r="K284" s="20"/>
      <c r="L284" s="20"/>
      <c r="M284" s="11"/>
      <c r="N284" s="7"/>
      <c r="O284" s="20"/>
      <c r="P284" s="20"/>
      <c r="Q284" s="20"/>
      <c r="R284" s="20"/>
      <c r="S284" s="20"/>
      <c r="T284" s="7"/>
      <c r="U284" s="11"/>
    </row>
    <row r="285" spans="1:21">
      <c r="A285" s="20"/>
      <c r="B285" s="20"/>
      <c r="C285" s="20"/>
      <c r="D285" s="20"/>
      <c r="E285" s="20"/>
      <c r="F285" s="7"/>
      <c r="G285" s="11"/>
      <c r="H285" s="20"/>
      <c r="I285" s="20"/>
      <c r="J285" s="20"/>
      <c r="K285" s="20"/>
      <c r="L285" s="20"/>
      <c r="M285" s="7"/>
      <c r="N285" s="11"/>
      <c r="O285" s="20"/>
      <c r="P285" s="20"/>
      <c r="Q285" s="20"/>
      <c r="R285" s="20"/>
      <c r="S285" s="20"/>
      <c r="T285" s="11"/>
      <c r="U285" s="11"/>
    </row>
    <row r="286" spans="1:21">
      <c r="A286" s="20"/>
      <c r="B286" s="20"/>
      <c r="C286" s="20"/>
      <c r="D286" s="20"/>
      <c r="E286" s="20"/>
      <c r="F286" s="11"/>
      <c r="G286" s="11"/>
      <c r="H286" s="20"/>
      <c r="I286" s="20"/>
      <c r="J286" s="20"/>
      <c r="K286" s="20"/>
      <c r="L286" s="20"/>
      <c r="M286" s="11"/>
      <c r="N286" s="11"/>
      <c r="O286" s="20"/>
      <c r="P286" s="7"/>
      <c r="Q286" s="11"/>
      <c r="R286" s="11"/>
      <c r="S286" s="7"/>
      <c r="T286" s="11"/>
      <c r="U286" s="11"/>
    </row>
    <row r="287" spans="1:21">
      <c r="A287" s="20"/>
      <c r="B287" s="20"/>
      <c r="C287" s="20"/>
      <c r="D287" s="20"/>
      <c r="E287" s="20"/>
      <c r="H287" s="20"/>
      <c r="I287" s="20"/>
      <c r="J287" s="20"/>
      <c r="K287" s="20"/>
      <c r="L287" s="20"/>
      <c r="O287" s="20"/>
      <c r="P287" s="11"/>
      <c r="Q287" s="11"/>
      <c r="R287" s="11"/>
      <c r="S287" s="11"/>
      <c r="U287" s="11"/>
    </row>
    <row r="288" spans="1:21">
      <c r="A288" s="20"/>
      <c r="B288" s="7"/>
      <c r="C288" s="11"/>
      <c r="D288" s="11"/>
      <c r="E288" s="7"/>
      <c r="F288" s="11"/>
      <c r="G288" s="11"/>
      <c r="H288" s="20"/>
      <c r="I288" s="7"/>
      <c r="J288" s="11"/>
      <c r="K288" s="11"/>
      <c r="L288" s="7"/>
      <c r="M288" s="11"/>
      <c r="N288" s="11"/>
      <c r="O288" s="20"/>
      <c r="P288" s="11"/>
      <c r="Q288" s="11"/>
      <c r="R288" s="11"/>
      <c r="S288" s="11"/>
      <c r="T288" s="11"/>
      <c r="U288" s="11"/>
    </row>
    <row r="289" spans="1:21">
      <c r="A289" s="20"/>
      <c r="B289" s="11"/>
      <c r="C289" s="11"/>
      <c r="D289" s="11"/>
      <c r="E289" s="11"/>
      <c r="G289" s="11"/>
      <c r="H289" s="20"/>
      <c r="I289" s="11"/>
      <c r="J289" s="11"/>
      <c r="K289" s="11"/>
      <c r="L289" s="11"/>
      <c r="N289" s="11"/>
      <c r="O289" s="20"/>
      <c r="P289" s="11"/>
      <c r="Q289" s="11"/>
      <c r="R289" s="11"/>
      <c r="S289" s="11"/>
      <c r="T289" s="11"/>
      <c r="U289" s="11"/>
    </row>
    <row r="290" spans="1:21">
      <c r="A290" s="20"/>
      <c r="B290" s="11"/>
      <c r="C290" s="11"/>
      <c r="D290" s="11"/>
      <c r="E290" s="11"/>
      <c r="F290" s="11"/>
      <c r="G290" s="11"/>
      <c r="H290" s="20"/>
      <c r="I290" s="11"/>
      <c r="J290" s="11"/>
      <c r="K290" s="11"/>
      <c r="L290" s="11"/>
      <c r="M290" s="11"/>
      <c r="N290" s="11"/>
      <c r="O290" s="20"/>
      <c r="P290" s="11"/>
      <c r="Q290" s="11"/>
      <c r="R290" s="11"/>
      <c r="S290" s="11"/>
      <c r="T290" s="20"/>
      <c r="U290" s="11"/>
    </row>
    <row r="291" spans="1:21">
      <c r="A291" s="20"/>
      <c r="B291" s="11"/>
      <c r="C291" s="11"/>
      <c r="D291" s="11"/>
      <c r="E291" s="11"/>
      <c r="F291" s="11"/>
      <c r="G291" s="11"/>
      <c r="H291" s="20"/>
      <c r="I291" s="11"/>
      <c r="J291" s="11"/>
      <c r="K291" s="11"/>
      <c r="L291" s="11"/>
      <c r="M291" s="11"/>
      <c r="N291" s="11"/>
      <c r="O291" s="20"/>
      <c r="P291" s="11"/>
      <c r="Q291" s="11"/>
      <c r="R291" s="11"/>
      <c r="S291" s="11"/>
      <c r="T291" s="20"/>
      <c r="U291" s="11"/>
    </row>
    <row r="292" spans="1:21">
      <c r="A292" s="20"/>
      <c r="B292" s="11"/>
      <c r="C292" s="11"/>
      <c r="D292" s="11"/>
      <c r="E292" s="11"/>
      <c r="F292" s="20"/>
      <c r="G292" s="11"/>
      <c r="H292" s="20"/>
      <c r="I292" s="11"/>
      <c r="J292" s="11"/>
      <c r="K292" s="11"/>
      <c r="L292" s="11"/>
      <c r="M292" s="20"/>
      <c r="N292" s="11"/>
      <c r="O292" s="20"/>
      <c r="P292" s="11"/>
      <c r="Q292" s="11"/>
      <c r="R292" s="11"/>
      <c r="S292" s="11"/>
      <c r="T292" s="20"/>
      <c r="U292" s="11"/>
    </row>
    <row r="293" spans="1:14">
      <c r="A293" s="20"/>
      <c r="B293" s="11"/>
      <c r="C293" s="11"/>
      <c r="D293" s="11"/>
      <c r="E293" s="11"/>
      <c r="F293" s="20"/>
      <c r="G293" s="11"/>
      <c r="H293" s="20"/>
      <c r="I293" s="11"/>
      <c r="J293" s="11"/>
      <c r="K293" s="11"/>
      <c r="L293" s="11"/>
      <c r="M293" s="20"/>
      <c r="N293" s="11"/>
    </row>
    <row r="294" spans="1:14">
      <c r="A294" s="20"/>
      <c r="B294" s="11"/>
      <c r="C294" s="11"/>
      <c r="D294" s="11"/>
      <c r="E294" s="11"/>
      <c r="F294" s="20"/>
      <c r="G294" s="11"/>
      <c r="H294" s="20"/>
      <c r="I294" s="11"/>
      <c r="J294" s="11"/>
      <c r="K294" s="11"/>
      <c r="L294" s="11"/>
      <c r="M294" s="20"/>
      <c r="N294" s="11"/>
    </row>
  </sheetData>
  <mergeCells count="2">
    <mergeCell ref="I24:L24"/>
    <mergeCell ref="T35:U35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4"/>
  <sheetViews>
    <sheetView topLeftCell="A31" workbookViewId="0">
      <selection activeCell="V61" sqref="V61"/>
    </sheetView>
  </sheetViews>
  <sheetFormatPr defaultColWidth="7.625" defaultRowHeight="15"/>
  <cols>
    <col min="1" max="21" width="8.625" style="17" customWidth="1"/>
    <col min="22" max="22" width="8.625" style="30" customWidth="1"/>
    <col min="23" max="23" width="8.625" style="36" customWidth="1"/>
    <col min="24" max="28" width="8.625" style="17" customWidth="1"/>
    <col min="29" max="29" width="7.625" style="17"/>
    <col min="30" max="16384" width="7.625" style="14"/>
  </cols>
  <sheetData>
    <row r="1" customHeight="1" spans="1:26">
      <c r="A1" s="11" t="str">
        <f>木桩!A1</f>
        <v>技能</v>
      </c>
      <c r="B1" s="11" t="str">
        <f>木桩!B1</f>
        <v>怒气</v>
      </c>
      <c r="C1" s="11" t="str">
        <f>木桩!C1</f>
        <v>实际系数</v>
      </c>
      <c r="D1" s="11" t="str">
        <f>木桩!D1</f>
        <v>基础伤害</v>
      </c>
      <c r="E1" s="11" t="str">
        <f>木桩!E1</f>
        <v>武伤系数</v>
      </c>
      <c r="F1" s="11" t="str">
        <f>木桩!F1</f>
        <v>伤害加成</v>
      </c>
      <c r="G1" s="11" t="str">
        <f>木桩!G1</f>
        <v>会心加成</v>
      </c>
      <c r="H1" s="11" t="str">
        <f>木桩!H1</f>
        <v>会效加成</v>
      </c>
      <c r="I1" s="11" t="s">
        <v>278</v>
      </c>
      <c r="J1" s="11" t="s">
        <v>26</v>
      </c>
      <c r="K1" s="11" t="s">
        <v>279</v>
      </c>
      <c r="L1" s="11" t="s">
        <v>36</v>
      </c>
      <c r="M1" s="11" t="s">
        <v>205</v>
      </c>
      <c r="N1" s="11" t="s">
        <v>15</v>
      </c>
      <c r="O1" s="11" t="s">
        <v>16</v>
      </c>
      <c r="P1" s="7" t="s">
        <v>280</v>
      </c>
      <c r="Q1" s="11" t="s">
        <v>75</v>
      </c>
      <c r="R1" s="11" t="s">
        <v>212</v>
      </c>
      <c r="S1" s="11" t="s">
        <v>213</v>
      </c>
      <c r="T1" s="20" t="s">
        <v>281</v>
      </c>
      <c r="U1" s="37" t="str">
        <f t="shared" ref="U1:V17" si="0">Y1</f>
        <v>实战属性</v>
      </c>
      <c r="V1" s="20"/>
      <c r="W1" s="41" t="str">
        <f>属性!H5</f>
        <v>裸buff属性</v>
      </c>
      <c r="X1" s="46"/>
      <c r="Y1" s="41" t="s">
        <v>197</v>
      </c>
      <c r="Z1" s="46"/>
    </row>
    <row r="2" customHeight="1" spans="1:27">
      <c r="A2" s="12" t="str">
        <f>木桩!A2</f>
        <v>昆吾·弦刃</v>
      </c>
      <c r="B2" s="11">
        <f>木桩!B2</f>
        <v>0</v>
      </c>
      <c r="C2" s="11">
        <f>木桩!C2</f>
        <v>0.854</v>
      </c>
      <c r="D2" s="11">
        <f>木桩!D2</f>
        <v>0</v>
      </c>
      <c r="E2" s="13">
        <f>木桩!E2</f>
        <v>0</v>
      </c>
      <c r="F2" s="13">
        <f ca="1">木桩!F2+Q$23</f>
        <v>0.0101333333333333</v>
      </c>
      <c r="G2" s="13">
        <f>木桩!G2</f>
        <v>0</v>
      </c>
      <c r="H2" s="13">
        <f>木桩!H2</f>
        <v>0</v>
      </c>
      <c r="I2" s="21">
        <f ca="1">(N:N*C:C+D:D+E:E*Q:Q)*(1+F:F)*(K:K*(L:L+H:H-1)+1-R:R-0.75*S:S)*(1+M:M)*INDEX($O$25:$O$29,MATCH($Q$27,$M$25:$M$29,))</f>
        <v>41934.7047958881</v>
      </c>
      <c r="J2" s="13">
        <f ca="1" t="shared" ref="J2:J18" si="1">INDEX(V:V,MATCH($1:$1,$U:$U,))+$G:$G</f>
        <v>0.433665199880085</v>
      </c>
      <c r="K2" s="15">
        <f ca="1" t="shared" ref="K2:K8" si="2">J:J+(0.211855500496661*J:J^6-0.937563819411654*J:J^5+1.77483619127542*J:J^4-1.89647323402313*J:J^3+1.2737744963305*J:J^2-0.565275505039552*J:J+0.164596522595162)*$D$28</f>
        <v>0.487805126715561</v>
      </c>
      <c r="L2" s="13">
        <f ca="1">INDEX(V2:V17,MATCH(1:1,U2:U17,))</f>
        <v>1.9433</v>
      </c>
      <c r="M2" s="13">
        <f ca="1">INDEX(V2:V17,MATCH(1:1,U2:U17,))</f>
        <v>0.903002365714732</v>
      </c>
      <c r="N2" s="21">
        <f ca="1">INDEX(V2:V17,MATCH(1:1,U2:U17,))+O:O*P:P</f>
        <v>17965.8209384615</v>
      </c>
      <c r="O2" s="21">
        <f ca="1">INDEX(V2:V17,MATCH(1:1,U2:U17,))</f>
        <v>7522.72307692308</v>
      </c>
      <c r="P2" s="40">
        <f t="shared" ref="P2:P8" si="3">60%+D$32*0.2*6/25+60%*(25+6*D$32)*(1+H$28)/H$27</f>
        <v>0.772</v>
      </c>
      <c r="Q2" s="21">
        <f ca="1">INDEX(V2:V17,MATCH(1:1,U2:U17,))</f>
        <v>751</v>
      </c>
      <c r="R2" s="13">
        <f ca="1">INDEX(V2:V17,MATCH(1:1,U2:U17,))</f>
        <v>0</v>
      </c>
      <c r="S2" s="13">
        <f ca="1">INDEX(V2:V17,MATCH(1:1,U2:U17,))</f>
        <v>0</v>
      </c>
      <c r="T2" s="20">
        <f>实战!T2</f>
        <v>45</v>
      </c>
      <c r="U2" s="20" t="str">
        <f t="shared" si="0"/>
        <v>身法</v>
      </c>
      <c r="V2" s="20">
        <f ca="1" t="shared" si="0"/>
        <v>1970.1</v>
      </c>
      <c r="W2" s="17" t="str">
        <f>属性!H6</f>
        <v>身法</v>
      </c>
      <c r="X2" s="17">
        <f>属性!I6</f>
        <v>1749</v>
      </c>
      <c r="Y2" s="17" t="s">
        <v>6</v>
      </c>
      <c r="Z2" s="17">
        <f ca="1">Z3*(1+G23)</f>
        <v>1970.1</v>
      </c>
      <c r="AA2" s="23"/>
    </row>
    <row r="3" customHeight="1" spans="1:27">
      <c r="A3" s="12" t="str">
        <f>木桩!A3</f>
        <v>昆吾·折锋</v>
      </c>
      <c r="B3" s="11">
        <f>木桩!B3</f>
        <v>0</v>
      </c>
      <c r="C3" s="14">
        <f>木桩!C3</f>
        <v>0.338</v>
      </c>
      <c r="D3" s="11">
        <f>木桩!D3</f>
        <v>0</v>
      </c>
      <c r="E3" s="13">
        <f>木桩!E3</f>
        <v>0</v>
      </c>
      <c r="F3" s="13">
        <f ca="1">木桩!F3+Q$23</f>
        <v>0.0101333333333333</v>
      </c>
      <c r="G3" s="13">
        <f>木桩!G3</f>
        <v>0</v>
      </c>
      <c r="H3" s="13">
        <f>木桩!H3</f>
        <v>0</v>
      </c>
      <c r="I3" s="21">
        <f ca="1" t="shared" ref="I3:I18" si="4">(N:N*C:C+D:D+E:E*Q:Q)*(1+F:F)*(K:K*(L:L+H:H-1)+1-R:R-0.75*S:S)*(1+M:M)*INDEX($O$25:$O$29,MATCH($Q$27,$M$25:$M$29,))</f>
        <v>16597.1079871313</v>
      </c>
      <c r="J3" s="13">
        <f ca="1" t="shared" si="1"/>
        <v>0.433665199880085</v>
      </c>
      <c r="K3" s="15">
        <f ca="1" t="shared" si="2"/>
        <v>0.487805126715561</v>
      </c>
      <c r="L3" s="13">
        <f ca="1">INDEX(V2:V17,MATCH(1:1,U2:U17,))</f>
        <v>1.9433</v>
      </c>
      <c r="M3" s="13">
        <f ca="1">INDEX(V2:V17,MATCH(1:1,U2:U17,))</f>
        <v>0.903002365714732</v>
      </c>
      <c r="N3" s="21">
        <f ca="1">INDEX(V2:V17,MATCH(1:1,U2:U17,))+O:O*P:P</f>
        <v>17965.8209384615</v>
      </c>
      <c r="O3" s="21">
        <f ca="1">INDEX(V2:V17,MATCH(1:1,U2:U17,))</f>
        <v>7522.72307692308</v>
      </c>
      <c r="P3" s="40">
        <f t="shared" si="3"/>
        <v>0.772</v>
      </c>
      <c r="Q3" s="21">
        <f ca="1">INDEX(V2:V17,MATCH(1:1,U2:U17,))</f>
        <v>751</v>
      </c>
      <c r="R3" s="13">
        <f ca="1">INDEX(V2:V17,MATCH(1:1,U2:U17,))</f>
        <v>0</v>
      </c>
      <c r="S3" s="13">
        <f ca="1">INDEX(V2:V17,MATCH(1:1,U2:U17,))</f>
        <v>0</v>
      </c>
      <c r="T3" s="20">
        <f>实战!T3</f>
        <v>20</v>
      </c>
      <c r="U3" s="20" t="str">
        <f t="shared" si="0"/>
        <v>基础身法</v>
      </c>
      <c r="V3" s="20">
        <f ca="1" t="shared" si="0"/>
        <v>1791</v>
      </c>
      <c r="W3" s="17" t="str">
        <f>属性!H7</f>
        <v>基础身法</v>
      </c>
      <c r="X3" s="17">
        <f>属性!I7</f>
        <v>1590</v>
      </c>
      <c r="Y3" s="17" t="s">
        <v>201</v>
      </c>
      <c r="Z3" s="17">
        <f ca="1">X3+G21</f>
        <v>1791</v>
      </c>
      <c r="AA3" s="23"/>
    </row>
    <row r="4" customHeight="1" spans="1:27">
      <c r="A4" s="12" t="str">
        <f>木桩!A4</f>
        <v>盾刀1</v>
      </c>
      <c r="B4" s="11">
        <f>木桩!B4</f>
        <v>5</v>
      </c>
      <c r="C4" s="11">
        <f>木桩!C4</f>
        <v>0.656</v>
      </c>
      <c r="D4" s="11">
        <f>木桩!D4</f>
        <v>137.5</v>
      </c>
      <c r="E4" s="13">
        <f>木桩!E4</f>
        <v>1</v>
      </c>
      <c r="F4" s="13">
        <f ca="1">木桩!F4+Q$23</f>
        <v>0.130133333333333</v>
      </c>
      <c r="G4" s="13">
        <f>木桩!G4</f>
        <v>0</v>
      </c>
      <c r="H4" s="13">
        <f>木桩!H4</f>
        <v>0</v>
      </c>
      <c r="I4" s="21">
        <f ca="1" t="shared" si="4"/>
        <v>38755.7395391874</v>
      </c>
      <c r="J4" s="13">
        <f ca="1" t="shared" si="1"/>
        <v>0.433665199880085</v>
      </c>
      <c r="K4" s="15">
        <f ca="1" t="shared" si="2"/>
        <v>0.487805126715561</v>
      </c>
      <c r="L4" s="13">
        <f ca="1">INDEX(V2:V17,MATCH(1:1,U2:U17,))</f>
        <v>1.9433</v>
      </c>
      <c r="M4" s="13">
        <f ca="1">INDEX(V2:V17,MATCH(1:1,U2:U17,))</f>
        <v>0.903002365714732</v>
      </c>
      <c r="N4" s="21">
        <f ca="1">INDEX(V2:V17,MATCH(1:1,U2:U17,))+O:O*P:P</f>
        <v>17965.8209384615</v>
      </c>
      <c r="O4" s="21">
        <f ca="1">INDEX(V2:V17,MATCH(1:1,U2:U17,))</f>
        <v>7522.72307692308</v>
      </c>
      <c r="P4" s="40">
        <f t="shared" si="3"/>
        <v>0.772</v>
      </c>
      <c r="Q4" s="21">
        <f ca="1">INDEX(V2:V17,MATCH(1:1,U2:U17,))</f>
        <v>751</v>
      </c>
      <c r="R4" s="13">
        <f ca="1">INDEX(V2:V17,MATCH(1:1,U2:U17,))</f>
        <v>0</v>
      </c>
      <c r="S4" s="13">
        <f ca="1">INDEX(V2:V17,MATCH(1:1,U2:U17,))</f>
        <v>0</v>
      </c>
      <c r="T4" s="20">
        <f>1-Q25/16</f>
        <v>0.9375</v>
      </c>
      <c r="U4" s="20" t="str">
        <f t="shared" si="0"/>
        <v>力道</v>
      </c>
      <c r="V4" s="20">
        <f ca="1" t="shared" si="0"/>
        <v>84</v>
      </c>
      <c r="W4" s="17" t="str">
        <f>属性!H8</f>
        <v>力道</v>
      </c>
      <c r="X4" s="17">
        <f>属性!I8</f>
        <v>32</v>
      </c>
      <c r="Y4" s="17" t="s">
        <v>191</v>
      </c>
      <c r="Z4" s="17">
        <f ca="1">(X4+H21)*(1+H23)</f>
        <v>84</v>
      </c>
      <c r="AA4" s="23"/>
    </row>
    <row r="5" customHeight="1" spans="1:27">
      <c r="A5" s="12" t="str">
        <f>木桩!A5</f>
        <v>废弃栏</v>
      </c>
      <c r="B5" s="11">
        <f>木桩!B5</f>
        <v>5</v>
      </c>
      <c r="C5" s="11">
        <f>木桩!C5</f>
        <v>0.9375</v>
      </c>
      <c r="D5" s="11">
        <f>木桩!D5</f>
        <v>137.5</v>
      </c>
      <c r="E5" s="13">
        <f>木桩!E5</f>
        <v>1</v>
      </c>
      <c r="F5" s="13">
        <f ca="1">木桩!F5+Q$23</f>
        <v>0.130133333333333</v>
      </c>
      <c r="G5" s="13">
        <f>木桩!G5</f>
        <v>0</v>
      </c>
      <c r="H5" s="13">
        <f>木桩!H5</f>
        <v>0</v>
      </c>
      <c r="I5" s="21">
        <f ca="1" t="shared" si="4"/>
        <v>54220.5677707593</v>
      </c>
      <c r="J5" s="13">
        <f ca="1" t="shared" si="1"/>
        <v>0.433665199880085</v>
      </c>
      <c r="K5" s="15">
        <f ca="1" t="shared" si="2"/>
        <v>0.487805126715561</v>
      </c>
      <c r="L5" s="13">
        <f ca="1">INDEX(V2:V17,MATCH(1:1,U2:U17,))</f>
        <v>1.9433</v>
      </c>
      <c r="M5" s="13">
        <f ca="1">INDEX(V2:V17,MATCH(1:1,U2:U17,))</f>
        <v>0.903002365714732</v>
      </c>
      <c r="N5" s="21">
        <f ca="1">INDEX(V2:V17,MATCH(1:1,U2:U17,))+O:O*P:P</f>
        <v>17965.8209384615</v>
      </c>
      <c r="O5" s="21">
        <f ca="1">INDEX(V2:V17,MATCH(1:1,U2:U17,))</f>
        <v>7522.72307692308</v>
      </c>
      <c r="P5" s="40">
        <f t="shared" si="3"/>
        <v>0.772</v>
      </c>
      <c r="Q5" s="21">
        <f ca="1">INDEX(V2:V17,MATCH(1:1,U2:U17,))</f>
        <v>751</v>
      </c>
      <c r="R5" s="13">
        <f ca="1">INDEX(V2:V17,MATCH(1:1,U2:U17,))</f>
        <v>0</v>
      </c>
      <c r="S5" s="13">
        <f ca="1">INDEX(V2:V17,MATCH(1:1,U2:U17,))</f>
        <v>0</v>
      </c>
      <c r="T5" s="20">
        <f>1-Q26/16</f>
        <v>0.875</v>
      </c>
      <c r="U5" s="20" t="str">
        <f t="shared" si="0"/>
        <v>面板攻击</v>
      </c>
      <c r="V5" s="20">
        <f ca="1" t="shared" si="0"/>
        <v>12158.2787230769</v>
      </c>
      <c r="W5" s="17" t="str">
        <f>属性!H9</f>
        <v>面板攻击</v>
      </c>
      <c r="X5" s="17">
        <f>属性!I9</f>
        <v>12484</v>
      </c>
      <c r="Y5" s="17" t="s">
        <v>15</v>
      </c>
      <c r="Z5" s="17">
        <f ca="1">Z6*(1+I23)+Z2*L26</f>
        <v>12158.2787230769</v>
      </c>
      <c r="AA5" s="23"/>
    </row>
    <row r="6" customHeight="1" spans="1:27">
      <c r="A6" s="12" t="str">
        <f>木桩!A6</f>
        <v>盾击</v>
      </c>
      <c r="B6" s="11">
        <f>木桩!B6</f>
        <v>5</v>
      </c>
      <c r="C6" s="11">
        <f>木桩!C6</f>
        <v>0.625</v>
      </c>
      <c r="D6" s="11">
        <f>木桩!D6</f>
        <v>109</v>
      </c>
      <c r="E6" s="13">
        <f>木桩!E6</f>
        <v>1</v>
      </c>
      <c r="F6" s="13">
        <f ca="1">木桩!F6+Q$23</f>
        <v>0.0101333333333333</v>
      </c>
      <c r="G6" s="13">
        <f>木桩!G6</f>
        <v>0</v>
      </c>
      <c r="H6" s="13">
        <f>木桩!H6</f>
        <v>0</v>
      </c>
      <c r="I6" s="21">
        <f ca="1" t="shared" si="4"/>
        <v>33040.4556800121</v>
      </c>
      <c r="J6" s="13">
        <f ca="1" t="shared" si="1"/>
        <v>0.433665199880085</v>
      </c>
      <c r="K6" s="15">
        <f ca="1" t="shared" si="2"/>
        <v>0.487805126715561</v>
      </c>
      <c r="L6" s="13">
        <f ca="1">INDEX(V2:V17,MATCH(1:1,U2:U17,))</f>
        <v>1.9433</v>
      </c>
      <c r="M6" s="13">
        <f ca="1">INDEX(V2:V17,MATCH(1:1,U2:U17,))</f>
        <v>0.903002365714732</v>
      </c>
      <c r="N6" s="21">
        <f ca="1">INDEX(V2:V17,MATCH(1:1,U2:U17,))+O:O*P:P</f>
        <v>17965.8209384615</v>
      </c>
      <c r="O6" s="21">
        <f ca="1">INDEX(V2:V17,MATCH(1:1,U2:U17,))</f>
        <v>7522.72307692308</v>
      </c>
      <c r="P6" s="40">
        <f t="shared" si="3"/>
        <v>0.772</v>
      </c>
      <c r="Q6" s="21">
        <f ca="1">INDEX(V2:V17,MATCH(1:1,U2:U17,))</f>
        <v>751</v>
      </c>
      <c r="R6" s="13">
        <f ca="1">INDEX(V2:V17,MATCH(1:1,U2:U17,))</f>
        <v>0</v>
      </c>
      <c r="S6" s="13">
        <f ca="1">INDEX(V2:V17,MATCH(1:1,U2:U17,))</f>
        <v>0</v>
      </c>
      <c r="T6" s="20">
        <f>1-Q25/16</f>
        <v>0.9375</v>
      </c>
      <c r="U6" s="20" t="str">
        <f t="shared" si="0"/>
        <v>基础攻击</v>
      </c>
      <c r="V6" s="20">
        <f ca="1" t="shared" si="0"/>
        <v>7522.72307692308</v>
      </c>
      <c r="W6" s="17" t="str">
        <f>属性!H10</f>
        <v>基础攻击</v>
      </c>
      <c r="X6" s="17">
        <f>属性!I10</f>
        <v>7315.92307692308</v>
      </c>
      <c r="Y6" s="17" t="s">
        <v>16</v>
      </c>
      <c r="Z6" s="17">
        <f ca="1">X6+I21+L28*(Z4-X4)</f>
        <v>7522.72307692308</v>
      </c>
      <c r="AA6" s="23"/>
    </row>
    <row r="7" customHeight="1" spans="1:27">
      <c r="A7" s="12" t="str">
        <f>木桩!A7</f>
        <v>盾压</v>
      </c>
      <c r="B7" s="11">
        <f>木桩!B7</f>
        <v>15</v>
      </c>
      <c r="C7" s="11">
        <f>木桩!C7</f>
        <v>1.243</v>
      </c>
      <c r="D7" s="11">
        <f>木桩!D7</f>
        <v>211</v>
      </c>
      <c r="E7" s="13">
        <f>木桩!E7</f>
        <v>1</v>
      </c>
      <c r="F7" s="13">
        <f ca="1">木桩!F7+Q$23</f>
        <v>0.200133333333333</v>
      </c>
      <c r="G7" s="13">
        <f>木桩!G7</f>
        <v>0.07</v>
      </c>
      <c r="H7" s="13">
        <f>木桩!H7</f>
        <v>0</v>
      </c>
      <c r="I7" s="21">
        <f ca="1" t="shared" si="4"/>
        <v>78760.6863541381</v>
      </c>
      <c r="J7" s="13">
        <f ca="1" t="shared" si="1"/>
        <v>0.503665199880085</v>
      </c>
      <c r="K7" s="15">
        <f ca="1" t="shared" si="2"/>
        <v>0.551656521857724</v>
      </c>
      <c r="L7" s="13">
        <f ca="1">INDEX(V2:V17,MATCH(1:1,U2:U17,))</f>
        <v>1.9433</v>
      </c>
      <c r="M7" s="13">
        <f ca="1">INDEX(V2:V17,MATCH(1:1,U2:U17,))</f>
        <v>0.903002365714732</v>
      </c>
      <c r="N7" s="21">
        <f ca="1">INDEX(V2:V17,MATCH(1:1,U2:U17,))+O:O*P:P</f>
        <v>17965.8209384615</v>
      </c>
      <c r="O7" s="21">
        <f ca="1">INDEX(V2:V17,MATCH(1:1,U2:U17,))</f>
        <v>7522.72307692308</v>
      </c>
      <c r="P7" s="40">
        <f t="shared" si="3"/>
        <v>0.772</v>
      </c>
      <c r="Q7" s="21">
        <f ca="1">INDEX(V2:V17,MATCH(1:1,U2:U17,))</f>
        <v>751</v>
      </c>
      <c r="R7" s="13">
        <f ca="1">INDEX(V2:V17,MATCH(1:1,U2:U17,))</f>
        <v>0</v>
      </c>
      <c r="S7" s="13">
        <f ca="1">INDEX(V2:V17,MATCH(1:1,U2:U17,))</f>
        <v>0</v>
      </c>
      <c r="T7" s="20">
        <f>1.5-Q24/16</f>
        <v>1.375</v>
      </c>
      <c r="U7" s="20" t="str">
        <f t="shared" si="0"/>
        <v>会心</v>
      </c>
      <c r="V7" s="20">
        <f ca="1" t="shared" si="0"/>
        <v>0.433665199880085</v>
      </c>
      <c r="W7" s="17" t="str">
        <f>属性!H11</f>
        <v>会心</v>
      </c>
      <c r="X7" s="17">
        <f>属性!I11</f>
        <v>0.2668</v>
      </c>
      <c r="Y7" s="17" t="s">
        <v>26</v>
      </c>
      <c r="Z7" s="17">
        <f ca="1">X7+K21/J25+(Z2-X2)*L29/J25+K23</f>
        <v>0.433665199880085</v>
      </c>
      <c r="AA7" s="23"/>
    </row>
    <row r="8" customHeight="1" spans="1:27">
      <c r="A8" s="12" t="str">
        <f>木桩!A8</f>
        <v>盾猛</v>
      </c>
      <c r="B8" s="11">
        <f>木桩!B8</f>
        <v>15</v>
      </c>
      <c r="C8" s="11">
        <f>木桩!C8</f>
        <v>2.4525</v>
      </c>
      <c r="D8" s="11">
        <f>木桩!D8</f>
        <v>340</v>
      </c>
      <c r="E8" s="13">
        <f>木桩!E8</f>
        <v>1</v>
      </c>
      <c r="F8" s="13">
        <f ca="1">木桩!F8+Q$23</f>
        <v>0.0101333333333333</v>
      </c>
      <c r="G8" s="13">
        <f>木桩!G8</f>
        <v>0.1</v>
      </c>
      <c r="H8" s="13">
        <f>木桩!H8</f>
        <v>0.1</v>
      </c>
      <c r="I8" s="21">
        <f ca="1" t="shared" si="4"/>
        <v>135607.906149275</v>
      </c>
      <c r="J8" s="13">
        <f ca="1" t="shared" si="1"/>
        <v>0.533665199880085</v>
      </c>
      <c r="K8" s="15">
        <f ca="1" t="shared" si="2"/>
        <v>0.579391677895563</v>
      </c>
      <c r="L8" s="13">
        <f ca="1">INDEX(V2:V17,MATCH(1:1,U2:U17,))</f>
        <v>1.9433</v>
      </c>
      <c r="M8" s="13">
        <f ca="1">INDEX(V2:V17,MATCH(1:1,U2:U17,))</f>
        <v>0.903002365714732</v>
      </c>
      <c r="N8" s="21">
        <f ca="1">INDEX(V2:V17,MATCH(1:1,U2:U17,))+O:O*P:P</f>
        <v>17965.8209384615</v>
      </c>
      <c r="O8" s="21">
        <f ca="1">INDEX(V2:V17,MATCH(1:1,U2:U17,))</f>
        <v>7522.72307692308</v>
      </c>
      <c r="P8" s="40">
        <f t="shared" si="3"/>
        <v>0.772</v>
      </c>
      <c r="Q8" s="21">
        <f ca="1">INDEX(V2:V17,MATCH(1:1,U2:U17,))</f>
        <v>751</v>
      </c>
      <c r="R8" s="13">
        <f ca="1">INDEX(V2:V17,MATCH(1:1,U2:U17,))</f>
        <v>0</v>
      </c>
      <c r="S8" s="13">
        <f ca="1">INDEX(V2:V17,MATCH(1:1,U2:U17,))</f>
        <v>0</v>
      </c>
      <c r="T8" s="20">
        <f>1.5-Q24/16</f>
        <v>1.375</v>
      </c>
      <c r="U8" s="20" t="str">
        <f t="shared" si="0"/>
        <v>会效</v>
      </c>
      <c r="V8" s="20">
        <f ca="1" t="shared" si="0"/>
        <v>1.9433</v>
      </c>
      <c r="W8" s="17" t="str">
        <f>属性!H12</f>
        <v>会效</v>
      </c>
      <c r="X8" s="17">
        <f>属性!I12</f>
        <v>1.8533</v>
      </c>
      <c r="Y8" s="17" t="s">
        <v>36</v>
      </c>
      <c r="Z8" s="17">
        <f ca="1">X8+(L21+(Z2-X2)*L30)/J26+L23</f>
        <v>1.9433</v>
      </c>
      <c r="AA8" s="23"/>
    </row>
    <row r="9" customHeight="1" spans="1:27">
      <c r="A9" s="12" t="str">
        <f>木桩!A9</f>
        <v>盾飞</v>
      </c>
      <c r="B9" s="11">
        <f>木桩!B9</f>
        <v>0</v>
      </c>
      <c r="C9" s="11">
        <f>木桩!C9</f>
        <v>0.168</v>
      </c>
      <c r="D9" s="11">
        <f>木桩!D9</f>
        <v>25</v>
      </c>
      <c r="E9" s="13">
        <f>木桩!E9</f>
        <v>1</v>
      </c>
      <c r="F9" s="13">
        <f ca="1">木桩!F9+Q$23</f>
        <v>0.130133333333333</v>
      </c>
      <c r="G9" s="13">
        <f>木桩!G9</f>
        <v>0.05</v>
      </c>
      <c r="H9" s="13">
        <f>木桩!H9</f>
        <v>0</v>
      </c>
      <c r="I9" s="21">
        <f ca="1" t="shared" si="4"/>
        <v>12530.7042357199</v>
      </c>
      <c r="J9" s="13">
        <f ca="1" t="shared" si="1"/>
        <v>0.483665199880085</v>
      </c>
      <c r="K9" s="15">
        <f ca="1" t="shared" ref="K9:K14" si="5">J:J+K$19</f>
        <v>0.532106492123557</v>
      </c>
      <c r="L9" s="13">
        <f ca="1">INDEX(V2:V17,MATCH(1:1,U2:U17,))</f>
        <v>1.9433</v>
      </c>
      <c r="M9" s="13">
        <f ca="1">INDEX(V2:V17,MATCH(1:1,U2:U17,))</f>
        <v>0.903002365714732</v>
      </c>
      <c r="N9" s="21">
        <f ca="1">INDEX(V2:V17,MATCH(1:1,U2:U17,))+O:O*P:P</f>
        <v>19094.2294</v>
      </c>
      <c r="O9" s="21">
        <f ca="1">INDEX(V2:V17,MATCH(1:1,U2:U17,))</f>
        <v>7522.72307692308</v>
      </c>
      <c r="P9" s="40">
        <f t="shared" ref="P9:P14" si="6">60%+D$32*0.2*6/25+0.15*D$21+60%*(25+6*D$32)*(1+H$28)/H$27</f>
        <v>0.922</v>
      </c>
      <c r="Q9" s="21">
        <f ca="1">INDEX(V2:V17,MATCH(1:1,U2:U17,))</f>
        <v>751</v>
      </c>
      <c r="R9" s="13">
        <f ca="1">INDEX(V2:V17,MATCH(1:1,U2:U17,))</f>
        <v>0</v>
      </c>
      <c r="S9" s="13">
        <f ca="1">INDEX(V2:V17,MATCH(1:1,U2:U17,))</f>
        <v>0</v>
      </c>
      <c r="T9" s="20">
        <f>1.5-Q24/16</f>
        <v>1.375</v>
      </c>
      <c r="U9" s="20" t="str">
        <f t="shared" si="0"/>
        <v>破防值</v>
      </c>
      <c r="V9" s="20">
        <f ca="1">Z9</f>
        <v>13855.8489</v>
      </c>
      <c r="W9" s="17" t="str">
        <f>属性!H13</f>
        <v>破防值</v>
      </c>
      <c r="X9" s="17">
        <f>属性!I13</f>
        <v>7718.1326</v>
      </c>
      <c r="Y9" s="17" t="s">
        <v>206</v>
      </c>
      <c r="Z9" s="17">
        <f ca="1">Z10*(1+O23)</f>
        <v>13855.8489</v>
      </c>
      <c r="AA9" s="23"/>
    </row>
    <row r="10" customHeight="1" spans="1:27">
      <c r="A10" s="12" t="str">
        <f>木桩!A10</f>
        <v>劫刀</v>
      </c>
      <c r="B10" s="11">
        <f>木桩!B10</f>
        <v>-5</v>
      </c>
      <c r="C10" s="11">
        <f>木桩!C10</f>
        <v>1.1</v>
      </c>
      <c r="D10" s="11">
        <f>木桩!D10</f>
        <v>124.5</v>
      </c>
      <c r="E10" s="13">
        <f>木桩!E10</f>
        <v>1</v>
      </c>
      <c r="F10" s="13">
        <f ca="1">木桩!F10+Q$23</f>
        <v>0.230133333333333</v>
      </c>
      <c r="G10" s="13">
        <f>木桩!G10</f>
        <v>0.15</v>
      </c>
      <c r="H10" s="13">
        <f>木桩!H10</f>
        <v>0.15</v>
      </c>
      <c r="I10" s="21">
        <f ca="1" t="shared" si="4"/>
        <v>84341.4083539959</v>
      </c>
      <c r="J10" s="13">
        <f ca="1" t="shared" si="1"/>
        <v>0.583665199880085</v>
      </c>
      <c r="K10" s="15">
        <f ca="1" t="shared" si="5"/>
        <v>0.632106492123557</v>
      </c>
      <c r="L10" s="13">
        <f ca="1">INDEX(V2:V17,MATCH(1:1,U2:U17,))</f>
        <v>1.9433</v>
      </c>
      <c r="M10" s="13">
        <f ca="1">INDEX(V2:V17,MATCH(1:1,U2:U17,))</f>
        <v>0.903002365714732</v>
      </c>
      <c r="N10" s="21">
        <f ca="1">INDEX(V2:V17,MATCH(1:1,U2:U17,))+O:O*P:P</f>
        <v>19094.2294</v>
      </c>
      <c r="O10" s="21">
        <f ca="1">INDEX(V2:V17,MATCH(1:1,U2:U17,))</f>
        <v>7522.72307692308</v>
      </c>
      <c r="P10" s="40">
        <f t="shared" si="6"/>
        <v>0.922</v>
      </c>
      <c r="Q10" s="21">
        <f ca="1">INDEX(V2:V17,MATCH(1:1,U2:U17,))</f>
        <v>751</v>
      </c>
      <c r="R10" s="13">
        <f ca="1">INDEX(V2:V17,MATCH(1:1,U2:U17,))</f>
        <v>0</v>
      </c>
      <c r="S10" s="13">
        <f ca="1">INDEX(V2:V17,MATCH(1:1,U2:U17,))</f>
        <v>0</v>
      </c>
      <c r="T10" s="20">
        <f>1.5-Q24/16</f>
        <v>1.375</v>
      </c>
      <c r="U10" s="20" t="str">
        <f t="shared" si="0"/>
        <v>基础破防</v>
      </c>
      <c r="V10" s="20">
        <f ca="1">Z10</f>
        <v>9237.2326</v>
      </c>
      <c r="W10" s="17" t="str">
        <f>属性!H14</f>
        <v>基础破防</v>
      </c>
      <c r="X10" s="17">
        <f>属性!I14</f>
        <v>7718.1326</v>
      </c>
      <c r="Y10" s="17" t="s">
        <v>47</v>
      </c>
      <c r="Z10" s="17">
        <f ca="1">X10+O21+(Z4-X4)*L27</f>
        <v>9237.2326</v>
      </c>
      <c r="AA10" s="23"/>
    </row>
    <row r="11" customHeight="1" spans="1:27">
      <c r="A11" s="12" t="str">
        <f>木桩!A11</f>
        <v>斩刀</v>
      </c>
      <c r="B11" s="11">
        <f>木桩!B11</f>
        <v>-15</v>
      </c>
      <c r="C11" s="11">
        <f>木桩!C11</f>
        <v>1.193</v>
      </c>
      <c r="D11" s="11">
        <f>木桩!D11</f>
        <v>233</v>
      </c>
      <c r="E11" s="13">
        <f>木桩!E11</f>
        <v>1</v>
      </c>
      <c r="F11" s="13">
        <f ca="1">木桩!F11+Q$23</f>
        <v>0.180133333333333</v>
      </c>
      <c r="G11" s="13">
        <f>木桩!G11</f>
        <v>0.04</v>
      </c>
      <c r="H11" s="13">
        <f>木桩!H11</f>
        <v>0</v>
      </c>
      <c r="I11" s="21">
        <f ca="1" t="shared" si="4"/>
        <v>77561.9405367069</v>
      </c>
      <c r="J11" s="13">
        <f ca="1" t="shared" si="1"/>
        <v>0.473665199880085</v>
      </c>
      <c r="K11" s="15">
        <f ca="1" t="shared" si="5"/>
        <v>0.522106492123557</v>
      </c>
      <c r="L11" s="13">
        <f ca="1">INDEX(V2:V17,MATCH(1:1,U2:U17,))</f>
        <v>1.9433</v>
      </c>
      <c r="M11" s="13">
        <f ca="1">INDEX(V2:V17,MATCH(1:1,U2:U17,))</f>
        <v>0.903002365714732</v>
      </c>
      <c r="N11" s="21">
        <f ca="1">INDEX(V2:V17,MATCH(1:1,U2:U17,))+O:O*P:P</f>
        <v>19094.2294</v>
      </c>
      <c r="O11" s="21">
        <f ca="1">INDEX(V2:V17,MATCH(1:1,U2:U17,))</f>
        <v>7522.72307692308</v>
      </c>
      <c r="P11" s="40">
        <f t="shared" si="6"/>
        <v>0.922</v>
      </c>
      <c r="Q11" s="21">
        <f ca="1">INDEX(V2:V17,MATCH(1:1,U2:U17,))</f>
        <v>751</v>
      </c>
      <c r="R11" s="13">
        <f ca="1">INDEX(V2:V17,MATCH(1:1,U2:U17,))</f>
        <v>0</v>
      </c>
      <c r="S11" s="13">
        <f ca="1">INDEX(V2:V17,MATCH(1:1,U2:U17,))</f>
        <v>0</v>
      </c>
      <c r="T11" s="20">
        <f>1.5-Q24/16</f>
        <v>1.375</v>
      </c>
      <c r="U11" s="20" t="str">
        <f t="shared" si="0"/>
        <v>破防</v>
      </c>
      <c r="V11" s="20">
        <f ca="1" t="shared" si="0"/>
        <v>0.903002365714732</v>
      </c>
      <c r="W11" s="17" t="str">
        <f>属性!H15</f>
        <v>破防</v>
      </c>
      <c r="X11" s="17">
        <f>属性!I15</f>
        <v>0.503</v>
      </c>
      <c r="Y11" s="17" t="s">
        <v>205</v>
      </c>
      <c r="Z11" s="17">
        <f ca="1">Z9/J30</f>
        <v>0.903002365714732</v>
      </c>
      <c r="AA11" s="23"/>
    </row>
    <row r="12" customHeight="1" spans="1:27">
      <c r="A12" s="12" t="str">
        <f>木桩!A12</f>
        <v>闪刀</v>
      </c>
      <c r="B12" s="11">
        <f>木桩!B12</f>
        <v>-15</v>
      </c>
      <c r="C12" s="11">
        <f>木桩!C12</f>
        <v>0.9</v>
      </c>
      <c r="D12" s="11">
        <f>木桩!D12</f>
        <v>157.5</v>
      </c>
      <c r="E12" s="13">
        <f>木桩!E12</f>
        <v>1</v>
      </c>
      <c r="F12" s="13">
        <f ca="1">木桩!F12+Q$23</f>
        <v>0.0101333333333333</v>
      </c>
      <c r="G12" s="13">
        <f>木桩!G12</f>
        <v>0</v>
      </c>
      <c r="H12" s="13">
        <f>木桩!H12</f>
        <v>0</v>
      </c>
      <c r="I12" s="21">
        <f ca="1" t="shared" si="4"/>
        <v>49270.2525726595</v>
      </c>
      <c r="J12" s="13">
        <f ca="1" t="shared" si="1"/>
        <v>0.433665199880085</v>
      </c>
      <c r="K12" s="15">
        <f ca="1" t="shared" si="5"/>
        <v>0.482106492123557</v>
      </c>
      <c r="L12" s="13">
        <f ca="1">INDEX(V2:V17,MATCH(1:1,U2:U17,))</f>
        <v>1.9433</v>
      </c>
      <c r="M12" s="13">
        <f ca="1">INDEX(V2:V17,MATCH(1:1,U2:U17,))</f>
        <v>0.903002365714732</v>
      </c>
      <c r="N12" s="21">
        <f ca="1">INDEX(V2:V17,MATCH(1:1,U2:U17,))+O:O*P:P</f>
        <v>19094.2294</v>
      </c>
      <c r="O12" s="21">
        <f ca="1">INDEX(V2:V17,MATCH(1:1,U2:U17,))</f>
        <v>7522.72307692308</v>
      </c>
      <c r="P12" s="40">
        <f t="shared" si="6"/>
        <v>0.922</v>
      </c>
      <c r="Q12" s="21">
        <f ca="1">INDEX(V2:V17,MATCH(1:1,U2:U17,))</f>
        <v>751</v>
      </c>
      <c r="R12" s="13">
        <f ca="1">INDEX(V2:V17,MATCH(1:1,U2:U17,))</f>
        <v>0</v>
      </c>
      <c r="S12" s="13">
        <f ca="1">INDEX(V2:V17,MATCH(1:1,U2:U17,))</f>
        <v>0</v>
      </c>
      <c r="T12" s="20">
        <f>1.5-Q24/16</f>
        <v>1.375</v>
      </c>
      <c r="U12" s="20" t="str">
        <f t="shared" si="0"/>
        <v>加速</v>
      </c>
      <c r="V12" s="20">
        <f t="shared" si="0"/>
        <v>828</v>
      </c>
      <c r="W12" s="17" t="str">
        <f>属性!H16</f>
        <v>加速</v>
      </c>
      <c r="X12" s="17">
        <f>属性!I16</f>
        <v>828</v>
      </c>
      <c r="Y12" s="17" t="s">
        <v>83</v>
      </c>
      <c r="Z12" s="17">
        <f>X12</f>
        <v>828</v>
      </c>
      <c r="AA12" s="23"/>
    </row>
    <row r="13" customHeight="1" spans="1:27">
      <c r="A13" s="12" t="str">
        <f>木桩!A13</f>
        <v>绝刀</v>
      </c>
      <c r="B13" s="11">
        <f>木桩!B13</f>
        <v>0</v>
      </c>
      <c r="C13" s="11">
        <f>木桩!C13</f>
        <v>1.211</v>
      </c>
      <c r="D13" s="11">
        <f>木桩!D13</f>
        <v>186</v>
      </c>
      <c r="E13" s="13">
        <f>木桩!E13</f>
        <v>1</v>
      </c>
      <c r="F13" s="13">
        <f ca="1">木桩!F13+Q$23</f>
        <v>0.500133333333333</v>
      </c>
      <c r="G13" s="13">
        <f>木桩!G13</f>
        <v>0.04</v>
      </c>
      <c r="H13" s="13">
        <f>木桩!H13</f>
        <v>0</v>
      </c>
      <c r="I13" s="21">
        <f ca="1" t="shared" si="4"/>
        <v>99824.289191341</v>
      </c>
      <c r="J13" s="13">
        <f ca="1" t="shared" si="1"/>
        <v>0.473665199880085</v>
      </c>
      <c r="K13" s="15">
        <f ca="1" t="shared" si="5"/>
        <v>0.522106492123557</v>
      </c>
      <c r="L13" s="13">
        <f ca="1">INDEX(V2:V17,MATCH(1:1,U2:U17,))</f>
        <v>1.9433</v>
      </c>
      <c r="M13" s="13">
        <f ca="1">INDEX(V2:V17,MATCH(1:1,U2:U17,))</f>
        <v>0.903002365714732</v>
      </c>
      <c r="N13" s="21">
        <f ca="1">INDEX(V2:V17,MATCH(1:1,U2:U17,))+O:O*P:P</f>
        <v>19094.2294</v>
      </c>
      <c r="O13" s="21">
        <f ca="1">INDEX(V2:V17,MATCH(1:1,U2:U17,))</f>
        <v>7522.72307692308</v>
      </c>
      <c r="P13" s="40">
        <f t="shared" si="6"/>
        <v>0.922</v>
      </c>
      <c r="Q13" s="21">
        <f ca="1">INDEX(V2:V17,MATCH(1:1,U2:U17,))</f>
        <v>751</v>
      </c>
      <c r="R13" s="13">
        <f ca="1">INDEX(V2:V17,MATCH(1:1,U2:U17,))</f>
        <v>0</v>
      </c>
      <c r="S13" s="13">
        <f ca="1">INDEX(V2:V17,MATCH(1:1,U2:U17,))</f>
        <v>0</v>
      </c>
      <c r="T13" s="20">
        <f>1.5-Q24/16</f>
        <v>1.375</v>
      </c>
      <c r="U13" s="20" t="str">
        <f t="shared" si="0"/>
        <v>命中</v>
      </c>
      <c r="V13" s="20">
        <f ca="1" t="shared" si="0"/>
        <v>1.13257753521884</v>
      </c>
      <c r="W13" s="17" t="str">
        <f>属性!H17</f>
        <v>命中</v>
      </c>
      <c r="X13" s="17">
        <f>属性!I17</f>
        <v>1.0715</v>
      </c>
      <c r="Y13" s="17" t="s">
        <v>56</v>
      </c>
      <c r="Z13" s="17">
        <f ca="1">X13+J23+J21/J27</f>
        <v>1.13257753521884</v>
      </c>
      <c r="AA13" s="23"/>
    </row>
    <row r="14" customHeight="1" spans="1:27">
      <c r="A14" s="11" t="str">
        <f>木桩!A14</f>
        <v>流血</v>
      </c>
      <c r="B14" s="11">
        <f>木桩!B14</f>
        <v>0</v>
      </c>
      <c r="C14" s="14">
        <f>木桩!C14</f>
        <v>0.34375</v>
      </c>
      <c r="D14" s="11">
        <f>木桩!D14</f>
        <v>47</v>
      </c>
      <c r="E14" s="13">
        <f>木桩!E14</f>
        <v>0</v>
      </c>
      <c r="F14" s="13">
        <f ca="1">木桩!F14+Q$23</f>
        <v>0.0101333333333333</v>
      </c>
      <c r="G14" s="13">
        <f>木桩!G14</f>
        <v>0</v>
      </c>
      <c r="H14" s="13">
        <f>木桩!H14</f>
        <v>0</v>
      </c>
      <c r="I14" s="21">
        <f ca="1" t="shared" si="4"/>
        <v>18001.5725710372</v>
      </c>
      <c r="J14" s="13">
        <f ca="1" t="shared" si="1"/>
        <v>0.433665199880085</v>
      </c>
      <c r="K14" s="15">
        <f ca="1" t="shared" si="5"/>
        <v>0.482106492123557</v>
      </c>
      <c r="L14" s="13">
        <f ca="1">INDEX(V2:V17,MATCH(1:1,U2:U17,))</f>
        <v>1.9433</v>
      </c>
      <c r="M14" s="13">
        <f ca="1">INDEX(V2:V17,MATCH(1:1,U2:U17,))</f>
        <v>0.903002365714732</v>
      </c>
      <c r="N14" s="21">
        <f ca="1">INDEX(V2:V17,MATCH(1:1,U2:U17,))+O:O*P:P</f>
        <v>19094.2294</v>
      </c>
      <c r="O14" s="21">
        <f ca="1">INDEX(V2:V17,MATCH(1:1,U2:U17,))</f>
        <v>7522.72307692308</v>
      </c>
      <c r="P14" s="40">
        <f t="shared" si="6"/>
        <v>0.922</v>
      </c>
      <c r="Q14" s="21">
        <f ca="1">INDEX(V2:V17,MATCH(1:1,U2:U17,))</f>
        <v>751</v>
      </c>
      <c r="R14" s="13">
        <f ca="1">INDEX(V2:V17,MATCH(1:1,U2:U17,))</f>
        <v>0</v>
      </c>
      <c r="S14" s="13">
        <f ca="1">INDEX(V2:V17,MATCH(1:1,U2:U17,))</f>
        <v>0</v>
      </c>
      <c r="T14" s="20">
        <f>(2-Q26/16)*NOT(D22)+(1-Q25/16)*D22</f>
        <v>0.9375</v>
      </c>
      <c r="U14" s="20" t="str">
        <f t="shared" si="0"/>
        <v>无双</v>
      </c>
      <c r="V14" s="20">
        <f ca="1" t="shared" si="0"/>
        <v>0.273371047077177</v>
      </c>
      <c r="W14" s="17" t="str">
        <f>属性!H18</f>
        <v>无双</v>
      </c>
      <c r="X14" s="17">
        <f>属性!I18</f>
        <v>0.2319</v>
      </c>
      <c r="Y14" s="17" t="s">
        <v>66</v>
      </c>
      <c r="Z14" s="17">
        <f ca="1">X14+N23+N21/J28</f>
        <v>0.273371047077177</v>
      </c>
      <c r="AA14" s="23"/>
    </row>
    <row r="15" customHeight="1" spans="1:27">
      <c r="A15" s="11" t="str">
        <f>木桩!A15</f>
        <v>卷雪刀</v>
      </c>
      <c r="B15" s="11">
        <f>木桩!B15</f>
        <v>0</v>
      </c>
      <c r="C15" s="11">
        <f>木桩!C15</f>
        <v>0.1375</v>
      </c>
      <c r="D15" s="11">
        <f>木桩!D15</f>
        <v>0</v>
      </c>
      <c r="E15" s="13">
        <f>木桩!E15</f>
        <v>1</v>
      </c>
      <c r="F15" s="13">
        <f ca="1">木桩!F15+Q$23</f>
        <v>0.0101333333333333</v>
      </c>
      <c r="G15" s="13">
        <f>木桩!G15</f>
        <v>0</v>
      </c>
      <c r="H15" s="13">
        <f>木桩!H15</f>
        <v>0</v>
      </c>
      <c r="I15" s="21">
        <f ca="1" t="shared" si="4"/>
        <v>8804.40225306663</v>
      </c>
      <c r="J15" s="13">
        <f ca="1" t="shared" si="1"/>
        <v>0.433665199880085</v>
      </c>
      <c r="K15" s="15">
        <f ca="1">J:J+(0.211855500496661*J:J^6-0.937563819411654*J:J^5+1.77483619127542*J:J^4-1.89647323402313*J:J^3+1.2737744963305*J:J^2-0.565275505039552*J:J+0.164596522595162)*$D$28</f>
        <v>0.487805126715561</v>
      </c>
      <c r="L15" s="13">
        <f ca="1">INDEX(V2:V17,MATCH(1:1,U2:U17,))</f>
        <v>1.9433</v>
      </c>
      <c r="M15" s="13">
        <f ca="1">INDEX(V2:V17,MATCH(1:1,U2:U17,))</f>
        <v>0.903002365714732</v>
      </c>
      <c r="N15" s="21">
        <f ca="1">INDEX(V2:V17,MATCH(1:1,U2:U17,))+O:O*P:P</f>
        <v>17965.8209384615</v>
      </c>
      <c r="O15" s="21">
        <f ca="1">INDEX(V2:V17,MATCH(1:1,U2:U17,))</f>
        <v>7522.72307692308</v>
      </c>
      <c r="P15" s="40">
        <f>60%+D$32*0.2*6/25+60%*(25+6*D$32)*(1+H$28)/H$27</f>
        <v>0.772</v>
      </c>
      <c r="Q15" s="21">
        <f ca="1">INDEX(V2:V17,MATCH(1:1,U2:U17,))</f>
        <v>751</v>
      </c>
      <c r="R15" s="13">
        <f ca="1">INDEX(V2:V17,MATCH(1:1,U2:U17,))</f>
        <v>0</v>
      </c>
      <c r="S15" s="13">
        <f ca="1">INDEX(V2:V17,MATCH(1:1,U2:U17,))</f>
        <v>0</v>
      </c>
      <c r="T15" s="20">
        <f>1.5-Q24/16</f>
        <v>1.375</v>
      </c>
      <c r="U15" s="20" t="str">
        <f t="shared" si="0"/>
        <v>武器伤害</v>
      </c>
      <c r="V15" s="20">
        <f ca="1" t="shared" si="0"/>
        <v>751</v>
      </c>
      <c r="W15" s="17" t="str">
        <f>属性!H19</f>
        <v>武器伤害</v>
      </c>
      <c r="X15" s="17">
        <f ca="1">属性!I19+P21</f>
        <v>751</v>
      </c>
      <c r="Y15" s="17" t="s">
        <v>75</v>
      </c>
      <c r="Z15" s="17">
        <f ca="1">X15</f>
        <v>751</v>
      </c>
      <c r="AA15" s="23"/>
    </row>
    <row r="16" customHeight="1" spans="1:27">
      <c r="A16" s="7" t="str">
        <f>木桩!A16</f>
        <v>卷雪刀1</v>
      </c>
      <c r="B16" s="7">
        <f>木桩!B16</f>
        <v>0</v>
      </c>
      <c r="C16" s="7">
        <f>木桩!C16</f>
        <v>0.1375</v>
      </c>
      <c r="D16" s="7">
        <f>木桩!D16</f>
        <v>0</v>
      </c>
      <c r="E16" s="16">
        <f>木桩!E16</f>
        <v>1</v>
      </c>
      <c r="F16" s="13">
        <f ca="1">木桩!F16+Q$23</f>
        <v>0.0101333333333333</v>
      </c>
      <c r="G16" s="16">
        <f>木桩!G16</f>
        <v>0</v>
      </c>
      <c r="H16" s="16">
        <f>木桩!H16</f>
        <v>0</v>
      </c>
      <c r="I16" s="21">
        <f ca="1" t="shared" si="4"/>
        <v>9194.49781151741</v>
      </c>
      <c r="J16" s="13">
        <f ca="1" t="shared" si="1"/>
        <v>0.433665199880085</v>
      </c>
      <c r="K16" s="15">
        <f ca="1">J:J+K$19</f>
        <v>0.482106492123557</v>
      </c>
      <c r="L16" s="16">
        <f ca="1">INDEX(V2:V17,MATCH(1:1,U2:U17,))</f>
        <v>1.9433</v>
      </c>
      <c r="M16" s="16">
        <f ca="1">INDEX(V2:V17,MATCH(1:1,U2:U17,))</f>
        <v>0.903002365714732</v>
      </c>
      <c r="N16" s="23">
        <f ca="1">INDEX(V2:V17,MATCH(1:1,U2:U17,))+O:O*P:P</f>
        <v>19094.2294</v>
      </c>
      <c r="O16" s="23">
        <f ca="1">INDEX(V2:V17,MATCH(1:1,U2:U17,))</f>
        <v>7522.72307692308</v>
      </c>
      <c r="P16" s="16">
        <f>P12</f>
        <v>0.922</v>
      </c>
      <c r="Q16" s="23">
        <f ca="1">INDEX(V2:V17,MATCH(1:1,U2:U17,))</f>
        <v>751</v>
      </c>
      <c r="R16" s="16">
        <f ca="1">INDEX(V2:V17,MATCH(1:1,U2:U17,))</f>
        <v>0</v>
      </c>
      <c r="S16" s="16">
        <f ca="1">INDEX(V2:V17,MATCH(1:1,U2:U17,))</f>
        <v>0</v>
      </c>
      <c r="T16" s="20">
        <f>1.5-Q24/16</f>
        <v>1.375</v>
      </c>
      <c r="U16" s="17" t="str">
        <f t="shared" si="0"/>
        <v>偏离率</v>
      </c>
      <c r="V16" s="30">
        <f ca="1" t="shared" si="0"/>
        <v>0</v>
      </c>
      <c r="W16" s="17" t="str">
        <f>属性!H20</f>
        <v>偏离率</v>
      </c>
      <c r="X16" s="16">
        <f>属性!I20</f>
        <v>0</v>
      </c>
      <c r="Y16" s="17" t="s">
        <v>212</v>
      </c>
      <c r="Z16" s="17">
        <f ca="1">IF(X16-Z13+X13&gt;0,X16-Z13+X13,0)</f>
        <v>0</v>
      </c>
      <c r="AA16" s="23"/>
    </row>
    <row r="17" customHeight="1" spans="1:27">
      <c r="A17" s="11" t="str">
        <f>木桩!A17</f>
        <v>绝刀1</v>
      </c>
      <c r="B17" s="11">
        <f>木桩!B17</f>
        <v>0</v>
      </c>
      <c r="C17" s="11">
        <f>木桩!C17</f>
        <v>1.211</v>
      </c>
      <c r="D17" s="11">
        <f>木桩!D17</f>
        <v>186</v>
      </c>
      <c r="E17" s="13">
        <f>木桩!E17</f>
        <v>1</v>
      </c>
      <c r="F17" s="13">
        <f ca="1">木桩!F17+Q$23</f>
        <v>0.500133333333333</v>
      </c>
      <c r="G17" s="13">
        <f>木桩!G17</f>
        <v>0.07</v>
      </c>
      <c r="H17" s="13">
        <f>木桩!H17</f>
        <v>0</v>
      </c>
      <c r="I17" s="21">
        <f ca="1" t="shared" si="4"/>
        <v>101688.644804436</v>
      </c>
      <c r="J17" s="13">
        <f ca="1" t="shared" si="1"/>
        <v>0.503665199880085</v>
      </c>
      <c r="K17" s="15">
        <f ca="1">J:J+(0.211855500496661*J:J^6-0.937563819411654*J:J^5+1.77483619127542*J:J^4-1.89647323402313*J:J^3+1.2737744963305*J:J^2-0.565275505039552*J:J+0.164596522595162)*$D$28</f>
        <v>0.551656521857724</v>
      </c>
      <c r="L17" s="13">
        <f ca="1">INDEX(V2:V17,MATCH(1:1,U2:U17,))</f>
        <v>1.9433</v>
      </c>
      <c r="M17" s="13">
        <f ca="1">INDEX(V2:V17,MATCH(1:1,U2:U17,))</f>
        <v>0.903002365714732</v>
      </c>
      <c r="N17" s="21">
        <f ca="1">INDEX(V2:V17,MATCH(1:1,U2:U17,))+O:O*P:P</f>
        <v>19094.2294</v>
      </c>
      <c r="O17" s="21">
        <f ca="1">INDEX(V2:V17,MATCH(1:1,U2:U17,))</f>
        <v>7522.72307692308</v>
      </c>
      <c r="P17" s="16">
        <f>P13</f>
        <v>0.922</v>
      </c>
      <c r="Q17" s="21">
        <f ca="1">INDEX(V2:V17,MATCH(1:1,U2:U17,))</f>
        <v>751</v>
      </c>
      <c r="R17" s="13">
        <f ca="1">INDEX(V2:V17,MATCH(1:1,U2:U17,))</f>
        <v>0</v>
      </c>
      <c r="S17" s="13">
        <f ca="1">INDEX(V2:V17,MATCH(1:1,U2:U17,))</f>
        <v>0</v>
      </c>
      <c r="T17" s="7">
        <v>0</v>
      </c>
      <c r="U17" s="20" t="str">
        <f t="shared" si="0"/>
        <v>识破率</v>
      </c>
      <c r="V17" s="20">
        <f ca="1" t="shared" si="0"/>
        <v>0</v>
      </c>
      <c r="W17" s="17" t="str">
        <f>属性!H21</f>
        <v>识破率</v>
      </c>
      <c r="X17" s="17">
        <f>属性!I21</f>
        <v>0</v>
      </c>
      <c r="Y17" s="17" t="s">
        <v>213</v>
      </c>
      <c r="Z17" s="17">
        <f ca="1">IF(X17-Z14+X14&gt;0,X17-Z14+X14,0)</f>
        <v>0</v>
      </c>
      <c r="AA17" s="23"/>
    </row>
    <row r="18" customHeight="1" spans="1:27">
      <c r="A18" s="11" t="str">
        <f>木桩!A18</f>
        <v>绝刀2</v>
      </c>
      <c r="B18" s="11">
        <f>木桩!B18</f>
        <v>0</v>
      </c>
      <c r="C18" s="11">
        <f>木桩!C18</f>
        <v>1.211</v>
      </c>
      <c r="D18" s="11">
        <f>木桩!D18</f>
        <v>186</v>
      </c>
      <c r="E18" s="13">
        <f>木桩!E18</f>
        <v>1</v>
      </c>
      <c r="F18" s="13">
        <f ca="1">木桩!F18+Q$23</f>
        <v>0.700133333333333</v>
      </c>
      <c r="G18" s="13">
        <f>木桩!G18</f>
        <v>0.04</v>
      </c>
      <c r="H18" s="13">
        <f>木桩!H18</f>
        <v>0</v>
      </c>
      <c r="I18" s="21">
        <f ca="1" t="shared" si="4"/>
        <v>113133.011419322</v>
      </c>
      <c r="J18" s="13">
        <f ca="1" t="shared" si="1"/>
        <v>0.473665199880085</v>
      </c>
      <c r="K18" s="15">
        <f ca="1">J:J+K$19</f>
        <v>0.522106492123557</v>
      </c>
      <c r="L18" s="13">
        <f ca="1">INDEX(V2:V17,MATCH(1:1,U2:U17,))</f>
        <v>1.9433</v>
      </c>
      <c r="M18" s="13">
        <f ca="1">INDEX(V2:V17,MATCH(1:1,U2:U17,))</f>
        <v>0.903002365714732</v>
      </c>
      <c r="N18" s="21">
        <f ca="1">INDEX(V2:V17,MATCH(1:1,U2:U17,))+O:O*P:P</f>
        <v>19094.2294</v>
      </c>
      <c r="O18" s="21">
        <f ca="1">INDEX(V2:V17,MATCH(1:1,U2:U17,))</f>
        <v>7522.72307692308</v>
      </c>
      <c r="P18" s="16">
        <f>P13</f>
        <v>0.922</v>
      </c>
      <c r="Q18" s="21">
        <f ca="1">INDEX(V2:V17,MATCH(1:1,U2:U17,))</f>
        <v>751</v>
      </c>
      <c r="R18" s="13">
        <f ca="1">INDEX(V2:V17,MATCH(1:1,U2:U17,))</f>
        <v>0</v>
      </c>
      <c r="S18" s="13">
        <f ca="1">INDEX(V2:V17,MATCH(1:1,U2:U17,))</f>
        <v>0</v>
      </c>
      <c r="T18" s="7">
        <v>0</v>
      </c>
      <c r="AA18" s="23"/>
    </row>
    <row r="19" customHeight="1" spans="5:27">
      <c r="E19" s="16"/>
      <c r="F19" s="16"/>
      <c r="G19" s="16"/>
      <c r="H19" s="16"/>
      <c r="I19" s="13" t="s">
        <v>291</v>
      </c>
      <c r="J19" s="24">
        <f ca="1">(0.75*J11+0.75*J12+8.5*J10+15*J9)/25</f>
        <v>0.515865199880085</v>
      </c>
      <c r="K19" s="7">
        <f ca="1">(0.450269547036277*J:J^6-1.63135022943507*J:J^5+2.53454201422095*J:J^4-2.30008535755169*J:J^3+1.39860127189957*J:J^2-0.596843023464342*J:J+0.171517229012336)*D28</f>
        <v>0.0484412922434724</v>
      </c>
      <c r="L19" s="16"/>
      <c r="M19" s="16"/>
      <c r="N19" s="23"/>
      <c r="O19" s="23"/>
      <c r="P19" s="16"/>
      <c r="Q19" s="23"/>
      <c r="R19" s="16"/>
      <c r="S19" s="16"/>
      <c r="V19" s="29"/>
      <c r="AA19" s="23"/>
    </row>
    <row r="20" customHeight="1" spans="5:27">
      <c r="E20" s="16"/>
      <c r="F20" s="16"/>
      <c r="G20" s="37" t="str">
        <f>属性!H1</f>
        <v>身法</v>
      </c>
      <c r="H20" s="37" t="str">
        <f>属性!I1</f>
        <v>力道</v>
      </c>
      <c r="I20" s="37" t="str">
        <f>属性!J1</f>
        <v>基础攻击</v>
      </c>
      <c r="J20" s="37" t="str">
        <f>属性!K1</f>
        <v>命中</v>
      </c>
      <c r="K20" s="41" t="str">
        <f>属性!L1</f>
        <v>会心</v>
      </c>
      <c r="L20" s="37" t="str">
        <f>属性!M1</f>
        <v>会效</v>
      </c>
      <c r="M20" s="37" t="str">
        <f>属性!N1</f>
        <v>加速</v>
      </c>
      <c r="N20" s="37" t="str">
        <f>属性!O1</f>
        <v>无双</v>
      </c>
      <c r="O20" s="37" t="str">
        <f>属性!P1</f>
        <v>基础破防</v>
      </c>
      <c r="P20" s="42" t="str">
        <f>属性!Q1</f>
        <v>武器伤害</v>
      </c>
      <c r="Q20" s="42" t="str">
        <f>属性!R1</f>
        <v>减防</v>
      </c>
      <c r="R20" s="16"/>
      <c r="S20" s="16"/>
      <c r="AA20" s="23"/>
    </row>
    <row r="21" customHeight="1" spans="1:27">
      <c r="A21" s="20" t="str">
        <f>属性!D1</f>
        <v>第一重</v>
      </c>
      <c r="B21" s="20" t="str">
        <f>属性!E1</f>
        <v>刀魂</v>
      </c>
      <c r="C21" s="11" t="s">
        <v>13</v>
      </c>
      <c r="D21" s="11" t="b">
        <f t="shared" ref="D21:D32" si="7">C21=B21</f>
        <v>1</v>
      </c>
      <c r="E21" s="11" t="s">
        <v>292</v>
      </c>
      <c r="F21" s="11" t="b">
        <f t="shared" ref="F21:F31" si="8">E21=B21</f>
        <v>0</v>
      </c>
      <c r="G21" s="20">
        <f ca="1">属性!H2</f>
        <v>201</v>
      </c>
      <c r="H21" s="20">
        <f ca="1">属性!I2</f>
        <v>52</v>
      </c>
      <c r="I21" s="17">
        <f ca="1">属性!J2</f>
        <v>199</v>
      </c>
      <c r="J21" s="17">
        <f ca="1">属性!K2</f>
        <v>294</v>
      </c>
      <c r="K21" s="20">
        <f ca="1">属性!L2</f>
        <v>194</v>
      </c>
      <c r="L21" s="43">
        <f ca="1">属性!M2</f>
        <v>0</v>
      </c>
      <c r="M21" s="20">
        <f ca="1">属性!N2</f>
        <v>0</v>
      </c>
      <c r="N21" s="20">
        <f ca="1">属性!O2</f>
        <v>100</v>
      </c>
      <c r="O21" s="20">
        <f ca="1">属性!P2+0.1</f>
        <v>1506.1</v>
      </c>
      <c r="P21" s="32">
        <f ca="1">属性!Q2</f>
        <v>0</v>
      </c>
      <c r="Q21" s="34">
        <f ca="1">属性!R2</f>
        <v>200</v>
      </c>
      <c r="R21" s="16"/>
      <c r="S21" s="16"/>
      <c r="AA21" s="23"/>
    </row>
    <row r="22" customHeight="1" spans="1:27">
      <c r="A22" s="20" t="str">
        <f>属性!D2</f>
        <v>第二重</v>
      </c>
      <c r="B22" s="20" t="str">
        <f>属性!E2</f>
        <v>炼狱</v>
      </c>
      <c r="C22" s="11" t="s">
        <v>24</v>
      </c>
      <c r="D22" s="11" t="b">
        <f t="shared" si="7"/>
        <v>1</v>
      </c>
      <c r="E22" s="11"/>
      <c r="F22" s="11"/>
      <c r="G22" s="38" t="str">
        <f>属性!H3</f>
        <v>身法</v>
      </c>
      <c r="H22" s="39" t="str">
        <f>属性!I3</f>
        <v>力道</v>
      </c>
      <c r="I22" s="39" t="str">
        <f>属性!J3</f>
        <v>面板攻击</v>
      </c>
      <c r="J22" s="39" t="str">
        <f>属性!K3</f>
        <v>命中</v>
      </c>
      <c r="K22" s="39" t="str">
        <f>属性!L3</f>
        <v>会心</v>
      </c>
      <c r="L22" s="39" t="str">
        <f>属性!M3</f>
        <v>会效</v>
      </c>
      <c r="M22" s="39" t="str">
        <f>属性!N3</f>
        <v>加速</v>
      </c>
      <c r="N22" s="39" t="str">
        <f>属性!O3</f>
        <v>无双</v>
      </c>
      <c r="O22" s="39" t="str">
        <f>属性!P3</f>
        <v>面板破防</v>
      </c>
      <c r="P22" s="44" t="str">
        <f>属性!Q3</f>
        <v>易伤</v>
      </c>
      <c r="Q22" s="44" t="str">
        <f>属性!R3</f>
        <v>伤害加成</v>
      </c>
      <c r="R22" s="16"/>
      <c r="S22" s="16"/>
      <c r="X22" s="23"/>
      <c r="AA22" s="23"/>
    </row>
    <row r="23" customHeight="1" spans="1:27">
      <c r="A23" s="20" t="str">
        <f>属性!D3</f>
        <v>第三重</v>
      </c>
      <c r="B23" s="20" t="str">
        <f>属性!E3</f>
        <v>飞瀑</v>
      </c>
      <c r="C23" s="11" t="s">
        <v>34</v>
      </c>
      <c r="D23" s="11" t="b">
        <f t="shared" si="7"/>
        <v>1</v>
      </c>
      <c r="E23" s="7"/>
      <c r="F23" s="7"/>
      <c r="G23" s="17">
        <f ca="1">属性!H4</f>
        <v>0.1</v>
      </c>
      <c r="H23" s="20">
        <f ca="1">属性!I4</f>
        <v>0</v>
      </c>
      <c r="I23" s="20">
        <f ca="1">属性!J4</f>
        <v>0.171</v>
      </c>
      <c r="J23" s="20">
        <f ca="1">属性!K4</f>
        <v>0.04</v>
      </c>
      <c r="K23" s="20">
        <f ca="1">属性!L4</f>
        <v>0.145</v>
      </c>
      <c r="L23" s="20">
        <f ca="1">属性!M4</f>
        <v>0.09</v>
      </c>
      <c r="M23" s="20">
        <f ca="1">属性!N4</f>
        <v>0</v>
      </c>
      <c r="N23" s="20">
        <f ca="1">属性!O4</f>
        <v>0.03</v>
      </c>
      <c r="O23" s="13">
        <f ca="1">属性!P4</f>
        <v>0.5</v>
      </c>
      <c r="P23" s="45">
        <f ca="1">属性!Q4</f>
        <v>0</v>
      </c>
      <c r="Q23" s="34">
        <f ca="1">属性!R4</f>
        <v>0.0101333333333333</v>
      </c>
      <c r="R23" s="16"/>
      <c r="S23" s="16"/>
      <c r="X23" s="23"/>
      <c r="AA23" s="23"/>
    </row>
    <row r="24" customHeight="1" spans="1:27">
      <c r="A24" s="20" t="str">
        <f>属性!D4</f>
        <v>第四重</v>
      </c>
      <c r="B24" s="20" t="str">
        <f>属性!E4</f>
        <v>劫生</v>
      </c>
      <c r="C24" s="11" t="s">
        <v>44</v>
      </c>
      <c r="D24" s="11" t="b">
        <f t="shared" si="7"/>
        <v>1</v>
      </c>
      <c r="E24" s="11"/>
      <c r="F24" s="11"/>
      <c r="H24" s="36"/>
      <c r="I24" s="46" t="s">
        <v>198</v>
      </c>
      <c r="J24" s="46"/>
      <c r="K24" s="46"/>
      <c r="L24" s="46"/>
      <c r="M24" s="47" t="s">
        <v>215</v>
      </c>
      <c r="N24" s="47" t="str">
        <f>属性!H29</f>
        <v>实战</v>
      </c>
      <c r="O24" s="43" t="str">
        <f>属性!I29</f>
        <v>实战盾击</v>
      </c>
      <c r="P24" s="26" t="s">
        <v>295</v>
      </c>
      <c r="Q24" s="11">
        <f>IF($V$12&gt;18,1)+IF($V$12&gt;827,1)+IF($V$12&gt;1728,1)+IF($V$12&gt;2703,1)</f>
        <v>2</v>
      </c>
      <c r="R24" s="16"/>
      <c r="S24" s="16"/>
      <c r="V24" s="32"/>
      <c r="X24" s="23"/>
      <c r="AA24" s="23"/>
    </row>
    <row r="25" spans="1:27">
      <c r="A25" s="20" t="str">
        <f>属性!D5</f>
        <v>第五重</v>
      </c>
      <c r="B25" s="20" t="str">
        <f>属性!E5</f>
        <v>锋鸣</v>
      </c>
      <c r="C25" s="11" t="s">
        <v>293</v>
      </c>
      <c r="D25" s="11" t="b">
        <f t="shared" si="7"/>
        <v>0</v>
      </c>
      <c r="E25" s="11" t="s">
        <v>54</v>
      </c>
      <c r="F25" s="11" t="b">
        <f t="shared" si="8"/>
        <v>1</v>
      </c>
      <c r="I25" s="20" t="s">
        <v>26</v>
      </c>
      <c r="J25" s="20">
        <v>15344.2</v>
      </c>
      <c r="K25" s="20" t="s">
        <v>200</v>
      </c>
      <c r="L25" s="20"/>
      <c r="M25" s="11" t="s">
        <v>93</v>
      </c>
      <c r="N25" s="15">
        <f ca="1">属性!H30</f>
        <v>0.948871388530846</v>
      </c>
      <c r="O25" s="15">
        <f ca="1">属性!I30</f>
        <v>0.973765015090248</v>
      </c>
      <c r="P25" s="26" t="s">
        <v>296</v>
      </c>
      <c r="Q25" s="30">
        <f>IF($V$12&gt;18,1)+IF($V$12&gt;1268,1)+IF($V$12&gt;2703,1)</f>
        <v>1</v>
      </c>
      <c r="R25" s="16"/>
      <c r="S25" s="16"/>
      <c r="V25" s="32"/>
      <c r="X25" s="23"/>
      <c r="AA25" s="23"/>
    </row>
    <row r="26" spans="1:27">
      <c r="A26" s="20" t="str">
        <f>属性!D6</f>
        <v>第六重</v>
      </c>
      <c r="B26" s="20" t="str">
        <f>属性!E6</f>
        <v>割裂</v>
      </c>
      <c r="C26" s="11" t="s">
        <v>64</v>
      </c>
      <c r="D26" s="11" t="b">
        <f t="shared" si="7"/>
        <v>1</v>
      </c>
      <c r="E26" s="11" t="s">
        <v>294</v>
      </c>
      <c r="F26" s="11" t="b">
        <f t="shared" si="8"/>
        <v>0</v>
      </c>
      <c r="I26" s="20" t="s">
        <v>36</v>
      </c>
      <c r="J26" s="20">
        <v>5370.3</v>
      </c>
      <c r="K26" s="20"/>
      <c r="L26" s="20">
        <v>1.7</v>
      </c>
      <c r="M26" s="11" t="s">
        <v>229</v>
      </c>
      <c r="N26" s="15">
        <f ca="1">属性!H31</f>
        <v>0.91750264956783</v>
      </c>
      <c r="O26" s="15">
        <f ca="1">属性!I31</f>
        <v>0.956976669392992</v>
      </c>
      <c r="P26" s="26" t="s">
        <v>297</v>
      </c>
      <c r="Q26" s="30">
        <f>IF($V$12&gt;18,1)+IF($V$12&gt;625,1)+IF($V$12&gt;1268,1)+IF($V$12&gt;1949,1)+IF($V$12&gt;2703,1)</f>
        <v>2</v>
      </c>
      <c r="R26" s="16"/>
      <c r="S26" s="16"/>
      <c r="V26" s="32"/>
      <c r="X26" s="23"/>
      <c r="AA26" s="23"/>
    </row>
    <row r="27" spans="1:27">
      <c r="A27" s="20" t="str">
        <f>属性!D7</f>
        <v>第七重</v>
      </c>
      <c r="B27" s="20" t="str">
        <f>属性!E7</f>
        <v>活脉</v>
      </c>
      <c r="C27" s="11" t="s">
        <v>72</v>
      </c>
      <c r="D27" s="11" t="b">
        <f t="shared" si="7"/>
        <v>1</v>
      </c>
      <c r="E27" s="11"/>
      <c r="F27" s="11" t="b">
        <f t="shared" si="8"/>
        <v>0</v>
      </c>
      <c r="G27" s="17" t="str">
        <f>木桩!G27</f>
        <v>战斗时间</v>
      </c>
      <c r="H27" s="30">
        <f>木桩!H27</f>
        <v>300</v>
      </c>
      <c r="I27" s="20" t="s">
        <v>56</v>
      </c>
      <c r="J27" s="20">
        <v>13948.5</v>
      </c>
      <c r="K27" s="20" t="s">
        <v>203</v>
      </c>
      <c r="L27" s="20">
        <v>0.25</v>
      </c>
      <c r="M27" s="11" t="s">
        <v>299</v>
      </c>
      <c r="N27" s="15">
        <f ca="1">属性!H32</f>
        <v>0.898870262292047</v>
      </c>
      <c r="O27" s="15">
        <f ca="1">属性!I32</f>
        <v>0.946742155208707</v>
      </c>
      <c r="P27" s="47" t="s">
        <v>92</v>
      </c>
      <c r="Q27" s="20" t="str">
        <f>苍云!C11</f>
        <v>102级</v>
      </c>
      <c r="V27" s="32"/>
      <c r="X27" s="23"/>
      <c r="AA27" s="23"/>
    </row>
    <row r="28" spans="1:27">
      <c r="A28" s="20" t="str">
        <f>属性!D8</f>
        <v>第八重</v>
      </c>
      <c r="B28" s="20" t="str">
        <f>属性!E8</f>
        <v>恋战</v>
      </c>
      <c r="C28" s="11" t="s">
        <v>81</v>
      </c>
      <c r="D28" s="11" t="b">
        <f t="shared" si="7"/>
        <v>1</v>
      </c>
      <c r="E28" s="11" t="s">
        <v>269</v>
      </c>
      <c r="F28" s="11" t="b">
        <f t="shared" si="8"/>
        <v>0</v>
      </c>
      <c r="G28" s="17" t="str">
        <f>木桩!G28</f>
        <v>竞技场套装</v>
      </c>
      <c r="H28" s="16" t="b">
        <f>木桩!H28</f>
        <v>1</v>
      </c>
      <c r="I28" s="20" t="s">
        <v>66</v>
      </c>
      <c r="J28" s="20">
        <v>8717.6</v>
      </c>
      <c r="K28" s="20"/>
      <c r="L28" s="20">
        <v>0.15</v>
      </c>
      <c r="M28" s="17" t="s">
        <v>179</v>
      </c>
      <c r="N28" s="15">
        <f ca="1">属性!H33</f>
        <v>0.91750264956783</v>
      </c>
      <c r="O28" s="15">
        <f ca="1">属性!I33</f>
        <v>0.956976669392992</v>
      </c>
      <c r="P28" s="47" t="s">
        <v>100</v>
      </c>
      <c r="Q28" s="20" t="str">
        <f>LEFT(苍云!$C$12,1)</f>
        <v>5</v>
      </c>
      <c r="V28" s="32"/>
      <c r="X28" s="23"/>
      <c r="AA28" s="23"/>
    </row>
    <row r="29" spans="1:24">
      <c r="A29" s="20" t="str">
        <f>属性!D9</f>
        <v>第九重</v>
      </c>
      <c r="B29" s="20" t="str">
        <f>属性!E9</f>
        <v>从容</v>
      </c>
      <c r="C29" s="11" t="s">
        <v>99</v>
      </c>
      <c r="D29" s="11" t="b">
        <f t="shared" si="7"/>
        <v>0</v>
      </c>
      <c r="E29" s="11"/>
      <c r="F29" s="11" t="b">
        <f t="shared" si="8"/>
        <v>0</v>
      </c>
      <c r="G29" s="20" t="str">
        <f>木桩!G29</f>
        <v>套装特效</v>
      </c>
      <c r="H29" s="20" t="b">
        <f>木桩!H29</f>
        <v>1</v>
      </c>
      <c r="I29" s="20" t="s">
        <v>83</v>
      </c>
      <c r="J29" s="20">
        <v>18830.9</v>
      </c>
      <c r="K29" s="20" t="s">
        <v>204</v>
      </c>
      <c r="L29" s="20">
        <v>0.64</v>
      </c>
      <c r="M29" s="20" t="s">
        <v>180</v>
      </c>
      <c r="N29" s="15">
        <f ca="1">属性!H34</f>
        <v>0.91750264956783</v>
      </c>
      <c r="O29" s="15">
        <f ca="1">属性!I34</f>
        <v>0.956976669392992</v>
      </c>
      <c r="P29" s="20" t="str">
        <f>属性!F5</f>
        <v>战斗时间</v>
      </c>
      <c r="Q29" s="20">
        <f>属性!G5</f>
        <v>300</v>
      </c>
      <c r="X29" s="23"/>
    </row>
    <row r="30" spans="1:24">
      <c r="A30" s="20" t="str">
        <f>属性!D10</f>
        <v>第十重</v>
      </c>
      <c r="B30" s="20" t="str">
        <f>属性!E10</f>
        <v>愤恨</v>
      </c>
      <c r="C30" s="11" t="s">
        <v>91</v>
      </c>
      <c r="D30" s="11" t="b">
        <f t="shared" si="7"/>
        <v>0</v>
      </c>
      <c r="E30" s="11"/>
      <c r="F30" s="11" t="b">
        <f t="shared" si="8"/>
        <v>0</v>
      </c>
      <c r="G30" s="20" t="str">
        <f>木桩!G30</f>
        <v>橙武</v>
      </c>
      <c r="H30" s="20" t="b">
        <f>木桩!H30</f>
        <v>1</v>
      </c>
      <c r="I30" s="20" t="s">
        <v>205</v>
      </c>
      <c r="J30" s="20">
        <v>15344.2</v>
      </c>
      <c r="K30" s="20"/>
      <c r="L30" s="20">
        <v>0</v>
      </c>
      <c r="N30" s="15"/>
      <c r="O30" s="15"/>
      <c r="P30" s="17" t="s">
        <v>302</v>
      </c>
      <c r="Q30" s="11">
        <f ca="1">$I$14/$T$14</f>
        <v>19201.6774091063</v>
      </c>
      <c r="X30" s="23"/>
    </row>
    <row r="31" spans="1:24">
      <c r="A31" s="20" t="str">
        <f>属性!D11</f>
        <v>第十一重</v>
      </c>
      <c r="B31" s="20" t="str">
        <f>属性!E11</f>
        <v>蔑视</v>
      </c>
      <c r="C31" s="11" t="s">
        <v>107</v>
      </c>
      <c r="D31" s="11" t="b">
        <f t="shared" si="7"/>
        <v>1</v>
      </c>
      <c r="E31" s="11"/>
      <c r="F31" s="11" t="b">
        <f t="shared" si="8"/>
        <v>0</v>
      </c>
      <c r="G31" s="20" t="str">
        <f>木桩!G31</f>
        <v>小橙武</v>
      </c>
      <c r="H31" s="20" t="b">
        <f>木桩!H31</f>
        <v>0</v>
      </c>
      <c r="N31" s="7"/>
      <c r="O31" s="7"/>
      <c r="P31" s="17" t="s">
        <v>303</v>
      </c>
      <c r="Q31" s="17">
        <f ca="1">(I13-I10)*5/60*H30</f>
        <v>1290.24006977876</v>
      </c>
      <c r="X31" s="23"/>
    </row>
    <row r="32" spans="1:24">
      <c r="A32" s="20" t="str">
        <f>属性!D12</f>
        <v>第十二重</v>
      </c>
      <c r="B32" s="20" t="str">
        <f>属性!E12</f>
        <v>骇日</v>
      </c>
      <c r="C32" s="11" t="s">
        <v>116</v>
      </c>
      <c r="D32" s="11" t="b">
        <f t="shared" si="7"/>
        <v>1</v>
      </c>
      <c r="E32" s="11"/>
      <c r="F32" s="11"/>
      <c r="P32" s="11" t="s">
        <v>305</v>
      </c>
      <c r="Q32" s="20">
        <f ca="1">$I$2/$T$2</f>
        <v>931.882328797513</v>
      </c>
      <c r="X32" s="23"/>
    </row>
    <row r="33" spans="16:22">
      <c r="P33" s="17" t="s">
        <v>306</v>
      </c>
      <c r="Q33" s="20">
        <f ca="1">$I$3/$T$3</f>
        <v>829.855399356567</v>
      </c>
      <c r="U33" s="20"/>
      <c r="V33" s="32"/>
    </row>
    <row r="34" spans="22:22">
      <c r="V34" s="32"/>
    </row>
    <row r="35" spans="1:23">
      <c r="A35" s="11" t="s">
        <v>271</v>
      </c>
      <c r="B35" s="20" t="s">
        <v>272</v>
      </c>
      <c r="C35" s="20" t="s">
        <v>304</v>
      </c>
      <c r="D35" s="20" t="s">
        <v>281</v>
      </c>
      <c r="E35" s="20" t="s">
        <v>278</v>
      </c>
      <c r="H35" s="20"/>
      <c r="I35" s="20"/>
      <c r="J35" s="20"/>
      <c r="K35" s="20"/>
      <c r="L35" s="20"/>
      <c r="M35" s="20"/>
      <c r="N35" s="20"/>
      <c r="O35" s="11"/>
      <c r="P35" s="11"/>
      <c r="Q35" s="11"/>
      <c r="R35" s="11"/>
      <c r="S35" s="11"/>
      <c r="T35" s="7"/>
      <c r="U35" s="7"/>
      <c r="V35" s="32"/>
      <c r="W35" s="34"/>
    </row>
    <row r="36" spans="1:23">
      <c r="A36" s="11" t="s">
        <v>55</v>
      </c>
      <c r="B36" s="20">
        <f ca="1" t="shared" ref="B36:B48" si="9">IFERROR(VLOOKUP(A36,实战技能表,MATCH("怒气",$A$1:$T$1,0),0),0)*C36</f>
        <v>15</v>
      </c>
      <c r="C36" s="20">
        <v>1</v>
      </c>
      <c r="D36" s="20">
        <f ca="1" t="shared" ref="D36:D48" si="10">IFERROR(VLOOKUP(A36,实战技能表,MATCH("时间",$A$1:$T$1,0),0),0)*C36</f>
        <v>1.375</v>
      </c>
      <c r="E36" s="20">
        <f ca="1" t="shared" ref="E36:E48" si="11">IFERROR(VLOOKUP(A36,实战技能表,MATCH("dmg",$A$1:$T$1,0),0),0)*C36</f>
        <v>135607.906149275</v>
      </c>
      <c r="H36" s="20"/>
      <c r="I36" s="20"/>
      <c r="J36" s="20"/>
      <c r="K36" s="20"/>
      <c r="L36" s="20"/>
      <c r="M36" s="20"/>
      <c r="N36" s="20"/>
      <c r="O36" s="11"/>
      <c r="P36" s="11"/>
      <c r="Q36" s="11"/>
      <c r="R36" s="11"/>
      <c r="S36" s="11"/>
      <c r="T36" s="11"/>
      <c r="U36" s="20"/>
      <c r="V36" s="32"/>
      <c r="W36" s="32"/>
    </row>
    <row r="37" spans="1:23">
      <c r="A37" s="11" t="s">
        <v>82</v>
      </c>
      <c r="B37" s="20">
        <f ca="1" t="shared" si="9"/>
        <v>4.5</v>
      </c>
      <c r="C37" s="20">
        <v>0.3</v>
      </c>
      <c r="D37" s="20">
        <f ca="1" t="shared" si="10"/>
        <v>0.4125</v>
      </c>
      <c r="E37" s="20">
        <f ca="1" t="shared" si="11"/>
        <v>23628.2059062414</v>
      </c>
      <c r="H37" s="20"/>
      <c r="I37" s="20"/>
      <c r="J37" s="20"/>
      <c r="K37" s="20"/>
      <c r="L37" s="20"/>
      <c r="M37" s="20"/>
      <c r="N37" s="20"/>
      <c r="O37" s="11"/>
      <c r="P37" s="11"/>
      <c r="Q37" s="11"/>
      <c r="R37" s="11"/>
      <c r="S37" s="11"/>
      <c r="T37" s="11"/>
      <c r="U37" s="20"/>
      <c r="V37" s="32"/>
      <c r="W37" s="32"/>
    </row>
    <row r="38" spans="1:23">
      <c r="A38" s="11" t="s">
        <v>65</v>
      </c>
      <c r="B38" s="20">
        <f ca="1" t="shared" si="9"/>
        <v>-11.25</v>
      </c>
      <c r="C38" s="20">
        <v>0.75</v>
      </c>
      <c r="D38" s="20">
        <f ca="1" t="shared" si="10"/>
        <v>1.03125</v>
      </c>
      <c r="E38" s="20">
        <f ca="1" t="shared" si="11"/>
        <v>58171.4554025302</v>
      </c>
      <c r="H38" s="20"/>
      <c r="I38" s="20"/>
      <c r="J38" s="20"/>
      <c r="K38" s="20"/>
      <c r="L38" s="20"/>
      <c r="M38" s="20"/>
      <c r="N38" s="20"/>
      <c r="O38" s="11"/>
      <c r="P38" s="11"/>
      <c r="Q38" s="11"/>
      <c r="R38" s="11"/>
      <c r="S38" s="11"/>
      <c r="T38" s="11"/>
      <c r="U38" s="20"/>
      <c r="V38" s="32"/>
      <c r="W38" s="32"/>
    </row>
    <row r="39" spans="1:23">
      <c r="A39" s="20" t="s">
        <v>73</v>
      </c>
      <c r="B39" s="20">
        <f ca="1" t="shared" si="9"/>
        <v>-11.25</v>
      </c>
      <c r="C39" s="20">
        <v>0.75</v>
      </c>
      <c r="D39" s="20">
        <f ca="1" t="shared" si="10"/>
        <v>1.03125</v>
      </c>
      <c r="E39" s="20">
        <f ca="1" t="shared" si="11"/>
        <v>36952.6894294947</v>
      </c>
      <c r="H39" s="20"/>
      <c r="I39" s="20"/>
      <c r="J39" s="20"/>
      <c r="K39" s="20"/>
      <c r="L39" s="20"/>
      <c r="M39" s="20"/>
      <c r="N39" s="20"/>
      <c r="O39" s="11"/>
      <c r="P39" s="11"/>
      <c r="Q39" s="11"/>
      <c r="R39" s="11"/>
      <c r="S39" s="11"/>
      <c r="T39" s="11"/>
      <c r="U39" s="20"/>
      <c r="V39" s="32"/>
      <c r="W39" s="32"/>
    </row>
    <row r="40" spans="1:23">
      <c r="A40" s="11" t="s">
        <v>14</v>
      </c>
      <c r="B40" s="20">
        <f ca="1" t="shared" si="9"/>
        <v>-2.5</v>
      </c>
      <c r="C40" s="20">
        <v>0.5</v>
      </c>
      <c r="D40" s="20">
        <f ca="1" t="shared" si="10"/>
        <v>0.6875</v>
      </c>
      <c r="E40" s="20">
        <f ca="1" t="shared" si="11"/>
        <v>42170.7041769979</v>
      </c>
      <c r="H40" s="20"/>
      <c r="I40" s="20"/>
      <c r="J40" s="20"/>
      <c r="K40" s="20"/>
      <c r="L40" s="20"/>
      <c r="M40" s="20"/>
      <c r="N40" s="20"/>
      <c r="O40" s="11"/>
      <c r="P40" s="11"/>
      <c r="Q40" s="11"/>
      <c r="R40" s="11"/>
      <c r="S40" s="11"/>
      <c r="T40" s="11"/>
      <c r="U40" s="20"/>
      <c r="V40" s="32"/>
      <c r="W40" s="32"/>
    </row>
    <row r="41" spans="1:23">
      <c r="A41" s="11" t="s">
        <v>14</v>
      </c>
      <c r="B41" s="20">
        <f ca="1" t="shared" si="9"/>
        <v>-5</v>
      </c>
      <c r="C41" s="20">
        <v>1</v>
      </c>
      <c r="D41" s="20">
        <f ca="1" t="shared" si="10"/>
        <v>1.375</v>
      </c>
      <c r="E41" s="20">
        <f ca="1" t="shared" si="11"/>
        <v>84341.4083539959</v>
      </c>
      <c r="H41" s="20"/>
      <c r="I41" s="20"/>
      <c r="J41" s="20"/>
      <c r="K41" s="20"/>
      <c r="L41" s="20"/>
      <c r="M41" s="20"/>
      <c r="N41" s="20"/>
      <c r="O41" s="11"/>
      <c r="P41" s="11"/>
      <c r="Q41" s="11"/>
      <c r="R41" s="11"/>
      <c r="S41" s="11"/>
      <c r="T41" s="11"/>
      <c r="U41" s="20"/>
      <c r="V41" s="32"/>
      <c r="W41" s="32"/>
    </row>
    <row r="42" spans="1:23">
      <c r="A42" s="11" t="s">
        <v>14</v>
      </c>
      <c r="B42" s="20">
        <f ca="1" t="shared" si="9"/>
        <v>-5</v>
      </c>
      <c r="C42" s="20">
        <v>1</v>
      </c>
      <c r="D42" s="20">
        <f ca="1" t="shared" si="10"/>
        <v>1.375</v>
      </c>
      <c r="E42" s="20">
        <f ca="1" t="shared" si="11"/>
        <v>84341.4083539959</v>
      </c>
      <c r="H42" s="20"/>
      <c r="I42" s="20"/>
      <c r="J42" s="20"/>
      <c r="K42" s="20"/>
      <c r="L42" s="20"/>
      <c r="M42" s="20"/>
      <c r="N42" s="20"/>
      <c r="O42" s="11"/>
      <c r="P42" s="11"/>
      <c r="Q42" s="11"/>
      <c r="R42" s="11"/>
      <c r="S42" s="11"/>
      <c r="T42" s="11"/>
      <c r="U42" s="20"/>
      <c r="V42" s="32"/>
      <c r="W42" s="32"/>
    </row>
    <row r="43" spans="1:23">
      <c r="A43" s="11" t="s">
        <v>14</v>
      </c>
      <c r="B43" s="20">
        <f ca="1" t="shared" si="9"/>
        <v>-5</v>
      </c>
      <c r="C43" s="20">
        <v>1</v>
      </c>
      <c r="D43" s="20">
        <f ca="1" t="shared" si="10"/>
        <v>1.375</v>
      </c>
      <c r="E43" s="20">
        <f ca="1" t="shared" si="11"/>
        <v>84341.4083539959</v>
      </c>
      <c r="H43" s="20"/>
      <c r="I43" s="20"/>
      <c r="J43" s="20"/>
      <c r="K43" s="20"/>
      <c r="L43" s="20"/>
      <c r="M43" s="20"/>
      <c r="N43" s="20"/>
      <c r="O43" s="11"/>
      <c r="P43" s="11"/>
      <c r="Q43" s="11"/>
      <c r="R43" s="11"/>
      <c r="S43" s="11"/>
      <c r="T43" s="11"/>
      <c r="U43" s="20"/>
      <c r="V43" s="32"/>
      <c r="W43" s="32"/>
    </row>
    <row r="44" spans="1:23">
      <c r="A44" s="11" t="s">
        <v>14</v>
      </c>
      <c r="B44" s="20">
        <f ca="1" t="shared" si="9"/>
        <v>-5</v>
      </c>
      <c r="C44" s="20">
        <v>1</v>
      </c>
      <c r="D44" s="20">
        <f ca="1" t="shared" si="10"/>
        <v>1.375</v>
      </c>
      <c r="E44" s="20">
        <f ca="1" t="shared" si="11"/>
        <v>84341.4083539959</v>
      </c>
      <c r="H44" s="20"/>
      <c r="I44" s="20"/>
      <c r="J44" s="20"/>
      <c r="K44" s="20"/>
      <c r="L44" s="20"/>
      <c r="M44" s="20"/>
      <c r="N44" s="20"/>
      <c r="O44" s="11"/>
      <c r="P44" s="11"/>
      <c r="Q44" s="11"/>
      <c r="R44" s="11"/>
      <c r="S44" s="11"/>
      <c r="T44" s="11"/>
      <c r="U44" s="20"/>
      <c r="V44" s="32"/>
      <c r="W44" s="32"/>
    </row>
    <row r="45" spans="1:23">
      <c r="A45" s="11" t="s">
        <v>14</v>
      </c>
      <c r="B45" s="20">
        <f ca="1" t="shared" si="9"/>
        <v>-5</v>
      </c>
      <c r="C45" s="20">
        <v>1</v>
      </c>
      <c r="D45" s="20">
        <f ca="1" t="shared" si="10"/>
        <v>1.375</v>
      </c>
      <c r="E45" s="20">
        <f ca="1" t="shared" si="11"/>
        <v>84341.4083539959</v>
      </c>
      <c r="H45" s="20"/>
      <c r="I45" s="20"/>
      <c r="J45" s="20"/>
      <c r="K45" s="20"/>
      <c r="L45" s="20"/>
      <c r="M45" s="20"/>
      <c r="N45" s="20"/>
      <c r="O45" s="11"/>
      <c r="P45" s="11"/>
      <c r="Q45" s="11"/>
      <c r="R45" s="11"/>
      <c r="S45" s="11"/>
      <c r="T45" s="11"/>
      <c r="U45" s="20"/>
      <c r="V45" s="32"/>
      <c r="W45" s="32"/>
    </row>
    <row r="46" spans="1:23">
      <c r="A46" s="11" t="s">
        <v>14</v>
      </c>
      <c r="B46" s="20">
        <f ca="1" t="shared" si="9"/>
        <v>-5</v>
      </c>
      <c r="C46" s="20">
        <v>1</v>
      </c>
      <c r="D46" s="20">
        <f ca="1" t="shared" si="10"/>
        <v>1.375</v>
      </c>
      <c r="E46" s="20">
        <f ca="1" t="shared" si="11"/>
        <v>84341.4083539959</v>
      </c>
      <c r="H46" s="20"/>
      <c r="I46" s="20"/>
      <c r="J46" s="20"/>
      <c r="K46" s="20"/>
      <c r="L46" s="20"/>
      <c r="M46" s="20"/>
      <c r="N46" s="20"/>
      <c r="O46" s="11"/>
      <c r="P46" s="11"/>
      <c r="Q46" s="11"/>
      <c r="R46" s="11"/>
      <c r="S46" s="11"/>
      <c r="T46" s="11"/>
      <c r="U46" s="20"/>
      <c r="V46" s="32"/>
      <c r="W46" s="32"/>
    </row>
    <row r="47" spans="1:23">
      <c r="A47" s="11" t="s">
        <v>14</v>
      </c>
      <c r="B47" s="20">
        <f ca="1" t="shared" si="9"/>
        <v>-5</v>
      </c>
      <c r="C47" s="20">
        <v>1</v>
      </c>
      <c r="D47" s="20">
        <f ca="1" t="shared" si="10"/>
        <v>1.375</v>
      </c>
      <c r="E47" s="20">
        <f ca="1" t="shared" si="11"/>
        <v>84341.4083539959</v>
      </c>
      <c r="H47" s="20"/>
      <c r="I47" s="20"/>
      <c r="J47" s="20"/>
      <c r="K47" s="20"/>
      <c r="L47" s="20"/>
      <c r="M47" s="7"/>
      <c r="N47" s="7"/>
      <c r="O47" s="11"/>
      <c r="P47" s="11"/>
      <c r="Q47" s="11"/>
      <c r="R47" s="11"/>
      <c r="S47" s="11"/>
      <c r="T47" s="11"/>
      <c r="U47" s="20"/>
      <c r="V47" s="32"/>
      <c r="W47" s="32"/>
    </row>
    <row r="48" spans="1:23">
      <c r="A48" s="11" t="s">
        <v>14</v>
      </c>
      <c r="B48" s="20">
        <f ca="1" t="shared" si="9"/>
        <v>-5</v>
      </c>
      <c r="C48" s="20">
        <v>1</v>
      </c>
      <c r="D48" s="20">
        <f ca="1" t="shared" si="10"/>
        <v>1.375</v>
      </c>
      <c r="E48" s="20">
        <f ca="1" t="shared" si="11"/>
        <v>84341.4083539959</v>
      </c>
      <c r="H48" s="20"/>
      <c r="I48" s="20"/>
      <c r="J48" s="20"/>
      <c r="K48" s="20"/>
      <c r="L48" s="20"/>
      <c r="M48" s="7"/>
      <c r="N48" s="7"/>
      <c r="O48" s="11"/>
      <c r="P48" s="11"/>
      <c r="Q48" s="11"/>
      <c r="R48" s="11"/>
      <c r="S48" s="11"/>
      <c r="T48" s="11"/>
      <c r="U48" s="20"/>
      <c r="V48" s="32"/>
      <c r="W48" s="32"/>
    </row>
    <row r="49" spans="1:23">
      <c r="A49" s="11"/>
      <c r="B49" s="7"/>
      <c r="C49" s="11">
        <f>SUM(C38:C48)</f>
        <v>10</v>
      </c>
      <c r="D49" s="11">
        <f ca="1">SUM(D39:D48)+C49/16</f>
        <v>13.34375</v>
      </c>
      <c r="E49" s="7">
        <f ca="1">INT(D49+1)*$I$9</f>
        <v>175429.859300079</v>
      </c>
      <c r="F49" s="11">
        <f ca="1">D49*$I$16/$T$15+(D50-D49)*$I$15/$T$15</f>
        <v>103275.445538255</v>
      </c>
      <c r="H49" s="20"/>
      <c r="I49" s="20"/>
      <c r="J49" s="20"/>
      <c r="K49" s="20"/>
      <c r="L49" s="20"/>
      <c r="O49" s="11"/>
      <c r="P49" s="11"/>
      <c r="Q49" s="11"/>
      <c r="R49" s="11"/>
      <c r="S49" s="11"/>
      <c r="T49" s="11"/>
      <c r="U49" s="20"/>
      <c r="V49" s="32"/>
      <c r="W49" s="32"/>
    </row>
    <row r="50" spans="1:23">
      <c r="A50" s="11"/>
      <c r="B50" s="11">
        <f ca="1">SUM(B36:B48)</f>
        <v>-45.5</v>
      </c>
      <c r="C50" s="11">
        <f>SUM(C36:C48)</f>
        <v>11.3</v>
      </c>
      <c r="D50" s="11">
        <f ca="1">SUM(D36:D48)</f>
        <v>15.5375</v>
      </c>
      <c r="E50" s="11">
        <f ca="1">SUM(E36:E49)</f>
        <v>1146692.08719659</v>
      </c>
      <c r="H50" s="20"/>
      <c r="I50" s="20"/>
      <c r="J50" s="20"/>
      <c r="K50" s="20"/>
      <c r="L50" s="20"/>
      <c r="O50" s="11"/>
      <c r="P50" s="11"/>
      <c r="Q50" s="11"/>
      <c r="R50" s="11"/>
      <c r="S50" s="11"/>
      <c r="T50" s="7"/>
      <c r="U50" s="20"/>
      <c r="V50" s="32"/>
      <c r="W50" s="32"/>
    </row>
    <row r="51" spans="1:23">
      <c r="A51" s="11"/>
      <c r="B51" s="11">
        <v>0</v>
      </c>
      <c r="C51" s="11">
        <f>C50*B51</f>
        <v>0</v>
      </c>
      <c r="D51" s="11">
        <f ca="1">D50+C51/16</f>
        <v>15.5375</v>
      </c>
      <c r="E51" s="11">
        <f ca="1">E50/D51</f>
        <v>73801.5824422581</v>
      </c>
      <c r="F51" s="11">
        <f ca="1">F49/D51</f>
        <v>6646.85087937279</v>
      </c>
      <c r="G51" s="11">
        <f ca="1" t="shared" ref="G51:G55" si="12">(E51+F51+$Q$30+$Q$31+$Q$32+$Q$33)*(1+$P$23)</f>
        <v>102702.08852867</v>
      </c>
      <c r="H51" s="20"/>
      <c r="I51" s="20"/>
      <c r="J51" s="20"/>
      <c r="K51" s="20"/>
      <c r="L51" s="20"/>
      <c r="O51" s="11"/>
      <c r="P51" s="11"/>
      <c r="Q51" s="11"/>
      <c r="R51" s="11"/>
      <c r="S51" s="11"/>
      <c r="T51" s="11"/>
      <c r="U51" s="20"/>
      <c r="V51" s="32"/>
      <c r="W51" s="32"/>
    </row>
    <row r="52" spans="1:23">
      <c r="A52" s="11"/>
      <c r="B52" s="11">
        <v>1</v>
      </c>
      <c r="C52" s="11">
        <f>C50*B52</f>
        <v>11.3</v>
      </c>
      <c r="D52" s="11">
        <f ca="1">D50+C52/16</f>
        <v>16.24375</v>
      </c>
      <c r="E52" s="11">
        <f ca="1">E50/D52</f>
        <v>70592.8179882469</v>
      </c>
      <c r="F52" s="11">
        <f ca="1">F49/D52</f>
        <v>6357.85736287832</v>
      </c>
      <c r="G52" s="11">
        <f ca="1" t="shared" si="12"/>
        <v>99204.3305581644</v>
      </c>
      <c r="H52" s="20">
        <f ca="1">(G52-实战!G52)*10</f>
        <v>5.09610433713533</v>
      </c>
      <c r="I52" s="20"/>
      <c r="J52" s="20"/>
      <c r="K52" s="20"/>
      <c r="L52" s="20"/>
      <c r="O52" s="11"/>
      <c r="P52" s="11"/>
      <c r="Q52" s="7"/>
      <c r="R52" s="11"/>
      <c r="S52" s="11"/>
      <c r="T52" s="11"/>
      <c r="U52" s="20"/>
      <c r="V52" s="32"/>
      <c r="W52" s="32"/>
    </row>
    <row r="53" spans="1:23">
      <c r="A53" s="11"/>
      <c r="B53" s="11">
        <v>3</v>
      </c>
      <c r="C53" s="11">
        <f>C50*B53</f>
        <v>33.9</v>
      </c>
      <c r="D53" s="11">
        <f ca="1">D50+C53/16</f>
        <v>17.65625</v>
      </c>
      <c r="E53" s="11">
        <f ca="1">E50/D53</f>
        <v>64945.3925491871</v>
      </c>
      <c r="F53" s="20">
        <f ca="1">F49/D53</f>
        <v>5849.22877384806</v>
      </c>
      <c r="G53" s="11">
        <f ca="1" t="shared" si="12"/>
        <v>93048.2765300744</v>
      </c>
      <c r="H53" s="20"/>
      <c r="I53" s="20"/>
      <c r="J53" s="20"/>
      <c r="K53" s="20"/>
      <c r="L53" s="20"/>
      <c r="O53" s="7"/>
      <c r="P53" s="11"/>
      <c r="Q53" s="7"/>
      <c r="R53" s="11"/>
      <c r="S53" s="11"/>
      <c r="T53" s="11"/>
      <c r="U53" s="20"/>
      <c r="V53" s="32"/>
      <c r="W53" s="32"/>
    </row>
    <row r="54" spans="1:23">
      <c r="A54" s="11"/>
      <c r="B54" s="11">
        <v>5</v>
      </c>
      <c r="C54" s="11">
        <f>C50*B54</f>
        <v>56.5</v>
      </c>
      <c r="D54" s="11">
        <f ca="1">D50+C54/16</f>
        <v>19.06875</v>
      </c>
      <c r="E54" s="11">
        <f ca="1">E50/D54</f>
        <v>60134.6227307288</v>
      </c>
      <c r="F54" s="20">
        <f ca="1">F49/D54</f>
        <v>5415.95256837783</v>
      </c>
      <c r="G54" s="11">
        <f ca="1" t="shared" si="12"/>
        <v>87804.2305061458</v>
      </c>
      <c r="H54" s="11"/>
      <c r="I54" s="20"/>
      <c r="J54" s="20"/>
      <c r="K54" s="20"/>
      <c r="L54" s="20"/>
      <c r="O54" s="11"/>
      <c r="P54" s="11"/>
      <c r="Q54" s="7"/>
      <c r="R54" s="11"/>
      <c r="S54" s="11"/>
      <c r="T54" s="11"/>
      <c r="U54" s="20"/>
      <c r="V54" s="32"/>
      <c r="W54" s="32"/>
    </row>
    <row r="55" spans="1:23">
      <c r="A55" s="11"/>
      <c r="B55" s="11">
        <v>7</v>
      </c>
      <c r="C55" s="11">
        <f>C50*B55</f>
        <v>79.1</v>
      </c>
      <c r="D55" s="11">
        <f ca="1">D50+C55/16</f>
        <v>20.48125</v>
      </c>
      <c r="E55" s="11">
        <f ca="1">E50/D55</f>
        <v>55987.4073699889</v>
      </c>
      <c r="F55" s="20">
        <f ca="1">F49/D55</f>
        <v>5042.43859814488</v>
      </c>
      <c r="G55" s="11">
        <f ca="1" t="shared" si="12"/>
        <v>83283.501175173</v>
      </c>
      <c r="H55" s="11"/>
      <c r="I55" s="20"/>
      <c r="J55" s="20"/>
      <c r="K55" s="20"/>
      <c r="L55" s="20"/>
      <c r="O55" s="11"/>
      <c r="P55" s="11"/>
      <c r="Q55" s="7"/>
      <c r="R55" s="11"/>
      <c r="S55" s="11"/>
      <c r="T55" s="11"/>
      <c r="U55" s="20"/>
      <c r="V55" s="32"/>
      <c r="W55" s="32"/>
    </row>
    <row r="56" spans="8:23">
      <c r="H56" s="20"/>
      <c r="I56" s="20"/>
      <c r="J56" s="20"/>
      <c r="K56" s="20"/>
      <c r="L56" s="20"/>
      <c r="M56" s="20"/>
      <c r="N56" s="20"/>
      <c r="O56" s="11"/>
      <c r="P56" s="11"/>
      <c r="Q56" s="7"/>
      <c r="R56" s="11"/>
      <c r="S56" s="11"/>
      <c r="T56" s="11"/>
      <c r="U56" s="20"/>
      <c r="V56" s="32"/>
      <c r="W56" s="32"/>
    </row>
    <row r="57" spans="8:24">
      <c r="H57" s="20"/>
      <c r="I57" s="20"/>
      <c r="J57" s="20"/>
      <c r="K57" s="20"/>
      <c r="L57" s="20"/>
      <c r="M57" s="20"/>
      <c r="N57" s="20"/>
      <c r="O57" s="11"/>
      <c r="P57" s="11"/>
      <c r="Q57" s="7"/>
      <c r="R57" s="11"/>
      <c r="S57" s="11"/>
      <c r="T57" s="11"/>
      <c r="U57" s="20"/>
      <c r="V57" s="32"/>
      <c r="W57" s="32"/>
      <c r="X57" s="32"/>
    </row>
    <row r="58" spans="1:23">
      <c r="A58" s="20"/>
      <c r="B58" s="20"/>
      <c r="C58" s="20"/>
      <c r="D58" s="20"/>
      <c r="E58" s="20"/>
      <c r="H58" s="20"/>
      <c r="I58" s="20"/>
      <c r="J58" s="20"/>
      <c r="K58" s="20"/>
      <c r="L58" s="20"/>
      <c r="M58" s="20"/>
      <c r="N58" s="20"/>
      <c r="O58" s="11"/>
      <c r="P58" s="11"/>
      <c r="Q58" s="7"/>
      <c r="R58" s="11"/>
      <c r="S58" s="11"/>
      <c r="T58" s="11"/>
      <c r="U58" s="20"/>
      <c r="V58" s="32"/>
      <c r="W58" s="34"/>
    </row>
    <row r="59" spans="1:23">
      <c r="A59" s="20"/>
      <c r="B59" s="20"/>
      <c r="C59" s="20"/>
      <c r="D59" s="20"/>
      <c r="E59" s="20"/>
      <c r="H59" s="20"/>
      <c r="I59" s="20"/>
      <c r="J59" s="20"/>
      <c r="K59" s="20"/>
      <c r="L59" s="20"/>
      <c r="M59" s="20"/>
      <c r="N59" s="20"/>
      <c r="O59" s="11"/>
      <c r="P59" s="11"/>
      <c r="Q59" s="7"/>
      <c r="R59" s="11"/>
      <c r="S59" s="11"/>
      <c r="T59" s="11"/>
      <c r="U59" s="20"/>
      <c r="V59" s="32"/>
      <c r="W59" s="34"/>
    </row>
    <row r="60" spans="1:23">
      <c r="A60" s="20"/>
      <c r="B60" s="20"/>
      <c r="C60" s="20"/>
      <c r="D60" s="20"/>
      <c r="E60" s="20"/>
      <c r="H60" s="20"/>
      <c r="I60" s="20"/>
      <c r="J60" s="20"/>
      <c r="K60" s="20"/>
      <c r="L60" s="20"/>
      <c r="M60" s="20"/>
      <c r="N60" s="20"/>
      <c r="O60" s="11"/>
      <c r="P60" s="11"/>
      <c r="Q60" s="7"/>
      <c r="R60" s="11"/>
      <c r="S60" s="11"/>
      <c r="T60" s="11"/>
      <c r="U60" s="20"/>
      <c r="V60" s="32"/>
      <c r="W60" s="34"/>
    </row>
    <row r="61" spans="1:23">
      <c r="A61" s="20"/>
      <c r="B61" s="20"/>
      <c r="C61" s="20"/>
      <c r="D61" s="20"/>
      <c r="E61" s="20"/>
      <c r="H61" s="20"/>
      <c r="I61" s="20"/>
      <c r="J61" s="20"/>
      <c r="K61" s="20"/>
      <c r="L61" s="20"/>
      <c r="M61" s="20"/>
      <c r="N61" s="20"/>
      <c r="O61" s="11"/>
      <c r="P61" s="11"/>
      <c r="Q61" s="7"/>
      <c r="R61" s="11"/>
      <c r="S61" s="11"/>
      <c r="T61" s="11"/>
      <c r="U61" s="20"/>
      <c r="V61" s="32"/>
      <c r="W61" s="34"/>
    </row>
    <row r="62" spans="1:23">
      <c r="A62" s="20"/>
      <c r="B62" s="20"/>
      <c r="C62" s="20"/>
      <c r="D62" s="20"/>
      <c r="E62" s="20"/>
      <c r="H62" s="20"/>
      <c r="I62" s="20"/>
      <c r="J62" s="20"/>
      <c r="K62" s="20"/>
      <c r="L62" s="20"/>
      <c r="M62" s="20"/>
      <c r="N62" s="20"/>
      <c r="O62" s="11"/>
      <c r="P62" s="11"/>
      <c r="Q62" s="7"/>
      <c r="R62" s="11"/>
      <c r="S62" s="11"/>
      <c r="T62" s="11"/>
      <c r="U62" s="20"/>
      <c r="V62" s="32"/>
      <c r="W62" s="34"/>
    </row>
    <row r="63" spans="1:23">
      <c r="A63" s="20"/>
      <c r="B63" s="20"/>
      <c r="C63" s="20"/>
      <c r="D63" s="20"/>
      <c r="E63" s="20"/>
      <c r="H63" s="20"/>
      <c r="I63" s="20"/>
      <c r="J63" s="20"/>
      <c r="K63" s="20"/>
      <c r="L63" s="20"/>
      <c r="M63" s="20"/>
      <c r="N63" s="20"/>
      <c r="O63" s="11"/>
      <c r="U63" s="20"/>
      <c r="V63" s="32"/>
      <c r="W63" s="34"/>
    </row>
    <row r="64" spans="1:23">
      <c r="A64" s="20"/>
      <c r="B64" s="20"/>
      <c r="C64" s="20"/>
      <c r="D64" s="20"/>
      <c r="E64" s="20"/>
      <c r="H64" s="20"/>
      <c r="I64" s="20"/>
      <c r="J64" s="20"/>
      <c r="K64" s="20"/>
      <c r="L64" s="20"/>
      <c r="M64" s="20"/>
      <c r="N64" s="20"/>
      <c r="P64" s="7"/>
      <c r="Q64" s="11"/>
      <c r="R64" s="11"/>
      <c r="S64" s="7"/>
      <c r="T64" s="11"/>
      <c r="U64" s="20"/>
      <c r="V64" s="32"/>
      <c r="W64" s="34"/>
    </row>
    <row r="65" spans="1:23">
      <c r="A65" s="20"/>
      <c r="B65" s="20"/>
      <c r="C65" s="20"/>
      <c r="D65" s="20"/>
      <c r="E65" s="20"/>
      <c r="H65" s="20"/>
      <c r="I65" s="20"/>
      <c r="J65" s="20"/>
      <c r="K65" s="20"/>
      <c r="L65" s="20"/>
      <c r="M65" s="20"/>
      <c r="N65" s="20"/>
      <c r="O65" s="11"/>
      <c r="P65" s="11"/>
      <c r="Q65" s="11"/>
      <c r="R65" s="11"/>
      <c r="S65" s="11"/>
      <c r="T65" s="11"/>
      <c r="U65" s="20"/>
      <c r="V65" s="32"/>
      <c r="W65" s="34"/>
    </row>
    <row r="66" spans="1:23">
      <c r="A66" s="20"/>
      <c r="B66" s="20"/>
      <c r="C66" s="20"/>
      <c r="D66" s="20"/>
      <c r="E66" s="20"/>
      <c r="H66" s="20"/>
      <c r="I66" s="20"/>
      <c r="J66" s="20"/>
      <c r="K66" s="20"/>
      <c r="L66" s="20"/>
      <c r="M66" s="20"/>
      <c r="N66" s="20"/>
      <c r="O66" s="11"/>
      <c r="P66" s="11"/>
      <c r="Q66" s="11"/>
      <c r="R66" s="11"/>
      <c r="S66" s="11"/>
      <c r="T66" s="11"/>
      <c r="U66" s="11"/>
      <c r="V66" s="32"/>
      <c r="W66" s="34"/>
    </row>
    <row r="67" spans="1:23">
      <c r="A67" s="20"/>
      <c r="B67" s="20"/>
      <c r="C67" s="20"/>
      <c r="D67" s="20"/>
      <c r="E67" s="20"/>
      <c r="H67" s="20"/>
      <c r="I67" s="20"/>
      <c r="J67" s="20"/>
      <c r="K67" s="20"/>
      <c r="L67" s="20"/>
      <c r="O67" s="11"/>
      <c r="P67" s="11"/>
      <c r="Q67" s="11"/>
      <c r="R67" s="11"/>
      <c r="S67" s="11"/>
      <c r="T67" s="11"/>
      <c r="U67" s="11"/>
      <c r="V67" s="32"/>
      <c r="W67" s="34"/>
    </row>
    <row r="68" spans="1:2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O68" s="11"/>
      <c r="P68" s="11"/>
      <c r="Q68" s="11"/>
      <c r="R68" s="11"/>
      <c r="S68" s="11"/>
      <c r="T68" s="20"/>
      <c r="U68" s="11"/>
      <c r="V68" s="32"/>
      <c r="W68" s="34"/>
    </row>
    <row r="69" spans="1:23">
      <c r="A69" s="20"/>
      <c r="B69" s="20"/>
      <c r="C69" s="20"/>
      <c r="D69" s="20"/>
      <c r="E69" s="20"/>
      <c r="F69" s="20"/>
      <c r="G69" s="20"/>
      <c r="H69" s="11"/>
      <c r="I69" s="20"/>
      <c r="J69" s="20"/>
      <c r="K69" s="20"/>
      <c r="L69" s="20"/>
      <c r="O69" s="11"/>
      <c r="P69" s="11"/>
      <c r="Q69" s="11"/>
      <c r="R69" s="11"/>
      <c r="S69" s="11"/>
      <c r="T69" s="20"/>
      <c r="U69" s="11"/>
      <c r="V69" s="32"/>
      <c r="W69" s="34"/>
    </row>
    <row r="70" spans="1:23">
      <c r="A70" s="20"/>
      <c r="B70" s="20"/>
      <c r="C70" s="20"/>
      <c r="D70" s="20"/>
      <c r="E70" s="20"/>
      <c r="F70" s="20"/>
      <c r="G70" s="20"/>
      <c r="H70" s="11"/>
      <c r="I70" s="20"/>
      <c r="J70" s="20"/>
      <c r="K70" s="20"/>
      <c r="L70" s="20"/>
      <c r="O70" s="11"/>
      <c r="P70" s="11"/>
      <c r="Q70" s="11"/>
      <c r="R70" s="11"/>
      <c r="S70" s="11"/>
      <c r="T70" s="20"/>
      <c r="U70" s="11"/>
      <c r="V70" s="32"/>
      <c r="W70" s="34"/>
    </row>
    <row r="71" spans="1:23">
      <c r="A71" s="11"/>
      <c r="B71" s="7"/>
      <c r="C71" s="11"/>
      <c r="D71" s="11"/>
      <c r="E71" s="7"/>
      <c r="F71" s="11"/>
      <c r="G71" s="11"/>
      <c r="H71" s="20"/>
      <c r="I71" s="7"/>
      <c r="J71" s="11"/>
      <c r="K71" s="11"/>
      <c r="L71" s="7"/>
      <c r="M71" s="11"/>
      <c r="N71" s="11"/>
      <c r="U71" s="20"/>
      <c r="V71" s="32"/>
      <c r="W71" s="34"/>
    </row>
    <row r="72" spans="1:23">
      <c r="A72" s="7"/>
      <c r="B72" s="11"/>
      <c r="C72" s="11"/>
      <c r="D72" s="11"/>
      <c r="E72" s="11"/>
      <c r="F72" s="11"/>
      <c r="G72" s="11"/>
      <c r="H72" s="20"/>
      <c r="I72" s="11"/>
      <c r="J72" s="11"/>
      <c r="K72" s="11"/>
      <c r="L72" s="11"/>
      <c r="N72" s="11"/>
      <c r="O72" s="20"/>
      <c r="U72" s="20"/>
      <c r="V72" s="32"/>
      <c r="W72" s="34"/>
    </row>
    <row r="73" spans="1:23">
      <c r="A73" s="11"/>
      <c r="B73" s="11"/>
      <c r="C73" s="11"/>
      <c r="D73" s="11"/>
      <c r="E73" s="11"/>
      <c r="F73" s="11"/>
      <c r="G73" s="11"/>
      <c r="H73" s="20"/>
      <c r="I73" s="11"/>
      <c r="J73" s="11"/>
      <c r="K73" s="11"/>
      <c r="L73" s="11"/>
      <c r="M73" s="11"/>
      <c r="N73" s="11"/>
      <c r="O73" s="20"/>
      <c r="U73" s="20"/>
      <c r="V73" s="32"/>
      <c r="W73" s="34"/>
    </row>
    <row r="74" spans="1:23">
      <c r="A74" s="11"/>
      <c r="B74" s="11"/>
      <c r="C74" s="11"/>
      <c r="D74" s="11"/>
      <c r="E74" s="11"/>
      <c r="F74" s="11"/>
      <c r="G74" s="11"/>
      <c r="H74" s="20"/>
      <c r="I74" s="11"/>
      <c r="J74" s="11"/>
      <c r="K74" s="11"/>
      <c r="L74" s="11"/>
      <c r="M74" s="11"/>
      <c r="N74" s="11"/>
      <c r="O74" s="20"/>
      <c r="U74" s="20"/>
      <c r="V74" s="32"/>
      <c r="W74" s="34"/>
    </row>
    <row r="75" spans="1:23">
      <c r="A75" s="11"/>
      <c r="B75" s="11"/>
      <c r="C75" s="11"/>
      <c r="D75" s="11"/>
      <c r="E75" s="11"/>
      <c r="F75" s="20"/>
      <c r="G75" s="11"/>
      <c r="H75" s="20"/>
      <c r="I75" s="11"/>
      <c r="J75" s="11"/>
      <c r="K75" s="11"/>
      <c r="L75" s="11"/>
      <c r="M75" s="20"/>
      <c r="N75" s="11"/>
      <c r="O75" s="20"/>
      <c r="U75" s="20"/>
      <c r="V75" s="32"/>
      <c r="W75" s="34"/>
    </row>
    <row r="76" spans="1:23">
      <c r="A76" s="11"/>
      <c r="B76" s="11"/>
      <c r="C76" s="11"/>
      <c r="D76" s="11"/>
      <c r="E76" s="11"/>
      <c r="F76" s="20"/>
      <c r="G76" s="11"/>
      <c r="H76" s="20"/>
      <c r="I76" s="11"/>
      <c r="J76" s="11"/>
      <c r="K76" s="11"/>
      <c r="L76" s="11"/>
      <c r="M76" s="20"/>
      <c r="N76" s="11"/>
      <c r="O76" s="20"/>
      <c r="U76" s="20"/>
      <c r="V76" s="32"/>
      <c r="W76" s="34"/>
    </row>
    <row r="77" spans="1:23">
      <c r="A77" s="11"/>
      <c r="B77" s="11"/>
      <c r="C77" s="11"/>
      <c r="D77" s="11"/>
      <c r="E77" s="11"/>
      <c r="F77" s="20"/>
      <c r="G77" s="11"/>
      <c r="H77" s="20"/>
      <c r="I77" s="11"/>
      <c r="J77" s="11"/>
      <c r="K77" s="11"/>
      <c r="L77" s="11"/>
      <c r="M77" s="20"/>
      <c r="N77" s="11"/>
      <c r="O77" s="20"/>
      <c r="U77" s="20"/>
      <c r="V77" s="32"/>
      <c r="W77" s="34"/>
    </row>
    <row r="78" spans="8:23">
      <c r="H78" s="11"/>
      <c r="I78" s="11"/>
      <c r="J78" s="1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32"/>
      <c r="W78" s="34"/>
    </row>
    <row r="79" spans="8:23">
      <c r="H79" s="11"/>
      <c r="I79" s="11"/>
      <c r="J79" s="1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32"/>
      <c r="W79" s="34"/>
    </row>
    <row r="80" spans="1:2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32"/>
      <c r="W80" s="34"/>
    </row>
    <row r="81" spans="1:2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32"/>
      <c r="W81" s="34"/>
    </row>
    <row r="82" spans="1:2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32"/>
      <c r="W82" s="34"/>
    </row>
    <row r="83" spans="1:2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32"/>
      <c r="W83" s="34"/>
    </row>
    <row r="84" spans="1:2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32"/>
      <c r="W84" s="34"/>
    </row>
    <row r="85" spans="1:2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32"/>
      <c r="W85" s="34"/>
    </row>
    <row r="86" spans="1:2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32"/>
      <c r="W86" s="34"/>
    </row>
    <row r="87" spans="1:2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32"/>
      <c r="W87" s="34"/>
    </row>
    <row r="88" spans="1:2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32"/>
      <c r="W88" s="34"/>
    </row>
    <row r="89" spans="1:2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32"/>
      <c r="W89" s="34"/>
    </row>
    <row r="90" spans="1:2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32"/>
      <c r="W90" s="34"/>
    </row>
    <row r="91" spans="1:2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32"/>
      <c r="W91" s="34"/>
    </row>
    <row r="92" spans="1:2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32"/>
      <c r="W92" s="34"/>
    </row>
    <row r="93" spans="1:23">
      <c r="A93" s="20"/>
      <c r="B93" s="20"/>
      <c r="C93" s="20"/>
      <c r="D93" s="20"/>
      <c r="E93" s="20"/>
      <c r="F93" s="11"/>
      <c r="G93" s="7"/>
      <c r="H93" s="20"/>
      <c r="I93" s="20"/>
      <c r="J93" s="20"/>
      <c r="K93" s="20"/>
      <c r="L93" s="20"/>
      <c r="M93" s="11"/>
      <c r="N93" s="7"/>
      <c r="O93" s="20"/>
      <c r="P93" s="20"/>
      <c r="Q93" s="20"/>
      <c r="R93" s="20"/>
      <c r="S93" s="20"/>
      <c r="T93" s="11"/>
      <c r="U93" s="7"/>
      <c r="V93" s="32"/>
      <c r="W93" s="34"/>
    </row>
    <row r="94" spans="1:23">
      <c r="A94" s="20"/>
      <c r="B94" s="20"/>
      <c r="C94" s="20"/>
      <c r="D94" s="20"/>
      <c r="E94" s="20"/>
      <c r="F94" s="7"/>
      <c r="G94" s="11"/>
      <c r="H94" s="20"/>
      <c r="I94" s="20"/>
      <c r="J94" s="20"/>
      <c r="K94" s="20"/>
      <c r="L94" s="20"/>
      <c r="M94" s="7"/>
      <c r="N94" s="11"/>
      <c r="O94" s="20"/>
      <c r="P94" s="20"/>
      <c r="Q94" s="20"/>
      <c r="R94" s="20"/>
      <c r="S94" s="20"/>
      <c r="T94" s="7"/>
      <c r="U94" s="11"/>
      <c r="V94" s="32"/>
      <c r="W94" s="34"/>
    </row>
    <row r="95" spans="1:23">
      <c r="A95" s="20"/>
      <c r="B95" s="20"/>
      <c r="C95" s="20"/>
      <c r="D95" s="20"/>
      <c r="E95" s="20"/>
      <c r="F95" s="11"/>
      <c r="G95" s="11"/>
      <c r="H95" s="20"/>
      <c r="I95" s="20"/>
      <c r="J95" s="20"/>
      <c r="K95" s="20"/>
      <c r="L95" s="20"/>
      <c r="M95" s="11"/>
      <c r="N95" s="11"/>
      <c r="O95" s="20"/>
      <c r="P95" s="20"/>
      <c r="Q95" s="20"/>
      <c r="R95" s="20"/>
      <c r="S95" s="20"/>
      <c r="T95" s="11"/>
      <c r="U95" s="11"/>
      <c r="V95" s="32"/>
      <c r="W95" s="34"/>
    </row>
    <row r="96" spans="1:23">
      <c r="A96" s="20"/>
      <c r="B96" s="7"/>
      <c r="C96" s="11"/>
      <c r="D96" s="11"/>
      <c r="E96" s="7"/>
      <c r="F96" s="11"/>
      <c r="G96" s="11"/>
      <c r="H96" s="20"/>
      <c r="I96" s="20"/>
      <c r="J96" s="20"/>
      <c r="K96" s="20"/>
      <c r="L96" s="20"/>
      <c r="O96" s="20"/>
      <c r="P96" s="20"/>
      <c r="Q96" s="20"/>
      <c r="R96" s="20"/>
      <c r="S96" s="20"/>
      <c r="V96" s="32"/>
      <c r="W96" s="34"/>
    </row>
    <row r="97" spans="1:23">
      <c r="A97" s="20"/>
      <c r="B97" s="11"/>
      <c r="C97" s="11"/>
      <c r="D97" s="11"/>
      <c r="E97" s="11"/>
      <c r="G97" s="11"/>
      <c r="H97" s="20"/>
      <c r="I97" s="7"/>
      <c r="J97" s="11"/>
      <c r="K97" s="11"/>
      <c r="L97" s="7"/>
      <c r="M97" s="11"/>
      <c r="N97" s="11"/>
      <c r="O97" s="20"/>
      <c r="P97" s="20"/>
      <c r="Q97" s="20"/>
      <c r="R97" s="20"/>
      <c r="S97" s="20"/>
      <c r="V97" s="32"/>
      <c r="W97" s="34"/>
    </row>
    <row r="98" spans="1:23">
      <c r="A98" s="20"/>
      <c r="B98" s="11"/>
      <c r="C98" s="11"/>
      <c r="D98" s="11"/>
      <c r="E98" s="11"/>
      <c r="F98" s="11"/>
      <c r="G98" s="11"/>
      <c r="H98" s="20"/>
      <c r="I98" s="11"/>
      <c r="J98" s="11"/>
      <c r="K98" s="11"/>
      <c r="L98" s="11"/>
      <c r="N98" s="11"/>
      <c r="O98" s="20"/>
      <c r="P98" s="7"/>
      <c r="Q98" s="11"/>
      <c r="R98" s="11"/>
      <c r="S98" s="7"/>
      <c r="T98" s="11"/>
      <c r="U98" s="11"/>
      <c r="V98" s="32"/>
      <c r="W98" s="34"/>
    </row>
    <row r="99" spans="1:23">
      <c r="A99" s="20"/>
      <c r="B99" s="11"/>
      <c r="C99" s="11"/>
      <c r="D99" s="11"/>
      <c r="E99" s="11"/>
      <c r="F99" s="11"/>
      <c r="G99" s="11"/>
      <c r="H99" s="20"/>
      <c r="I99" s="11"/>
      <c r="J99" s="11"/>
      <c r="K99" s="11"/>
      <c r="L99" s="11"/>
      <c r="M99" s="11"/>
      <c r="N99" s="11"/>
      <c r="O99" s="20"/>
      <c r="P99" s="11"/>
      <c r="Q99" s="11"/>
      <c r="R99" s="11"/>
      <c r="S99" s="11"/>
      <c r="U99" s="11"/>
      <c r="V99" s="32"/>
      <c r="W99" s="34"/>
    </row>
    <row r="100" spans="1:23">
      <c r="A100" s="20"/>
      <c r="B100" s="11"/>
      <c r="C100" s="11"/>
      <c r="D100" s="11"/>
      <c r="E100" s="11"/>
      <c r="F100" s="20"/>
      <c r="G100" s="11"/>
      <c r="H100" s="20"/>
      <c r="I100" s="11"/>
      <c r="J100" s="11"/>
      <c r="K100" s="11"/>
      <c r="L100" s="11"/>
      <c r="M100" s="11"/>
      <c r="N100" s="11"/>
      <c r="O100" s="20"/>
      <c r="P100" s="11"/>
      <c r="Q100" s="11"/>
      <c r="R100" s="11"/>
      <c r="S100" s="11"/>
      <c r="T100" s="11"/>
      <c r="U100" s="11"/>
      <c r="V100" s="32"/>
      <c r="W100" s="34"/>
    </row>
    <row r="101" spans="1:23">
      <c r="A101" s="20"/>
      <c r="B101" s="11"/>
      <c r="C101" s="11"/>
      <c r="D101" s="11"/>
      <c r="E101" s="11"/>
      <c r="F101" s="20"/>
      <c r="G101" s="11"/>
      <c r="H101" s="20"/>
      <c r="I101" s="11"/>
      <c r="J101" s="11"/>
      <c r="K101" s="11"/>
      <c r="L101" s="11"/>
      <c r="M101" s="20"/>
      <c r="N101" s="11"/>
      <c r="O101" s="20"/>
      <c r="P101" s="11"/>
      <c r="Q101" s="11"/>
      <c r="R101" s="11"/>
      <c r="S101" s="11"/>
      <c r="T101" s="11"/>
      <c r="U101" s="11"/>
      <c r="V101" s="32"/>
      <c r="W101" s="34"/>
    </row>
    <row r="102" spans="1:23">
      <c r="A102" s="20"/>
      <c r="B102" s="11"/>
      <c r="C102" s="11"/>
      <c r="D102" s="11"/>
      <c r="E102" s="11"/>
      <c r="F102" s="20"/>
      <c r="G102" s="11"/>
      <c r="H102" s="20"/>
      <c r="I102" s="11"/>
      <c r="J102" s="11"/>
      <c r="K102" s="11"/>
      <c r="L102" s="11"/>
      <c r="M102" s="20"/>
      <c r="N102" s="11"/>
      <c r="O102" s="20"/>
      <c r="P102" s="11"/>
      <c r="Q102" s="11"/>
      <c r="R102" s="11"/>
      <c r="S102" s="11"/>
      <c r="T102" s="20"/>
      <c r="U102" s="11"/>
      <c r="V102" s="32"/>
      <c r="W102" s="34"/>
    </row>
    <row r="103" spans="9:23">
      <c r="I103" s="11"/>
      <c r="J103" s="11"/>
      <c r="K103" s="11"/>
      <c r="L103" s="11"/>
      <c r="M103" s="20"/>
      <c r="N103" s="11"/>
      <c r="P103" s="11"/>
      <c r="Q103" s="11"/>
      <c r="R103" s="11"/>
      <c r="S103" s="11"/>
      <c r="T103" s="20"/>
      <c r="U103" s="11"/>
      <c r="V103" s="32"/>
      <c r="W103" s="34"/>
    </row>
    <row r="104" spans="16:23">
      <c r="P104" s="11"/>
      <c r="Q104" s="11"/>
      <c r="R104" s="11"/>
      <c r="S104" s="11"/>
      <c r="T104" s="20"/>
      <c r="U104" s="11"/>
      <c r="V104" s="32"/>
      <c r="W104" s="34"/>
    </row>
    <row r="105" spans="17:23">
      <c r="Q105" s="20"/>
      <c r="R105" s="20"/>
      <c r="S105" s="20"/>
      <c r="T105" s="20"/>
      <c r="U105" s="20"/>
      <c r="V105" s="32"/>
      <c r="W105" s="34"/>
    </row>
    <row r="106" spans="4:23">
      <c r="D106" s="20"/>
      <c r="E106" s="20"/>
      <c r="F106" s="20"/>
      <c r="G106" s="20"/>
      <c r="H106" s="20"/>
      <c r="I106" s="20"/>
      <c r="R106" s="20"/>
      <c r="V106" s="17"/>
      <c r="W106" s="17"/>
    </row>
    <row r="107" spans="18:23">
      <c r="R107" s="20"/>
      <c r="V107" s="17"/>
      <c r="W107" s="17"/>
    </row>
    <row r="108" spans="18:23">
      <c r="R108" s="20"/>
      <c r="V108" s="17"/>
      <c r="W108" s="17"/>
    </row>
    <row r="109" spans="18:23">
      <c r="R109" s="20"/>
      <c r="V109" s="17"/>
      <c r="W109" s="17"/>
    </row>
    <row r="110" spans="18:23">
      <c r="R110" s="20"/>
      <c r="V110" s="17"/>
      <c r="W110" s="17"/>
    </row>
    <row r="111" spans="18:23">
      <c r="R111" s="20"/>
      <c r="V111" s="17"/>
      <c r="W111" s="17"/>
    </row>
    <row r="112" spans="10:23">
      <c r="J112" s="20"/>
      <c r="R112" s="20"/>
      <c r="S112" s="20"/>
      <c r="T112" s="20"/>
      <c r="V112" s="17"/>
      <c r="W112" s="17"/>
    </row>
    <row r="113" spans="4:23">
      <c r="D113" s="16"/>
      <c r="E113" s="16"/>
      <c r="F113" s="16"/>
      <c r="G113" s="16"/>
      <c r="H113" s="16"/>
      <c r="I113" s="16"/>
      <c r="J113" s="13"/>
      <c r="K113" s="16"/>
      <c r="L113" s="16"/>
      <c r="M113" s="16"/>
      <c r="N113" s="16"/>
      <c r="O113" s="16"/>
      <c r="R113" s="20"/>
      <c r="S113" s="20"/>
      <c r="T113" s="20"/>
      <c r="U113" s="16"/>
      <c r="V113" s="17"/>
      <c r="W113" s="17"/>
    </row>
    <row r="114" spans="20:23">
      <c r="T114" s="20"/>
      <c r="V114" s="20"/>
      <c r="W114" s="17"/>
    </row>
    <row r="115" spans="20:23">
      <c r="T115" s="20"/>
      <c r="V115" s="20"/>
      <c r="W115" s="17"/>
    </row>
    <row r="116" spans="20:23">
      <c r="T116" s="20"/>
      <c r="V116" s="20"/>
      <c r="W116" s="17"/>
    </row>
    <row r="117" spans="20:23">
      <c r="T117" s="20"/>
      <c r="V117" s="20"/>
      <c r="W117" s="17"/>
    </row>
    <row r="118" spans="20:23">
      <c r="T118" s="20"/>
      <c r="V118" s="20"/>
      <c r="W118" s="17"/>
    </row>
    <row r="119" spans="18:23">
      <c r="R119" s="20"/>
      <c r="T119" s="20"/>
      <c r="V119" s="17"/>
      <c r="W119" s="17"/>
    </row>
    <row r="120" spans="4:23">
      <c r="D120" s="16"/>
      <c r="E120" s="16"/>
      <c r="F120" s="16"/>
      <c r="G120" s="16"/>
      <c r="H120" s="16"/>
      <c r="I120" s="16"/>
      <c r="J120" s="13"/>
      <c r="K120" s="16"/>
      <c r="L120" s="16"/>
      <c r="M120" s="16"/>
      <c r="N120" s="16"/>
      <c r="O120" s="16"/>
      <c r="R120" s="20"/>
      <c r="T120" s="20"/>
      <c r="U120" s="16"/>
      <c r="V120" s="17"/>
      <c r="W120" s="17"/>
    </row>
    <row r="121" spans="18:23">
      <c r="R121" s="20"/>
      <c r="T121" s="20"/>
      <c r="V121" s="20"/>
      <c r="W121" s="17"/>
    </row>
    <row r="122" spans="18:23">
      <c r="R122" s="20"/>
      <c r="T122" s="20"/>
      <c r="V122" s="20"/>
      <c r="W122" s="17"/>
    </row>
    <row r="123" spans="18:23">
      <c r="R123" s="20"/>
      <c r="T123" s="20"/>
      <c r="V123" s="20"/>
      <c r="W123" s="17"/>
    </row>
    <row r="124" spans="18:23">
      <c r="R124" s="20"/>
      <c r="T124" s="20"/>
      <c r="V124" s="20"/>
      <c r="W124" s="17"/>
    </row>
    <row r="125" spans="18:23">
      <c r="R125" s="20"/>
      <c r="T125" s="20"/>
      <c r="V125" s="20"/>
      <c r="W125" s="17"/>
    </row>
    <row r="126" spans="8:23">
      <c r="H126" s="11"/>
      <c r="R126" s="20"/>
      <c r="T126" s="20"/>
      <c r="V126" s="17"/>
      <c r="W126" s="17"/>
    </row>
    <row r="127" spans="4:23">
      <c r="D127" s="16"/>
      <c r="E127" s="16"/>
      <c r="F127" s="16"/>
      <c r="G127" s="16"/>
      <c r="H127" s="16"/>
      <c r="I127" s="16"/>
      <c r="J127" s="13"/>
      <c r="K127" s="16"/>
      <c r="L127" s="16"/>
      <c r="M127" s="16"/>
      <c r="N127" s="16"/>
      <c r="O127" s="16"/>
      <c r="R127" s="20"/>
      <c r="T127" s="20"/>
      <c r="U127" s="16"/>
      <c r="V127" s="17"/>
      <c r="W127" s="17"/>
    </row>
    <row r="128" spans="18:23">
      <c r="R128" s="20"/>
      <c r="T128" s="20"/>
      <c r="V128" s="20"/>
      <c r="W128" s="17"/>
    </row>
    <row r="129" spans="18:23">
      <c r="R129" s="20"/>
      <c r="T129" s="20"/>
      <c r="V129" s="20"/>
      <c r="W129" s="17"/>
    </row>
    <row r="130" spans="18:23">
      <c r="R130" s="20"/>
      <c r="T130" s="20"/>
      <c r="V130" s="20"/>
      <c r="W130" s="17"/>
    </row>
    <row r="131" spans="18:23">
      <c r="R131" s="20"/>
      <c r="T131" s="20"/>
      <c r="V131" s="20"/>
      <c r="W131" s="17"/>
    </row>
    <row r="132" spans="18:23">
      <c r="R132" s="20"/>
      <c r="T132" s="20"/>
      <c r="V132" s="20"/>
      <c r="W132" s="17"/>
    </row>
    <row r="133" spans="18:23">
      <c r="R133" s="20"/>
      <c r="T133" s="20"/>
      <c r="V133" s="17"/>
      <c r="W133" s="17"/>
    </row>
    <row r="134" spans="4:23">
      <c r="D134" s="16"/>
      <c r="E134" s="16"/>
      <c r="F134" s="16"/>
      <c r="G134" s="16"/>
      <c r="H134" s="16"/>
      <c r="I134" s="16"/>
      <c r="J134" s="13"/>
      <c r="K134" s="16"/>
      <c r="L134" s="16"/>
      <c r="M134" s="16"/>
      <c r="N134" s="16"/>
      <c r="O134" s="16"/>
      <c r="R134" s="20"/>
      <c r="T134" s="20"/>
      <c r="U134" s="16"/>
      <c r="V134" s="17"/>
      <c r="W134" s="17"/>
    </row>
    <row r="135" spans="18:23">
      <c r="R135" s="20"/>
      <c r="T135" s="20"/>
      <c r="V135" s="20"/>
      <c r="W135" s="17"/>
    </row>
    <row r="136" spans="18:23">
      <c r="R136" s="20"/>
      <c r="T136" s="20"/>
      <c r="V136" s="20"/>
      <c r="W136" s="17"/>
    </row>
    <row r="137" spans="18:23">
      <c r="R137" s="20"/>
      <c r="T137" s="20"/>
      <c r="V137" s="20"/>
      <c r="W137" s="17"/>
    </row>
    <row r="138" spans="22:23">
      <c r="V138" s="20"/>
      <c r="W138" s="17"/>
    </row>
    <row r="139" spans="22:23">
      <c r="V139" s="20"/>
      <c r="W139" s="17"/>
    </row>
    <row r="140" spans="22:23">
      <c r="V140" s="17"/>
      <c r="W140" s="20"/>
    </row>
    <row r="141" spans="4:23">
      <c r="D141" s="16"/>
      <c r="E141" s="16"/>
      <c r="F141" s="16"/>
      <c r="G141" s="16"/>
      <c r="H141" s="16"/>
      <c r="I141" s="16"/>
      <c r="J141" s="13"/>
      <c r="K141" s="16"/>
      <c r="L141" s="16"/>
      <c r="M141" s="16"/>
      <c r="N141" s="16"/>
      <c r="O141" s="16"/>
      <c r="V141" s="17"/>
      <c r="W141" s="17"/>
    </row>
    <row r="142" spans="22:23">
      <c r="V142" s="20"/>
      <c r="W142" s="17"/>
    </row>
    <row r="143" spans="22:23">
      <c r="V143" s="20"/>
      <c r="W143" s="17"/>
    </row>
    <row r="144" spans="22:23">
      <c r="V144" s="20"/>
      <c r="W144" s="17"/>
    </row>
    <row r="145" spans="22:23">
      <c r="V145" s="20"/>
      <c r="W145" s="17"/>
    </row>
    <row r="146" spans="1:2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17"/>
    </row>
    <row r="147" spans="1:2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spans="1:2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</row>
    <row r="149" spans="1:2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0" spans="1:2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</row>
    <row r="151" spans="1:2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spans="1:2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</row>
    <row r="153" spans="1:2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</row>
    <row r="154" spans="1:2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</row>
    <row r="155" spans="1:2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</row>
    <row r="156" spans="1:2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</row>
    <row r="157" spans="1:2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</row>
    <row r="158" spans="1:2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</row>
    <row r="159" spans="1:19">
      <c r="A159" s="20"/>
      <c r="B159" s="20"/>
      <c r="C159" s="20"/>
      <c r="D159" s="20"/>
      <c r="E159" s="20"/>
      <c r="H159" s="20"/>
      <c r="I159" s="20"/>
      <c r="J159" s="20"/>
      <c r="K159" s="20"/>
      <c r="L159" s="20"/>
      <c r="O159" s="20"/>
      <c r="P159" s="20"/>
      <c r="Q159" s="20"/>
      <c r="R159" s="20"/>
      <c r="S159" s="20"/>
    </row>
    <row r="160" spans="1:19">
      <c r="A160" s="20"/>
      <c r="B160" s="20"/>
      <c r="C160" s="20"/>
      <c r="D160" s="20"/>
      <c r="E160" s="20"/>
      <c r="H160" s="20"/>
      <c r="I160" s="20"/>
      <c r="J160" s="20"/>
      <c r="K160" s="20"/>
      <c r="L160" s="20"/>
      <c r="O160" s="20"/>
      <c r="P160" s="20"/>
      <c r="Q160" s="20"/>
      <c r="R160" s="20"/>
      <c r="S160" s="20"/>
    </row>
    <row r="161" spans="1:21">
      <c r="A161" s="20"/>
      <c r="B161" s="7"/>
      <c r="C161" s="11"/>
      <c r="D161" s="11"/>
      <c r="E161" s="7"/>
      <c r="F161" s="11"/>
      <c r="G161" s="11"/>
      <c r="H161" s="20"/>
      <c r="I161" s="7"/>
      <c r="J161" s="11"/>
      <c r="K161" s="11"/>
      <c r="L161" s="7"/>
      <c r="M161" s="11"/>
      <c r="N161" s="11"/>
      <c r="O161" s="20"/>
      <c r="P161" s="7"/>
      <c r="Q161" s="11"/>
      <c r="R161" s="11"/>
      <c r="S161" s="7"/>
      <c r="T161" s="11"/>
      <c r="U161" s="11"/>
    </row>
    <row r="162" spans="1:21">
      <c r="A162" s="20"/>
      <c r="B162" s="11"/>
      <c r="C162" s="11"/>
      <c r="D162" s="11"/>
      <c r="E162" s="11"/>
      <c r="F162" s="11"/>
      <c r="G162" s="11"/>
      <c r="H162" s="20"/>
      <c r="I162" s="11"/>
      <c r="J162" s="11"/>
      <c r="K162" s="11"/>
      <c r="L162" s="11"/>
      <c r="M162" s="11"/>
      <c r="N162" s="11"/>
      <c r="O162" s="20"/>
      <c r="P162" s="11"/>
      <c r="Q162" s="11"/>
      <c r="R162" s="11"/>
      <c r="S162" s="11"/>
      <c r="T162" s="11"/>
      <c r="U162" s="11"/>
    </row>
    <row r="163" spans="1:21">
      <c r="A163" s="20"/>
      <c r="B163" s="11"/>
      <c r="C163" s="11"/>
      <c r="D163" s="11"/>
      <c r="E163" s="11"/>
      <c r="F163" s="11"/>
      <c r="G163" s="11"/>
      <c r="H163" s="20"/>
      <c r="I163" s="11"/>
      <c r="J163" s="11"/>
      <c r="K163" s="11"/>
      <c r="L163" s="11"/>
      <c r="M163" s="11"/>
      <c r="N163" s="11"/>
      <c r="O163" s="20"/>
      <c r="P163" s="11"/>
      <c r="Q163" s="11"/>
      <c r="R163" s="11"/>
      <c r="S163" s="11"/>
      <c r="T163" s="11"/>
      <c r="U163" s="11"/>
    </row>
    <row r="164" spans="1:21">
      <c r="A164" s="20"/>
      <c r="B164" s="11"/>
      <c r="C164" s="11"/>
      <c r="D164" s="11"/>
      <c r="E164" s="11"/>
      <c r="F164" s="11"/>
      <c r="G164" s="11"/>
      <c r="H164" s="20"/>
      <c r="I164" s="11"/>
      <c r="J164" s="11"/>
      <c r="K164" s="11"/>
      <c r="L164" s="11"/>
      <c r="M164" s="11"/>
      <c r="N164" s="11"/>
      <c r="O164" s="20"/>
      <c r="P164" s="11"/>
      <c r="Q164" s="11"/>
      <c r="R164" s="11"/>
      <c r="S164" s="11"/>
      <c r="T164" s="11"/>
      <c r="U164" s="11"/>
    </row>
    <row r="165" spans="1:21">
      <c r="A165" s="20"/>
      <c r="B165" s="11"/>
      <c r="C165" s="11"/>
      <c r="D165" s="11"/>
      <c r="E165" s="11"/>
      <c r="F165" s="20"/>
      <c r="G165" s="11"/>
      <c r="H165" s="20"/>
      <c r="I165" s="11"/>
      <c r="J165" s="11"/>
      <c r="K165" s="11"/>
      <c r="L165" s="11"/>
      <c r="M165" s="20"/>
      <c r="N165" s="11"/>
      <c r="O165" s="20"/>
      <c r="P165" s="11"/>
      <c r="Q165" s="11"/>
      <c r="R165" s="11"/>
      <c r="S165" s="11"/>
      <c r="T165" s="20"/>
      <c r="U165" s="11"/>
    </row>
    <row r="166" spans="1:21">
      <c r="A166" s="20"/>
      <c r="B166" s="11"/>
      <c r="C166" s="11"/>
      <c r="D166" s="11"/>
      <c r="E166" s="11"/>
      <c r="F166" s="20"/>
      <c r="G166" s="11"/>
      <c r="H166" s="20"/>
      <c r="I166" s="11"/>
      <c r="J166" s="11"/>
      <c r="K166" s="11"/>
      <c r="L166" s="11"/>
      <c r="M166" s="20"/>
      <c r="N166" s="11"/>
      <c r="O166" s="20"/>
      <c r="P166" s="11"/>
      <c r="Q166" s="11"/>
      <c r="R166" s="11"/>
      <c r="S166" s="11"/>
      <c r="T166" s="20"/>
      <c r="U166" s="11"/>
    </row>
    <row r="167" spans="1:21">
      <c r="A167" s="20"/>
      <c r="B167" s="11"/>
      <c r="C167" s="11"/>
      <c r="D167" s="11"/>
      <c r="E167" s="11"/>
      <c r="F167" s="20"/>
      <c r="G167" s="11"/>
      <c r="H167" s="20"/>
      <c r="I167" s="11"/>
      <c r="J167" s="11"/>
      <c r="K167" s="11"/>
      <c r="L167" s="11"/>
      <c r="M167" s="20"/>
      <c r="N167" s="11"/>
      <c r="O167" s="20"/>
      <c r="P167" s="11"/>
      <c r="Q167" s="11"/>
      <c r="R167" s="11"/>
      <c r="S167" s="11"/>
      <c r="T167" s="20"/>
      <c r="U167" s="11"/>
    </row>
    <row r="168" spans="8:8">
      <c r="H168" s="11"/>
    </row>
    <row r="169" spans="8:8">
      <c r="H169" s="11"/>
    </row>
    <row r="170" spans="8:8">
      <c r="H170" s="11"/>
    </row>
    <row r="171" spans="1:22">
      <c r="A171" s="20"/>
      <c r="B171" s="20"/>
      <c r="C171" s="20"/>
      <c r="D171" s="20"/>
      <c r="E171" s="20"/>
      <c r="F171" s="20"/>
      <c r="G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>
      <c r="A172" s="20"/>
      <c r="B172" s="20"/>
      <c r="C172" s="20"/>
      <c r="D172" s="20"/>
      <c r="E172" s="20"/>
      <c r="F172" s="20"/>
      <c r="G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>
      <c r="A173" s="20"/>
      <c r="B173" s="20"/>
      <c r="C173" s="20"/>
      <c r="D173" s="20"/>
      <c r="E173" s="20"/>
      <c r="F173" s="20"/>
      <c r="G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>
      <c r="A174" s="20"/>
      <c r="B174" s="20"/>
      <c r="C174" s="20"/>
      <c r="D174" s="20"/>
      <c r="E174" s="20"/>
      <c r="F174" s="20"/>
      <c r="G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>
      <c r="A175" s="20"/>
      <c r="B175" s="20"/>
      <c r="C175" s="20"/>
      <c r="D175" s="20"/>
      <c r="E175" s="20"/>
      <c r="F175" s="20"/>
      <c r="G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>
      <c r="A176" s="20"/>
      <c r="B176" s="20"/>
      <c r="C176" s="20"/>
      <c r="D176" s="20"/>
      <c r="E176" s="20"/>
      <c r="F176" s="20"/>
      <c r="G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>
      <c r="A177" s="20"/>
      <c r="B177" s="20"/>
      <c r="C177" s="20"/>
      <c r="D177" s="20"/>
      <c r="E177" s="20"/>
      <c r="F177" s="20"/>
      <c r="G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>
      <c r="A178" s="20"/>
      <c r="B178" s="20"/>
      <c r="C178" s="20"/>
      <c r="D178" s="20"/>
      <c r="E178" s="20"/>
      <c r="F178" s="20"/>
      <c r="G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>
      <c r="A179" s="20"/>
      <c r="B179" s="20"/>
      <c r="C179" s="20"/>
      <c r="D179" s="20"/>
      <c r="E179" s="20"/>
      <c r="F179" s="20"/>
      <c r="G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>
      <c r="A180" s="20"/>
      <c r="B180" s="20"/>
      <c r="C180" s="20"/>
      <c r="D180" s="20"/>
      <c r="E180" s="20"/>
      <c r="F180" s="20"/>
      <c r="G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>
      <c r="A181" s="20"/>
      <c r="B181" s="20"/>
      <c r="C181" s="20"/>
      <c r="D181" s="20"/>
      <c r="E181" s="20"/>
      <c r="F181" s="7"/>
      <c r="G181" s="11"/>
      <c r="I181" s="20"/>
      <c r="J181" s="20"/>
      <c r="K181" s="20"/>
      <c r="L181" s="20"/>
      <c r="M181" s="20"/>
      <c r="N181" s="7"/>
      <c r="O181" s="11"/>
      <c r="P181" s="20"/>
      <c r="Q181" s="20"/>
      <c r="R181" s="20"/>
      <c r="S181" s="20"/>
      <c r="T181" s="20"/>
      <c r="U181" s="7"/>
      <c r="V181" s="11"/>
    </row>
    <row r="182" spans="1:22">
      <c r="A182" s="20"/>
      <c r="B182" s="20"/>
      <c r="C182" s="20"/>
      <c r="D182" s="20"/>
      <c r="E182" s="20"/>
      <c r="I182" s="20"/>
      <c r="J182" s="20"/>
      <c r="K182" s="20"/>
      <c r="L182" s="20"/>
      <c r="M182" s="20"/>
      <c r="P182" s="20"/>
      <c r="Q182" s="20"/>
      <c r="R182" s="20"/>
      <c r="S182" s="20"/>
      <c r="T182" s="20"/>
      <c r="V182" s="17"/>
    </row>
    <row r="183" spans="1:22">
      <c r="A183" s="20"/>
      <c r="B183" s="20"/>
      <c r="C183" s="20"/>
      <c r="D183" s="20"/>
      <c r="E183" s="20"/>
      <c r="I183" s="20"/>
      <c r="J183" s="20"/>
      <c r="K183" s="20"/>
      <c r="L183" s="20"/>
      <c r="M183" s="20"/>
      <c r="P183" s="20"/>
      <c r="Q183" s="20"/>
      <c r="R183" s="20"/>
      <c r="S183" s="20"/>
      <c r="T183" s="20"/>
      <c r="V183" s="17"/>
    </row>
    <row r="184" spans="1:22">
      <c r="A184" s="20"/>
      <c r="B184" s="20"/>
      <c r="C184" s="20"/>
      <c r="D184" s="20"/>
      <c r="E184" s="20"/>
      <c r="I184" s="20"/>
      <c r="J184" s="20"/>
      <c r="K184" s="20"/>
      <c r="L184" s="20"/>
      <c r="M184" s="20"/>
      <c r="P184" s="20"/>
      <c r="Q184" s="20"/>
      <c r="R184" s="20"/>
      <c r="S184" s="20"/>
      <c r="T184" s="20"/>
      <c r="V184" s="17"/>
    </row>
    <row r="185" spans="1:22">
      <c r="A185" s="20"/>
      <c r="B185" s="20"/>
      <c r="C185" s="11"/>
      <c r="D185" s="11"/>
      <c r="E185" s="7"/>
      <c r="F185" s="11"/>
      <c r="G185" s="11"/>
      <c r="I185" s="20"/>
      <c r="J185" s="20"/>
      <c r="K185" s="20"/>
      <c r="L185" s="20"/>
      <c r="M185" s="20"/>
      <c r="P185" s="20"/>
      <c r="Q185" s="20"/>
      <c r="R185" s="11"/>
      <c r="S185" s="11"/>
      <c r="T185" s="7"/>
      <c r="U185" s="11"/>
      <c r="V185" s="11"/>
    </row>
    <row r="186" spans="1:22">
      <c r="A186" s="20"/>
      <c r="B186" s="11"/>
      <c r="C186" s="11"/>
      <c r="D186" s="11"/>
      <c r="E186" s="11"/>
      <c r="F186" s="11"/>
      <c r="G186" s="11"/>
      <c r="I186" s="20"/>
      <c r="J186" s="20"/>
      <c r="K186" s="20"/>
      <c r="L186" s="20"/>
      <c r="M186" s="20"/>
      <c r="P186" s="20"/>
      <c r="Q186" s="11"/>
      <c r="R186" s="11"/>
      <c r="S186" s="11"/>
      <c r="T186" s="11"/>
      <c r="U186" s="11"/>
      <c r="V186" s="11"/>
    </row>
    <row r="187" spans="1:22">
      <c r="A187" s="20"/>
      <c r="B187" s="11"/>
      <c r="C187" s="11"/>
      <c r="D187" s="11"/>
      <c r="E187" s="11"/>
      <c r="F187" s="11"/>
      <c r="G187" s="11"/>
      <c r="I187" s="20"/>
      <c r="J187" s="20"/>
      <c r="K187" s="20"/>
      <c r="L187" s="20"/>
      <c r="M187" s="20"/>
      <c r="P187" s="20"/>
      <c r="Q187" s="11"/>
      <c r="R187" s="11"/>
      <c r="S187" s="11"/>
      <c r="T187" s="11"/>
      <c r="U187" s="11"/>
      <c r="V187" s="11"/>
    </row>
    <row r="188" spans="1:22">
      <c r="A188" s="20"/>
      <c r="B188" s="11"/>
      <c r="C188" s="11"/>
      <c r="D188" s="11"/>
      <c r="E188" s="11"/>
      <c r="F188" s="11"/>
      <c r="G188" s="11"/>
      <c r="I188" s="20"/>
      <c r="J188" s="20"/>
      <c r="K188" s="11"/>
      <c r="L188" s="11"/>
      <c r="M188" s="7"/>
      <c r="N188" s="11"/>
      <c r="O188" s="11"/>
      <c r="P188" s="20"/>
      <c r="Q188" s="11"/>
      <c r="R188" s="11"/>
      <c r="S188" s="11"/>
      <c r="T188" s="11"/>
      <c r="U188" s="11"/>
      <c r="V188" s="11"/>
    </row>
    <row r="189" spans="1:22">
      <c r="A189" s="20"/>
      <c r="B189" s="11"/>
      <c r="C189" s="11"/>
      <c r="D189" s="11"/>
      <c r="E189" s="11"/>
      <c r="F189" s="20"/>
      <c r="G189" s="11"/>
      <c r="J189" s="11"/>
      <c r="K189" s="11"/>
      <c r="L189" s="11"/>
      <c r="M189" s="11"/>
      <c r="N189" s="11"/>
      <c r="O189" s="11"/>
      <c r="P189" s="20"/>
      <c r="Q189" s="11"/>
      <c r="R189" s="11"/>
      <c r="S189" s="11"/>
      <c r="T189" s="11"/>
      <c r="U189" s="20"/>
      <c r="V189" s="11"/>
    </row>
    <row r="190" spans="1:22">
      <c r="A190" s="20"/>
      <c r="B190" s="11"/>
      <c r="C190" s="11"/>
      <c r="D190" s="11"/>
      <c r="E190" s="11"/>
      <c r="F190" s="20"/>
      <c r="G190" s="11"/>
      <c r="J190" s="11"/>
      <c r="K190" s="11"/>
      <c r="L190" s="11"/>
      <c r="M190" s="11"/>
      <c r="N190" s="11"/>
      <c r="O190" s="11"/>
      <c r="P190" s="20"/>
      <c r="Q190" s="11"/>
      <c r="R190" s="11"/>
      <c r="S190" s="11"/>
      <c r="T190" s="11"/>
      <c r="U190" s="20"/>
      <c r="V190" s="11"/>
    </row>
    <row r="191" spans="1:22">
      <c r="A191" s="20"/>
      <c r="B191" s="11"/>
      <c r="C191" s="11"/>
      <c r="D191" s="11"/>
      <c r="E191" s="11"/>
      <c r="F191" s="20"/>
      <c r="G191" s="11"/>
      <c r="J191" s="11"/>
      <c r="K191" s="11"/>
      <c r="L191" s="11"/>
      <c r="M191" s="11"/>
      <c r="N191" s="11"/>
      <c r="O191" s="11"/>
      <c r="P191" s="20"/>
      <c r="Q191" s="11"/>
      <c r="R191" s="11"/>
      <c r="S191" s="11"/>
      <c r="T191" s="11"/>
      <c r="U191" s="20"/>
      <c r="V191" s="11"/>
    </row>
    <row r="192" spans="10:15">
      <c r="J192" s="11"/>
      <c r="K192" s="11"/>
      <c r="L192" s="11"/>
      <c r="M192" s="11"/>
      <c r="N192" s="20"/>
      <c r="O192" s="11"/>
    </row>
    <row r="193" spans="10:15">
      <c r="J193" s="11"/>
      <c r="K193" s="11"/>
      <c r="L193" s="11"/>
      <c r="M193" s="11"/>
      <c r="N193" s="20"/>
      <c r="O193" s="11"/>
    </row>
    <row r="194" spans="10:15">
      <c r="J194" s="11"/>
      <c r="K194" s="11"/>
      <c r="L194" s="11"/>
      <c r="M194" s="11"/>
      <c r="N194" s="20"/>
      <c r="O194" s="11"/>
    </row>
    <row r="206" spans="1:2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</row>
    <row r="207" spans="1:2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</row>
    <row r="208" spans="1:2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</row>
    <row r="209" spans="1:2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</row>
    <row r="210" spans="1:2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</row>
    <row r="211" spans="1:2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</row>
    <row r="212" spans="1:2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</row>
    <row r="213" spans="1:2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</row>
    <row r="214" spans="1:2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</row>
    <row r="215" spans="1:2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</row>
    <row r="216" spans="1:2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</row>
    <row r="217" spans="1:21">
      <c r="A217" s="20"/>
      <c r="B217" s="20"/>
      <c r="C217" s="20"/>
      <c r="D217" s="20"/>
      <c r="E217" s="20"/>
      <c r="F217" s="7"/>
      <c r="G217" s="7"/>
      <c r="H217" s="20"/>
      <c r="I217" s="20"/>
      <c r="J217" s="20"/>
      <c r="K217" s="20"/>
      <c r="L217" s="20"/>
      <c r="M217" s="7"/>
      <c r="N217" s="7"/>
      <c r="O217" s="20"/>
      <c r="P217" s="20"/>
      <c r="Q217" s="20"/>
      <c r="R217" s="20"/>
      <c r="S217" s="20"/>
      <c r="T217" s="7"/>
      <c r="U217" s="7"/>
    </row>
    <row r="218" spans="1:21">
      <c r="A218" s="20"/>
      <c r="B218" s="20"/>
      <c r="C218" s="20"/>
      <c r="D218" s="20"/>
      <c r="E218" s="20"/>
      <c r="F218" s="7"/>
      <c r="G218" s="7"/>
      <c r="H218" s="20"/>
      <c r="I218" s="20"/>
      <c r="J218" s="20"/>
      <c r="K218" s="20"/>
      <c r="L218" s="20"/>
      <c r="M218" s="7"/>
      <c r="N218" s="7"/>
      <c r="O218" s="20"/>
      <c r="P218" s="20"/>
      <c r="Q218" s="20"/>
      <c r="R218" s="20"/>
      <c r="S218" s="20"/>
      <c r="T218" s="7"/>
      <c r="U218" s="7"/>
    </row>
    <row r="219" spans="1:21">
      <c r="A219" s="20"/>
      <c r="B219" s="7"/>
      <c r="C219" s="11"/>
      <c r="D219" s="11"/>
      <c r="E219" s="7"/>
      <c r="F219" s="11"/>
      <c r="G219" s="20"/>
      <c r="H219" s="20"/>
      <c r="I219" s="7"/>
      <c r="J219" s="11"/>
      <c r="K219" s="11"/>
      <c r="L219" s="7"/>
      <c r="M219" s="11"/>
      <c r="N219" s="20"/>
      <c r="O219" s="20"/>
      <c r="P219" s="7"/>
      <c r="Q219" s="11"/>
      <c r="R219" s="11"/>
      <c r="S219" s="7"/>
      <c r="T219" s="11"/>
      <c r="U219" s="20"/>
    </row>
    <row r="220" spans="1:21">
      <c r="A220" s="20"/>
      <c r="B220" s="11"/>
      <c r="C220" s="11"/>
      <c r="D220" s="11"/>
      <c r="E220" s="11"/>
      <c r="F220" s="20"/>
      <c r="G220" s="20"/>
      <c r="H220" s="20"/>
      <c r="I220" s="11"/>
      <c r="J220" s="11"/>
      <c r="K220" s="11"/>
      <c r="L220" s="11"/>
      <c r="M220" s="20"/>
      <c r="N220" s="20"/>
      <c r="O220" s="20"/>
      <c r="P220" s="11"/>
      <c r="Q220" s="11"/>
      <c r="R220" s="11"/>
      <c r="S220" s="11"/>
      <c r="T220" s="20"/>
      <c r="U220" s="20"/>
    </row>
    <row r="221" spans="1:21">
      <c r="A221" s="20"/>
      <c r="B221" s="11"/>
      <c r="C221" s="11"/>
      <c r="D221" s="11"/>
      <c r="E221" s="11"/>
      <c r="F221" s="11"/>
      <c r="G221" s="11"/>
      <c r="H221" s="20"/>
      <c r="I221" s="11"/>
      <c r="J221" s="11"/>
      <c r="K221" s="11"/>
      <c r="L221" s="11"/>
      <c r="M221" s="11"/>
      <c r="N221" s="11"/>
      <c r="O221" s="20"/>
      <c r="P221" s="11"/>
      <c r="Q221" s="11"/>
      <c r="R221" s="11"/>
      <c r="S221" s="11"/>
      <c r="T221" s="11"/>
      <c r="U221" s="11"/>
    </row>
    <row r="222" spans="1:21">
      <c r="A222" s="20"/>
      <c r="B222" s="11"/>
      <c r="C222" s="11"/>
      <c r="D222" s="11"/>
      <c r="E222" s="11"/>
      <c r="F222" s="11"/>
      <c r="G222" s="11"/>
      <c r="H222" s="20"/>
      <c r="I222" s="11"/>
      <c r="J222" s="11"/>
      <c r="K222" s="11"/>
      <c r="L222" s="11"/>
      <c r="M222" s="11"/>
      <c r="N222" s="11"/>
      <c r="O222" s="20"/>
      <c r="P222" s="11"/>
      <c r="Q222" s="11"/>
      <c r="R222" s="11"/>
      <c r="S222" s="11"/>
      <c r="T222" s="11"/>
      <c r="U222" s="11"/>
    </row>
    <row r="223" spans="1:21">
      <c r="A223" s="20"/>
      <c r="B223" s="11"/>
      <c r="C223" s="11"/>
      <c r="D223" s="11"/>
      <c r="E223" s="11"/>
      <c r="F223" s="20"/>
      <c r="G223" s="11"/>
      <c r="H223" s="20"/>
      <c r="I223" s="11"/>
      <c r="J223" s="11"/>
      <c r="K223" s="11"/>
      <c r="L223" s="11"/>
      <c r="M223" s="20"/>
      <c r="N223" s="11"/>
      <c r="O223" s="20"/>
      <c r="P223" s="11"/>
      <c r="Q223" s="11"/>
      <c r="R223" s="11"/>
      <c r="S223" s="11"/>
      <c r="T223" s="20"/>
      <c r="U223" s="11"/>
    </row>
    <row r="224" spans="1:21">
      <c r="A224" s="11"/>
      <c r="B224" s="11"/>
      <c r="C224" s="11"/>
      <c r="D224" s="11"/>
      <c r="E224" s="11"/>
      <c r="F224" s="20"/>
      <c r="G224" s="11"/>
      <c r="H224" s="11"/>
      <c r="I224" s="11"/>
      <c r="J224" s="11"/>
      <c r="K224" s="11"/>
      <c r="L224" s="11"/>
      <c r="M224" s="20"/>
      <c r="N224" s="11"/>
      <c r="O224" s="11"/>
      <c r="P224" s="11"/>
      <c r="Q224" s="11"/>
      <c r="R224" s="11"/>
      <c r="S224" s="11"/>
      <c r="T224" s="20"/>
      <c r="U224" s="11"/>
    </row>
    <row r="225" spans="1:21">
      <c r="A225" s="11"/>
      <c r="B225" s="11"/>
      <c r="C225" s="11"/>
      <c r="D225" s="11"/>
      <c r="E225" s="11"/>
      <c r="F225" s="20"/>
      <c r="G225" s="11"/>
      <c r="H225" s="11"/>
      <c r="I225" s="11"/>
      <c r="J225" s="11"/>
      <c r="K225" s="11"/>
      <c r="L225" s="11"/>
      <c r="M225" s="20"/>
      <c r="N225" s="11"/>
      <c r="O225" s="11"/>
      <c r="P225" s="11"/>
      <c r="Q225" s="11"/>
      <c r="R225" s="11"/>
      <c r="S225" s="11"/>
      <c r="T225" s="20"/>
      <c r="U225" s="11"/>
    </row>
    <row r="226" spans="8:8">
      <c r="H226" s="7"/>
    </row>
    <row r="227" spans="1:2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</row>
    <row r="228" spans="1:2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</row>
    <row r="229" spans="1:2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</row>
    <row r="230" spans="1:2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</row>
    <row r="231" spans="1:2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</row>
    <row r="232" spans="1:2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</row>
    <row r="233" spans="1:2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</row>
    <row r="234" spans="1:2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</row>
    <row r="235" spans="1:2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</row>
    <row r="236" spans="1:2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</row>
    <row r="237" spans="1:2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</row>
    <row r="238" spans="1:21">
      <c r="A238" s="20"/>
      <c r="B238" s="20"/>
      <c r="C238" s="20"/>
      <c r="D238" s="20"/>
      <c r="E238" s="20"/>
      <c r="F238" s="7"/>
      <c r="G238" s="7"/>
      <c r="H238" s="20"/>
      <c r="I238" s="20"/>
      <c r="J238" s="20"/>
      <c r="K238" s="20"/>
      <c r="L238" s="20"/>
      <c r="M238" s="7"/>
      <c r="N238" s="7"/>
      <c r="O238" s="20"/>
      <c r="P238" s="20"/>
      <c r="Q238" s="20"/>
      <c r="R238" s="20"/>
      <c r="S238" s="20"/>
      <c r="T238" s="7"/>
      <c r="U238" s="7"/>
    </row>
    <row r="239" spans="1:21">
      <c r="A239" s="20"/>
      <c r="B239" s="20"/>
      <c r="C239" s="20"/>
      <c r="D239" s="20"/>
      <c r="E239" s="20"/>
      <c r="F239" s="7"/>
      <c r="G239" s="7"/>
      <c r="H239" s="20"/>
      <c r="I239" s="20"/>
      <c r="J239" s="20"/>
      <c r="K239" s="20"/>
      <c r="L239" s="20"/>
      <c r="M239" s="7"/>
      <c r="N239" s="7"/>
      <c r="O239" s="20"/>
      <c r="P239" s="20"/>
      <c r="Q239" s="20"/>
      <c r="R239" s="20"/>
      <c r="S239" s="20"/>
      <c r="T239" s="7"/>
      <c r="U239" s="7"/>
    </row>
    <row r="240" spans="1:21">
      <c r="A240" s="20"/>
      <c r="B240" s="7"/>
      <c r="C240" s="11"/>
      <c r="D240" s="11"/>
      <c r="E240" s="7"/>
      <c r="F240" s="11"/>
      <c r="G240" s="20"/>
      <c r="H240" s="20"/>
      <c r="I240" s="7"/>
      <c r="J240" s="11"/>
      <c r="K240" s="11"/>
      <c r="L240" s="7"/>
      <c r="M240" s="11"/>
      <c r="N240" s="20"/>
      <c r="O240" s="20"/>
      <c r="P240" s="7"/>
      <c r="Q240" s="11"/>
      <c r="R240" s="11"/>
      <c r="S240" s="7"/>
      <c r="T240" s="11"/>
      <c r="U240" s="20"/>
    </row>
    <row r="241" spans="1:21">
      <c r="A241" s="20"/>
      <c r="B241" s="11"/>
      <c r="C241" s="11"/>
      <c r="D241" s="11"/>
      <c r="E241" s="11"/>
      <c r="F241" s="20"/>
      <c r="G241" s="20"/>
      <c r="H241" s="20"/>
      <c r="I241" s="11"/>
      <c r="J241" s="11"/>
      <c r="K241" s="11"/>
      <c r="L241" s="11"/>
      <c r="M241" s="20"/>
      <c r="N241" s="20"/>
      <c r="O241" s="20"/>
      <c r="P241" s="11"/>
      <c r="Q241" s="11"/>
      <c r="R241" s="11"/>
      <c r="S241" s="11"/>
      <c r="T241" s="20"/>
      <c r="U241" s="20"/>
    </row>
    <row r="242" spans="1:21">
      <c r="A242" s="20"/>
      <c r="B242" s="11"/>
      <c r="C242" s="11"/>
      <c r="D242" s="11"/>
      <c r="E242" s="11"/>
      <c r="F242" s="11"/>
      <c r="G242" s="11"/>
      <c r="H242" s="20"/>
      <c r="I242" s="11"/>
      <c r="J242" s="11"/>
      <c r="K242" s="11"/>
      <c r="L242" s="11"/>
      <c r="M242" s="11"/>
      <c r="N242" s="11"/>
      <c r="O242" s="20"/>
      <c r="P242" s="11"/>
      <c r="Q242" s="11"/>
      <c r="R242" s="11"/>
      <c r="S242" s="11"/>
      <c r="T242" s="11"/>
      <c r="U242" s="11"/>
    </row>
    <row r="243" spans="1:21">
      <c r="A243" s="20"/>
      <c r="B243" s="11"/>
      <c r="C243" s="11"/>
      <c r="D243" s="11"/>
      <c r="E243" s="11"/>
      <c r="F243" s="11"/>
      <c r="G243" s="11"/>
      <c r="H243" s="20"/>
      <c r="I243" s="11"/>
      <c r="J243" s="11"/>
      <c r="K243" s="11"/>
      <c r="L243" s="11"/>
      <c r="M243" s="11"/>
      <c r="N243" s="11"/>
      <c r="O243" s="20"/>
      <c r="P243" s="11"/>
      <c r="Q243" s="11"/>
      <c r="R243" s="11"/>
      <c r="S243" s="11"/>
      <c r="T243" s="11"/>
      <c r="U243" s="11"/>
    </row>
    <row r="244" spans="1:21">
      <c r="A244" s="20"/>
      <c r="B244" s="11"/>
      <c r="C244" s="11"/>
      <c r="D244" s="11"/>
      <c r="E244" s="11"/>
      <c r="F244" s="20"/>
      <c r="G244" s="11"/>
      <c r="H244" s="20"/>
      <c r="I244" s="11"/>
      <c r="J244" s="11"/>
      <c r="K244" s="11"/>
      <c r="L244" s="11"/>
      <c r="M244" s="20"/>
      <c r="N244" s="11"/>
      <c r="O244" s="20"/>
      <c r="P244" s="11"/>
      <c r="Q244" s="11"/>
      <c r="R244" s="11"/>
      <c r="S244" s="11"/>
      <c r="T244" s="20"/>
      <c r="U244" s="11"/>
    </row>
    <row r="245" spans="1:21">
      <c r="A245" s="11"/>
      <c r="B245" s="11"/>
      <c r="C245" s="11"/>
      <c r="D245" s="11"/>
      <c r="E245" s="11"/>
      <c r="F245" s="20"/>
      <c r="G245" s="11"/>
      <c r="H245" s="11"/>
      <c r="I245" s="11"/>
      <c r="J245" s="11"/>
      <c r="K245" s="11"/>
      <c r="L245" s="11"/>
      <c r="M245" s="20"/>
      <c r="N245" s="11"/>
      <c r="O245" s="11"/>
      <c r="P245" s="11"/>
      <c r="Q245" s="11"/>
      <c r="R245" s="11"/>
      <c r="S245" s="11"/>
      <c r="T245" s="20"/>
      <c r="U245" s="11"/>
    </row>
    <row r="246" spans="1:21">
      <c r="A246" s="11"/>
      <c r="B246" s="11"/>
      <c r="C246" s="11"/>
      <c r="D246" s="11"/>
      <c r="E246" s="11"/>
      <c r="F246" s="20"/>
      <c r="G246" s="11"/>
      <c r="H246" s="11"/>
      <c r="I246" s="11"/>
      <c r="J246" s="11"/>
      <c r="K246" s="11"/>
      <c r="L246" s="11"/>
      <c r="M246" s="20"/>
      <c r="N246" s="11"/>
      <c r="O246" s="11"/>
      <c r="P246" s="11"/>
      <c r="Q246" s="11"/>
      <c r="R246" s="11"/>
      <c r="S246" s="11"/>
      <c r="T246" s="20"/>
      <c r="U246" s="11"/>
    </row>
    <row r="248" spans="1:1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P248" s="36"/>
    </row>
    <row r="249" spans="1:1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P249" s="36"/>
    </row>
    <row r="250" spans="1:1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P250" s="36"/>
    </row>
    <row r="251" spans="1:1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P251" s="36"/>
    </row>
    <row r="252" spans="1:1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P252" s="36"/>
    </row>
    <row r="253" spans="1:1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P253" s="36"/>
    </row>
    <row r="254" spans="1:1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spans="1:14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</row>
    <row r="256" spans="1:14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</row>
    <row r="257" spans="1:14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</row>
    <row r="258" spans="1:14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</row>
    <row r="259" spans="1:14">
      <c r="A259" s="20"/>
      <c r="B259" s="20"/>
      <c r="C259" s="20"/>
      <c r="D259" s="20"/>
      <c r="E259" s="20"/>
      <c r="F259" s="7"/>
      <c r="G259" s="7"/>
      <c r="H259" s="20"/>
      <c r="I259" s="20"/>
      <c r="J259" s="20"/>
      <c r="K259" s="20"/>
      <c r="L259" s="20"/>
      <c r="M259" s="7"/>
      <c r="N259" s="7"/>
    </row>
    <row r="260" spans="2:14">
      <c r="B260" s="20"/>
      <c r="C260" s="20"/>
      <c r="D260" s="20"/>
      <c r="E260" s="20"/>
      <c r="F260" s="7"/>
      <c r="G260" s="7"/>
      <c r="I260" s="20"/>
      <c r="J260" s="20"/>
      <c r="K260" s="20"/>
      <c r="L260" s="20"/>
      <c r="M260" s="7"/>
      <c r="N260" s="7"/>
    </row>
    <row r="261" spans="1:12">
      <c r="A261" s="20"/>
      <c r="B261" s="20"/>
      <c r="C261" s="20"/>
      <c r="D261" s="20"/>
      <c r="E261" s="20"/>
      <c r="H261" s="20"/>
      <c r="I261" s="20"/>
      <c r="J261" s="20"/>
      <c r="K261" s="20"/>
      <c r="L261" s="20"/>
    </row>
    <row r="262" spans="1:8">
      <c r="A262" s="20"/>
      <c r="H262" s="20"/>
    </row>
    <row r="263" spans="1:14">
      <c r="A263" s="20"/>
      <c r="B263" s="7"/>
      <c r="C263" s="11"/>
      <c r="D263" s="11"/>
      <c r="E263" s="7"/>
      <c r="F263" s="11"/>
      <c r="G263" s="20"/>
      <c r="H263" s="20"/>
      <c r="I263" s="7"/>
      <c r="J263" s="11"/>
      <c r="K263" s="11"/>
      <c r="L263" s="7"/>
      <c r="M263" s="11"/>
      <c r="N263" s="20"/>
    </row>
    <row r="264" spans="1:14">
      <c r="A264" s="20"/>
      <c r="B264" s="11"/>
      <c r="C264" s="11"/>
      <c r="D264" s="11"/>
      <c r="E264" s="11"/>
      <c r="F264" s="20"/>
      <c r="G264" s="20"/>
      <c r="H264" s="20"/>
      <c r="I264" s="11"/>
      <c r="J264" s="11"/>
      <c r="K264" s="11"/>
      <c r="L264" s="11"/>
      <c r="M264" s="20"/>
      <c r="N264" s="20"/>
    </row>
    <row r="265" spans="1:14">
      <c r="A265" s="20"/>
      <c r="B265" s="11"/>
      <c r="C265" s="11"/>
      <c r="D265" s="11"/>
      <c r="E265" s="11"/>
      <c r="F265" s="11"/>
      <c r="G265" s="11"/>
      <c r="H265" s="20"/>
      <c r="I265" s="11"/>
      <c r="J265" s="11"/>
      <c r="K265" s="11"/>
      <c r="L265" s="11"/>
      <c r="M265" s="11"/>
      <c r="N265" s="11"/>
    </row>
    <row r="266" spans="1: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>
      <c r="A267" s="11"/>
      <c r="B267" s="11"/>
      <c r="C267" s="11"/>
      <c r="D267" s="11"/>
      <c r="E267" s="11"/>
      <c r="F267" s="20"/>
      <c r="G267" s="11"/>
      <c r="H267" s="11"/>
      <c r="I267" s="11"/>
      <c r="J267" s="11"/>
      <c r="K267" s="11"/>
      <c r="L267" s="11"/>
      <c r="M267" s="20"/>
      <c r="N267" s="11"/>
    </row>
    <row r="268" spans="2:14">
      <c r="B268" s="11"/>
      <c r="C268" s="11"/>
      <c r="D268" s="11"/>
      <c r="E268" s="11"/>
      <c r="F268" s="20"/>
      <c r="G268" s="11"/>
      <c r="I268" s="11"/>
      <c r="J268" s="11"/>
      <c r="K268" s="11"/>
      <c r="L268" s="11"/>
      <c r="M268" s="20"/>
      <c r="N268" s="11"/>
    </row>
    <row r="269" spans="2:14">
      <c r="B269" s="11"/>
      <c r="C269" s="11"/>
      <c r="D269" s="11"/>
      <c r="E269" s="11"/>
      <c r="F269" s="20"/>
      <c r="G269" s="11"/>
      <c r="I269" s="11"/>
      <c r="J269" s="11"/>
      <c r="K269" s="11"/>
      <c r="L269" s="11"/>
      <c r="M269" s="20"/>
      <c r="N269" s="11"/>
    </row>
    <row r="271" spans="1:2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</row>
    <row r="272" spans="1:2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</row>
    <row r="273" spans="1:2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</row>
    <row r="274" spans="1:2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</row>
    <row r="275" spans="1:2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</row>
    <row r="276" spans="1:2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</row>
    <row r="277" spans="1:2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</row>
    <row r="278" spans="1:2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</row>
    <row r="279" spans="1:2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</row>
    <row r="280" spans="1:2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</row>
    <row r="281" spans="1:2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</row>
    <row r="282" spans="1:2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</row>
    <row r="283" spans="1:2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11"/>
      <c r="U283" s="7"/>
    </row>
    <row r="284" spans="1:21">
      <c r="A284" s="20"/>
      <c r="B284" s="20"/>
      <c r="C284" s="20"/>
      <c r="D284" s="20"/>
      <c r="E284" s="20"/>
      <c r="F284" s="11"/>
      <c r="G284" s="7"/>
      <c r="H284" s="20"/>
      <c r="I284" s="20"/>
      <c r="J284" s="20"/>
      <c r="K284" s="20"/>
      <c r="L284" s="20"/>
      <c r="M284" s="11"/>
      <c r="N284" s="7"/>
      <c r="O284" s="20"/>
      <c r="P284" s="20"/>
      <c r="Q284" s="20"/>
      <c r="R284" s="20"/>
      <c r="S284" s="20"/>
      <c r="T284" s="7"/>
      <c r="U284" s="11"/>
    </row>
    <row r="285" spans="1:21">
      <c r="A285" s="20"/>
      <c r="B285" s="20"/>
      <c r="C285" s="20"/>
      <c r="D285" s="20"/>
      <c r="E285" s="20"/>
      <c r="F285" s="7"/>
      <c r="G285" s="11"/>
      <c r="H285" s="20"/>
      <c r="I285" s="20"/>
      <c r="J285" s="20"/>
      <c r="K285" s="20"/>
      <c r="L285" s="20"/>
      <c r="M285" s="7"/>
      <c r="N285" s="11"/>
      <c r="O285" s="20"/>
      <c r="P285" s="20"/>
      <c r="Q285" s="20"/>
      <c r="R285" s="20"/>
      <c r="S285" s="20"/>
      <c r="T285" s="11"/>
      <c r="U285" s="11"/>
    </row>
    <row r="286" spans="1:21">
      <c r="A286" s="20"/>
      <c r="B286" s="20"/>
      <c r="C286" s="20"/>
      <c r="D286" s="20"/>
      <c r="E286" s="20"/>
      <c r="F286" s="11"/>
      <c r="G286" s="11"/>
      <c r="H286" s="20"/>
      <c r="I286" s="20"/>
      <c r="J286" s="20"/>
      <c r="K286" s="20"/>
      <c r="L286" s="20"/>
      <c r="M286" s="11"/>
      <c r="N286" s="11"/>
      <c r="O286" s="20"/>
      <c r="P286" s="7"/>
      <c r="Q286" s="11"/>
      <c r="R286" s="11"/>
      <c r="S286" s="7"/>
      <c r="T286" s="11"/>
      <c r="U286" s="11"/>
    </row>
    <row r="287" spans="1:21">
      <c r="A287" s="20"/>
      <c r="B287" s="20"/>
      <c r="C287" s="20"/>
      <c r="D287" s="20"/>
      <c r="E287" s="20"/>
      <c r="H287" s="20"/>
      <c r="I287" s="20"/>
      <c r="J287" s="20"/>
      <c r="K287" s="20"/>
      <c r="L287" s="20"/>
      <c r="O287" s="20"/>
      <c r="P287" s="11"/>
      <c r="Q287" s="11"/>
      <c r="R287" s="11"/>
      <c r="S287" s="11"/>
      <c r="U287" s="11"/>
    </row>
    <row r="288" spans="1:21">
      <c r="A288" s="20"/>
      <c r="B288" s="7"/>
      <c r="C288" s="11"/>
      <c r="D288" s="11"/>
      <c r="E288" s="7"/>
      <c r="F288" s="11"/>
      <c r="G288" s="11"/>
      <c r="H288" s="20"/>
      <c r="I288" s="7"/>
      <c r="J288" s="11"/>
      <c r="K288" s="11"/>
      <c r="L288" s="7"/>
      <c r="M288" s="11"/>
      <c r="N288" s="11"/>
      <c r="O288" s="20"/>
      <c r="P288" s="11"/>
      <c r="Q288" s="11"/>
      <c r="R288" s="11"/>
      <c r="S288" s="11"/>
      <c r="T288" s="11"/>
      <c r="U288" s="11"/>
    </row>
    <row r="289" spans="1:21">
      <c r="A289" s="20"/>
      <c r="B289" s="11"/>
      <c r="C289" s="11"/>
      <c r="D289" s="11"/>
      <c r="E289" s="11"/>
      <c r="G289" s="11"/>
      <c r="H289" s="20"/>
      <c r="I289" s="11"/>
      <c r="J289" s="11"/>
      <c r="K289" s="11"/>
      <c r="L289" s="11"/>
      <c r="N289" s="11"/>
      <c r="O289" s="20"/>
      <c r="P289" s="11"/>
      <c r="Q289" s="11"/>
      <c r="R289" s="11"/>
      <c r="S289" s="11"/>
      <c r="T289" s="11"/>
      <c r="U289" s="11"/>
    </row>
    <row r="290" spans="1:21">
      <c r="A290" s="20"/>
      <c r="B290" s="11"/>
      <c r="C290" s="11"/>
      <c r="D290" s="11"/>
      <c r="E290" s="11"/>
      <c r="F290" s="11"/>
      <c r="G290" s="11"/>
      <c r="H290" s="20"/>
      <c r="I290" s="11"/>
      <c r="J290" s="11"/>
      <c r="K290" s="11"/>
      <c r="L290" s="11"/>
      <c r="M290" s="11"/>
      <c r="N290" s="11"/>
      <c r="O290" s="20"/>
      <c r="P290" s="11"/>
      <c r="Q290" s="11"/>
      <c r="R290" s="11"/>
      <c r="S290" s="11"/>
      <c r="T290" s="20"/>
      <c r="U290" s="11"/>
    </row>
    <row r="291" spans="1:21">
      <c r="A291" s="20"/>
      <c r="B291" s="11"/>
      <c r="C291" s="11"/>
      <c r="D291" s="11"/>
      <c r="E291" s="11"/>
      <c r="F291" s="11"/>
      <c r="G291" s="11"/>
      <c r="H291" s="20"/>
      <c r="I291" s="11"/>
      <c r="J291" s="11"/>
      <c r="K291" s="11"/>
      <c r="L291" s="11"/>
      <c r="M291" s="11"/>
      <c r="N291" s="11"/>
      <c r="O291" s="20"/>
      <c r="P291" s="11"/>
      <c r="Q291" s="11"/>
      <c r="R291" s="11"/>
      <c r="S291" s="11"/>
      <c r="T291" s="20"/>
      <c r="U291" s="11"/>
    </row>
    <row r="292" spans="1:21">
      <c r="A292" s="20"/>
      <c r="B292" s="11"/>
      <c r="C292" s="11"/>
      <c r="D292" s="11"/>
      <c r="E292" s="11"/>
      <c r="F292" s="20"/>
      <c r="G292" s="11"/>
      <c r="H292" s="20"/>
      <c r="I292" s="11"/>
      <c r="J292" s="11"/>
      <c r="K292" s="11"/>
      <c r="L292" s="11"/>
      <c r="M292" s="20"/>
      <c r="N292" s="11"/>
      <c r="O292" s="20"/>
      <c r="P292" s="11"/>
      <c r="Q292" s="11"/>
      <c r="R292" s="11"/>
      <c r="S292" s="11"/>
      <c r="T292" s="20"/>
      <c r="U292" s="11"/>
    </row>
    <row r="293" spans="1:14">
      <c r="A293" s="20"/>
      <c r="B293" s="11"/>
      <c r="C293" s="11"/>
      <c r="D293" s="11"/>
      <c r="E293" s="11"/>
      <c r="F293" s="20"/>
      <c r="G293" s="11"/>
      <c r="H293" s="20"/>
      <c r="I293" s="11"/>
      <c r="J293" s="11"/>
      <c r="K293" s="11"/>
      <c r="L293" s="11"/>
      <c r="M293" s="20"/>
      <c r="N293" s="11"/>
    </row>
    <row r="294" spans="1:14">
      <c r="A294" s="20"/>
      <c r="B294" s="11"/>
      <c r="C294" s="11"/>
      <c r="D294" s="11"/>
      <c r="E294" s="11"/>
      <c r="F294" s="20"/>
      <c r="G294" s="11"/>
      <c r="H294" s="20"/>
      <c r="I294" s="11"/>
      <c r="J294" s="11"/>
      <c r="K294" s="11"/>
      <c r="L294" s="11"/>
      <c r="M294" s="20"/>
      <c r="N294" s="11"/>
    </row>
  </sheetData>
  <mergeCells count="2">
    <mergeCell ref="I24:L24"/>
    <mergeCell ref="T35:U35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4"/>
  <sheetViews>
    <sheetView topLeftCell="A37" workbookViewId="0">
      <selection activeCell="V61" sqref="V61"/>
    </sheetView>
  </sheetViews>
  <sheetFormatPr defaultColWidth="7.625" defaultRowHeight="15"/>
  <cols>
    <col min="1" max="21" width="8.625" style="17" customWidth="1"/>
    <col min="22" max="22" width="8.625" style="30" customWidth="1"/>
    <col min="23" max="23" width="8.625" style="36" customWidth="1"/>
    <col min="24" max="28" width="8.625" style="17" customWidth="1"/>
    <col min="29" max="29" width="7.625" style="17"/>
    <col min="30" max="16384" width="7.625" style="14"/>
  </cols>
  <sheetData>
    <row r="1" customHeight="1" spans="1:26">
      <c r="A1" s="11" t="str">
        <f>木桩!A1</f>
        <v>技能</v>
      </c>
      <c r="B1" s="11" t="str">
        <f>木桩!B1</f>
        <v>怒气</v>
      </c>
      <c r="C1" s="11" t="str">
        <f>木桩!C1</f>
        <v>实际系数</v>
      </c>
      <c r="D1" s="11" t="str">
        <f>木桩!D1</f>
        <v>基础伤害</v>
      </c>
      <c r="E1" s="11" t="str">
        <f>木桩!E1</f>
        <v>武伤系数</v>
      </c>
      <c r="F1" s="11" t="str">
        <f>木桩!F1</f>
        <v>伤害加成</v>
      </c>
      <c r="G1" s="11" t="str">
        <f>木桩!G1</f>
        <v>会心加成</v>
      </c>
      <c r="H1" s="11" t="str">
        <f>木桩!H1</f>
        <v>会效加成</v>
      </c>
      <c r="I1" s="11" t="s">
        <v>278</v>
      </c>
      <c r="J1" s="11" t="s">
        <v>26</v>
      </c>
      <c r="K1" s="11" t="s">
        <v>279</v>
      </c>
      <c r="L1" s="11" t="s">
        <v>36</v>
      </c>
      <c r="M1" s="11" t="s">
        <v>205</v>
      </c>
      <c r="N1" s="11" t="s">
        <v>15</v>
      </c>
      <c r="O1" s="11" t="s">
        <v>16</v>
      </c>
      <c r="P1" s="7" t="s">
        <v>280</v>
      </c>
      <c r="Q1" s="11" t="s">
        <v>75</v>
      </c>
      <c r="R1" s="11" t="s">
        <v>212</v>
      </c>
      <c r="S1" s="11" t="s">
        <v>213</v>
      </c>
      <c r="T1" s="20" t="s">
        <v>281</v>
      </c>
      <c r="U1" s="37" t="str">
        <f t="shared" ref="U1:V17" si="0">Y1</f>
        <v>实战属性</v>
      </c>
      <c r="V1" s="20"/>
      <c r="W1" s="41" t="str">
        <f>属性!H5</f>
        <v>裸buff属性</v>
      </c>
      <c r="X1" s="46"/>
      <c r="Y1" s="41" t="s">
        <v>197</v>
      </c>
      <c r="Z1" s="46"/>
    </row>
    <row r="2" customHeight="1" spans="1:27">
      <c r="A2" s="12" t="str">
        <f>木桩!A2</f>
        <v>昆吾·弦刃</v>
      </c>
      <c r="B2" s="11">
        <f>木桩!B2</f>
        <v>0</v>
      </c>
      <c r="C2" s="11">
        <f>木桩!C2</f>
        <v>0.854</v>
      </c>
      <c r="D2" s="11">
        <f>木桩!D2</f>
        <v>0</v>
      </c>
      <c r="E2" s="13">
        <f>木桩!E2</f>
        <v>0</v>
      </c>
      <c r="F2" s="13">
        <f ca="1">木桩!F2+Q$23</f>
        <v>0.0101333333333333</v>
      </c>
      <c r="G2" s="13">
        <f>木桩!G2</f>
        <v>0</v>
      </c>
      <c r="H2" s="13">
        <f>木桩!H2</f>
        <v>0</v>
      </c>
      <c r="I2" s="21">
        <f ca="1">(N:N*C:C+D:D+E:E*Q:Q)*(1+F:F)*(K:K*(L:L+H:H-1)+1-R:R-0.75*S:S)*(1+M:M)*INDEX($O$25:$O$29,MATCH($Q$27,$M$25:$M$29,))</f>
        <v>41934.4893782447</v>
      </c>
      <c r="J2" s="13">
        <f ca="1" t="shared" ref="J2:J18" si="1">INDEX(V:V,MATCH($1:$1,$U:$U,))+$G:$G</f>
        <v>0.433665199880085</v>
      </c>
      <c r="K2" s="15">
        <f ca="1" t="shared" ref="K2:K8" si="2">J:J+(0.211855500496661*J:J^6-0.937563819411654*J:J^5+1.77483619127542*J:J^4-1.89647323402313*J:J^3+1.2737744963305*J:J^2-0.565275505039552*J:J+0.164596522595162)*$D$28</f>
        <v>0.487805126715561</v>
      </c>
      <c r="L2" s="13">
        <f ca="1">INDEX(V2:V17,MATCH(1:1,U2:U17,))</f>
        <v>1.9433</v>
      </c>
      <c r="M2" s="13">
        <f ca="1">INDEX(V2:V17,MATCH(1:1,U2:U17,))</f>
        <v>0.902992590034019</v>
      </c>
      <c r="N2" s="21">
        <f ca="1">INDEX(V2:V17,MATCH(1:1,U2:U17,))+O:O*P:P</f>
        <v>17965.8209384615</v>
      </c>
      <c r="O2" s="21">
        <f ca="1">INDEX(V2:V17,MATCH(1:1,U2:U17,))</f>
        <v>7522.72307692308</v>
      </c>
      <c r="P2" s="40">
        <f t="shared" ref="P2:P8" si="3">60%+D$32*0.2*6/25+60%*(25+6*D$32)*(1+H$28)/H$27</f>
        <v>0.772</v>
      </c>
      <c r="Q2" s="21">
        <f ca="1">INDEX(V2:V17,MATCH(1:1,U2:U17,))</f>
        <v>751.1</v>
      </c>
      <c r="R2" s="13">
        <f ca="1">INDEX(V2:V17,MATCH(1:1,U2:U17,))</f>
        <v>0</v>
      </c>
      <c r="S2" s="13">
        <f ca="1">INDEX(V2:V17,MATCH(1:1,U2:U17,))</f>
        <v>0</v>
      </c>
      <c r="T2" s="20">
        <f>实战!T2</f>
        <v>45</v>
      </c>
      <c r="U2" s="20" t="str">
        <f t="shared" si="0"/>
        <v>身法</v>
      </c>
      <c r="V2" s="20">
        <f ca="1" t="shared" si="0"/>
        <v>1970.1</v>
      </c>
      <c r="W2" s="17" t="str">
        <f>属性!H6</f>
        <v>身法</v>
      </c>
      <c r="X2" s="17">
        <f>属性!I6</f>
        <v>1749</v>
      </c>
      <c r="Y2" s="17" t="s">
        <v>6</v>
      </c>
      <c r="Z2" s="17">
        <f ca="1">Z3*(1+G23)</f>
        <v>1970.1</v>
      </c>
      <c r="AA2" s="23"/>
    </row>
    <row r="3" customHeight="1" spans="1:27">
      <c r="A3" s="12" t="str">
        <f>木桩!A3</f>
        <v>昆吾·折锋</v>
      </c>
      <c r="B3" s="11">
        <f>木桩!B3</f>
        <v>0</v>
      </c>
      <c r="C3" s="14">
        <f>木桩!C3</f>
        <v>0.338</v>
      </c>
      <c r="D3" s="11">
        <f>木桩!D3</f>
        <v>0</v>
      </c>
      <c r="E3" s="13">
        <f>木桩!E3</f>
        <v>0</v>
      </c>
      <c r="F3" s="13">
        <f ca="1">木桩!F3+Q$23</f>
        <v>0.0101333333333333</v>
      </c>
      <c r="G3" s="13">
        <f>木桩!G3</f>
        <v>0</v>
      </c>
      <c r="H3" s="13">
        <f>木桩!H3</f>
        <v>0</v>
      </c>
      <c r="I3" s="21">
        <f ca="1" t="shared" ref="I3:I18" si="4">(N:N*C:C+D:D+E:E*Q:Q)*(1+F:F)*(K:K*(L:L+H:H-1)+1-R:R-0.75*S:S)*(1+M:M)*INDEX($O$25:$O$29,MATCH($Q$27,$M$25:$M$29,))</f>
        <v>16597.0227281578</v>
      </c>
      <c r="J3" s="13">
        <f ca="1" t="shared" si="1"/>
        <v>0.433665199880085</v>
      </c>
      <c r="K3" s="15">
        <f ca="1" t="shared" si="2"/>
        <v>0.487805126715561</v>
      </c>
      <c r="L3" s="13">
        <f ca="1">INDEX(V2:V17,MATCH(1:1,U2:U17,))</f>
        <v>1.9433</v>
      </c>
      <c r="M3" s="13">
        <f ca="1">INDEX(V2:V17,MATCH(1:1,U2:U17,))</f>
        <v>0.902992590034019</v>
      </c>
      <c r="N3" s="21">
        <f ca="1">INDEX(V2:V17,MATCH(1:1,U2:U17,))+O:O*P:P</f>
        <v>17965.8209384615</v>
      </c>
      <c r="O3" s="21">
        <f ca="1">INDEX(V2:V17,MATCH(1:1,U2:U17,))</f>
        <v>7522.72307692308</v>
      </c>
      <c r="P3" s="40">
        <f t="shared" si="3"/>
        <v>0.772</v>
      </c>
      <c r="Q3" s="21">
        <f ca="1">INDEX(V2:V17,MATCH(1:1,U2:U17,))</f>
        <v>751.1</v>
      </c>
      <c r="R3" s="13">
        <f ca="1">INDEX(V2:V17,MATCH(1:1,U2:U17,))</f>
        <v>0</v>
      </c>
      <c r="S3" s="13">
        <f ca="1">INDEX(V2:V17,MATCH(1:1,U2:U17,))</f>
        <v>0</v>
      </c>
      <c r="T3" s="20">
        <f>实战!T3</f>
        <v>20</v>
      </c>
      <c r="U3" s="20" t="str">
        <f t="shared" si="0"/>
        <v>基础身法</v>
      </c>
      <c r="V3" s="20">
        <f ca="1" t="shared" si="0"/>
        <v>1791</v>
      </c>
      <c r="W3" s="17" t="str">
        <f>属性!H7</f>
        <v>基础身法</v>
      </c>
      <c r="X3" s="17">
        <f>属性!I7</f>
        <v>1590</v>
      </c>
      <c r="Y3" s="17" t="s">
        <v>201</v>
      </c>
      <c r="Z3" s="17">
        <f ca="1">X3+G21</f>
        <v>1791</v>
      </c>
      <c r="AA3" s="23"/>
    </row>
    <row r="4" customHeight="1" spans="1:27">
      <c r="A4" s="12" t="str">
        <f>木桩!A4</f>
        <v>盾刀1</v>
      </c>
      <c r="B4" s="11">
        <f>木桩!B4</f>
        <v>5</v>
      </c>
      <c r="C4" s="11">
        <f>木桩!C4</f>
        <v>0.656</v>
      </c>
      <c r="D4" s="11">
        <f>木桩!D4</f>
        <v>137.5</v>
      </c>
      <c r="E4" s="13">
        <f>木桩!E4</f>
        <v>1</v>
      </c>
      <c r="F4" s="13">
        <f ca="1">木桩!F4+Q$23</f>
        <v>0.130133333333333</v>
      </c>
      <c r="G4" s="13">
        <f>木桩!G4</f>
        <v>0</v>
      </c>
      <c r="H4" s="13">
        <f>木桩!H4</f>
        <v>0</v>
      </c>
      <c r="I4" s="21">
        <f ca="1" t="shared" si="4"/>
        <v>38755.8462376809</v>
      </c>
      <c r="J4" s="13">
        <f ca="1" t="shared" si="1"/>
        <v>0.433665199880085</v>
      </c>
      <c r="K4" s="15">
        <f ca="1" t="shared" si="2"/>
        <v>0.487805126715561</v>
      </c>
      <c r="L4" s="13">
        <f ca="1">INDEX(V2:V17,MATCH(1:1,U2:U17,))</f>
        <v>1.9433</v>
      </c>
      <c r="M4" s="13">
        <f ca="1">INDEX(V2:V17,MATCH(1:1,U2:U17,))</f>
        <v>0.902992590034019</v>
      </c>
      <c r="N4" s="21">
        <f ca="1">INDEX(V2:V17,MATCH(1:1,U2:U17,))+O:O*P:P</f>
        <v>17965.8209384615</v>
      </c>
      <c r="O4" s="21">
        <f ca="1">INDEX(V2:V17,MATCH(1:1,U2:U17,))</f>
        <v>7522.72307692308</v>
      </c>
      <c r="P4" s="40">
        <f t="shared" si="3"/>
        <v>0.772</v>
      </c>
      <c r="Q4" s="21">
        <f ca="1">INDEX(V2:V17,MATCH(1:1,U2:U17,))</f>
        <v>751.1</v>
      </c>
      <c r="R4" s="13">
        <f ca="1">INDEX(V2:V17,MATCH(1:1,U2:U17,))</f>
        <v>0</v>
      </c>
      <c r="S4" s="13">
        <f ca="1">INDEX(V2:V17,MATCH(1:1,U2:U17,))</f>
        <v>0</v>
      </c>
      <c r="T4" s="20">
        <f>1-Q25/16</f>
        <v>0.9375</v>
      </c>
      <c r="U4" s="20" t="str">
        <f t="shared" si="0"/>
        <v>力道</v>
      </c>
      <c r="V4" s="20">
        <f ca="1" t="shared" si="0"/>
        <v>84</v>
      </c>
      <c r="W4" s="17" t="str">
        <f>属性!H8</f>
        <v>力道</v>
      </c>
      <c r="X4" s="17">
        <f>属性!I8</f>
        <v>32</v>
      </c>
      <c r="Y4" s="17" t="s">
        <v>191</v>
      </c>
      <c r="Z4" s="17">
        <f ca="1">(X4+H21)*(1+H23)</f>
        <v>84</v>
      </c>
      <c r="AA4" s="23"/>
    </row>
    <row r="5" customHeight="1" spans="1:27">
      <c r="A5" s="12" t="str">
        <f>木桩!A5</f>
        <v>废弃栏</v>
      </c>
      <c r="B5" s="11">
        <f>木桩!B5</f>
        <v>5</v>
      </c>
      <c r="C5" s="11">
        <f>木桩!C5</f>
        <v>0.9375</v>
      </c>
      <c r="D5" s="11">
        <f>木桩!D5</f>
        <v>137.5</v>
      </c>
      <c r="E5" s="13">
        <f>木桩!E5</f>
        <v>1</v>
      </c>
      <c r="F5" s="13">
        <f ca="1">木桩!F5+Q$23</f>
        <v>0.130133333333333</v>
      </c>
      <c r="G5" s="13">
        <f>木桩!G5</f>
        <v>0</v>
      </c>
      <c r="H5" s="13">
        <f>木桩!H5</f>
        <v>0</v>
      </c>
      <c r="I5" s="21">
        <f ca="1" t="shared" si="4"/>
        <v>54220.5950267751</v>
      </c>
      <c r="J5" s="13">
        <f ca="1" t="shared" si="1"/>
        <v>0.433665199880085</v>
      </c>
      <c r="K5" s="15">
        <f ca="1" t="shared" si="2"/>
        <v>0.487805126715561</v>
      </c>
      <c r="L5" s="13">
        <f ca="1">INDEX(V2:V17,MATCH(1:1,U2:U17,))</f>
        <v>1.9433</v>
      </c>
      <c r="M5" s="13">
        <f ca="1">INDEX(V2:V17,MATCH(1:1,U2:U17,))</f>
        <v>0.902992590034019</v>
      </c>
      <c r="N5" s="21">
        <f ca="1">INDEX(V2:V17,MATCH(1:1,U2:U17,))+O:O*P:P</f>
        <v>17965.8209384615</v>
      </c>
      <c r="O5" s="21">
        <f ca="1">INDEX(V2:V17,MATCH(1:1,U2:U17,))</f>
        <v>7522.72307692308</v>
      </c>
      <c r="P5" s="40">
        <f t="shared" si="3"/>
        <v>0.772</v>
      </c>
      <c r="Q5" s="21">
        <f ca="1">INDEX(V2:V17,MATCH(1:1,U2:U17,))</f>
        <v>751.1</v>
      </c>
      <c r="R5" s="13">
        <f ca="1">INDEX(V2:V17,MATCH(1:1,U2:U17,))</f>
        <v>0</v>
      </c>
      <c r="S5" s="13">
        <f ca="1">INDEX(V2:V17,MATCH(1:1,U2:U17,))</f>
        <v>0</v>
      </c>
      <c r="T5" s="20">
        <f>1-Q26/16</f>
        <v>0.875</v>
      </c>
      <c r="U5" s="20" t="str">
        <f t="shared" si="0"/>
        <v>面板攻击</v>
      </c>
      <c r="V5" s="20">
        <f ca="1" t="shared" si="0"/>
        <v>12158.2787230769</v>
      </c>
      <c r="W5" s="17" t="str">
        <f>属性!H9</f>
        <v>面板攻击</v>
      </c>
      <c r="X5" s="17">
        <f>属性!I9</f>
        <v>12484</v>
      </c>
      <c r="Y5" s="17" t="s">
        <v>15</v>
      </c>
      <c r="Z5" s="17">
        <f ca="1">Z6*(1+I23)+Z2*L26</f>
        <v>12158.2787230769</v>
      </c>
      <c r="AA5" s="23"/>
    </row>
    <row r="6" customHeight="1" spans="1:27">
      <c r="A6" s="12" t="str">
        <f>木桩!A6</f>
        <v>盾击</v>
      </c>
      <c r="B6" s="11">
        <f>木桩!B6</f>
        <v>5</v>
      </c>
      <c r="C6" s="11">
        <f>木桩!C6</f>
        <v>0.625</v>
      </c>
      <c r="D6" s="11">
        <f>木桩!D6</f>
        <v>109</v>
      </c>
      <c r="E6" s="13">
        <f>木桩!E6</f>
        <v>1</v>
      </c>
      <c r="F6" s="13">
        <f ca="1">木桩!F6+Q$23</f>
        <v>0.0101333333333333</v>
      </c>
      <c r="G6" s="13">
        <f>木桩!G6</f>
        <v>0</v>
      </c>
      <c r="H6" s="13">
        <f>木桩!H6</f>
        <v>0</v>
      </c>
      <c r="I6" s="21">
        <f ca="1" t="shared" si="4"/>
        <v>33040.5592687874</v>
      </c>
      <c r="J6" s="13">
        <f ca="1" t="shared" si="1"/>
        <v>0.433665199880085</v>
      </c>
      <c r="K6" s="15">
        <f ca="1" t="shared" si="2"/>
        <v>0.487805126715561</v>
      </c>
      <c r="L6" s="13">
        <f ca="1">INDEX(V2:V17,MATCH(1:1,U2:U17,))</f>
        <v>1.9433</v>
      </c>
      <c r="M6" s="13">
        <f ca="1">INDEX(V2:V17,MATCH(1:1,U2:U17,))</f>
        <v>0.902992590034019</v>
      </c>
      <c r="N6" s="21">
        <f ca="1">INDEX(V2:V17,MATCH(1:1,U2:U17,))+O:O*P:P</f>
        <v>17965.8209384615</v>
      </c>
      <c r="O6" s="21">
        <f ca="1">INDEX(V2:V17,MATCH(1:1,U2:U17,))</f>
        <v>7522.72307692308</v>
      </c>
      <c r="P6" s="40">
        <f t="shared" si="3"/>
        <v>0.772</v>
      </c>
      <c r="Q6" s="21">
        <f ca="1">INDEX(V2:V17,MATCH(1:1,U2:U17,))</f>
        <v>751.1</v>
      </c>
      <c r="R6" s="13">
        <f ca="1">INDEX(V2:V17,MATCH(1:1,U2:U17,))</f>
        <v>0</v>
      </c>
      <c r="S6" s="13">
        <f ca="1">INDEX(V2:V17,MATCH(1:1,U2:U17,))</f>
        <v>0</v>
      </c>
      <c r="T6" s="20">
        <f>1-Q25/16</f>
        <v>0.9375</v>
      </c>
      <c r="U6" s="20" t="str">
        <f t="shared" si="0"/>
        <v>基础攻击</v>
      </c>
      <c r="V6" s="20">
        <f ca="1" t="shared" si="0"/>
        <v>7522.72307692308</v>
      </c>
      <c r="W6" s="17" t="str">
        <f>属性!H10</f>
        <v>基础攻击</v>
      </c>
      <c r="X6" s="17">
        <f>属性!I10</f>
        <v>7315.92307692308</v>
      </c>
      <c r="Y6" s="17" t="s">
        <v>16</v>
      </c>
      <c r="Z6" s="17">
        <f ca="1">X6+I21+L28*(Z4-X4)</f>
        <v>7522.72307692308</v>
      </c>
      <c r="AA6" s="23"/>
    </row>
    <row r="7" customHeight="1" spans="1:27">
      <c r="A7" s="12" t="str">
        <f>木桩!A7</f>
        <v>盾压</v>
      </c>
      <c r="B7" s="11">
        <f>木桩!B7</f>
        <v>15</v>
      </c>
      <c r="C7" s="11">
        <f>木桩!C7</f>
        <v>1.243</v>
      </c>
      <c r="D7" s="11">
        <f>木桩!D7</f>
        <v>211</v>
      </c>
      <c r="E7" s="13">
        <f>木桩!E7</f>
        <v>1</v>
      </c>
      <c r="F7" s="13">
        <f ca="1">木桩!F7+Q$23</f>
        <v>0.200133333333333</v>
      </c>
      <c r="G7" s="13">
        <f>木桩!G7</f>
        <v>0.07</v>
      </c>
      <c r="H7" s="13">
        <f>木桩!H7</f>
        <v>0</v>
      </c>
      <c r="I7" s="21">
        <f ca="1" t="shared" si="4"/>
        <v>78760.6198833109</v>
      </c>
      <c r="J7" s="13">
        <f ca="1" t="shared" si="1"/>
        <v>0.503665199880085</v>
      </c>
      <c r="K7" s="15">
        <f ca="1" t="shared" si="2"/>
        <v>0.551656521857724</v>
      </c>
      <c r="L7" s="13">
        <f ca="1">INDEX(V2:V17,MATCH(1:1,U2:U17,))</f>
        <v>1.9433</v>
      </c>
      <c r="M7" s="13">
        <f ca="1">INDEX(V2:V17,MATCH(1:1,U2:U17,))</f>
        <v>0.902992590034019</v>
      </c>
      <c r="N7" s="21">
        <f ca="1">INDEX(V2:V17,MATCH(1:1,U2:U17,))+O:O*P:P</f>
        <v>17965.8209384615</v>
      </c>
      <c r="O7" s="21">
        <f ca="1">INDEX(V2:V17,MATCH(1:1,U2:U17,))</f>
        <v>7522.72307692308</v>
      </c>
      <c r="P7" s="40">
        <f t="shared" si="3"/>
        <v>0.772</v>
      </c>
      <c r="Q7" s="21">
        <f ca="1">INDEX(V2:V17,MATCH(1:1,U2:U17,))</f>
        <v>751.1</v>
      </c>
      <c r="R7" s="13">
        <f ca="1">INDEX(V2:V17,MATCH(1:1,U2:U17,))</f>
        <v>0</v>
      </c>
      <c r="S7" s="13">
        <f ca="1">INDEX(V2:V17,MATCH(1:1,U2:U17,))</f>
        <v>0</v>
      </c>
      <c r="T7" s="20">
        <f>1.5-Q24/16</f>
        <v>1.375</v>
      </c>
      <c r="U7" s="20" t="str">
        <f t="shared" si="0"/>
        <v>会心</v>
      </c>
      <c r="V7" s="20">
        <f ca="1" t="shared" si="0"/>
        <v>0.433665199880085</v>
      </c>
      <c r="W7" s="17" t="str">
        <f>属性!H11</f>
        <v>会心</v>
      </c>
      <c r="X7" s="17">
        <f>属性!I11</f>
        <v>0.2668</v>
      </c>
      <c r="Y7" s="17" t="s">
        <v>26</v>
      </c>
      <c r="Z7" s="17">
        <f ca="1">X7+K21/J25+(Z2-X2)*L29/J25+K23</f>
        <v>0.433665199880085</v>
      </c>
      <c r="AA7" s="23"/>
    </row>
    <row r="8" customHeight="1" spans="1:27">
      <c r="A8" s="12" t="str">
        <f>木桩!A8</f>
        <v>盾猛</v>
      </c>
      <c r="B8" s="11">
        <f>木桩!B8</f>
        <v>15</v>
      </c>
      <c r="C8" s="11">
        <f>木桩!C8</f>
        <v>2.4525</v>
      </c>
      <c r="D8" s="11">
        <f>木桩!D8</f>
        <v>340</v>
      </c>
      <c r="E8" s="13">
        <f>木桩!E8</f>
        <v>1</v>
      </c>
      <c r="F8" s="13">
        <f ca="1">木桩!F8+Q$23</f>
        <v>0.0101333333333333</v>
      </c>
      <c r="G8" s="13">
        <f>木桩!G8</f>
        <v>0.1</v>
      </c>
      <c r="H8" s="13">
        <f>木桩!H8</f>
        <v>0.1</v>
      </c>
      <c r="I8" s="21">
        <f ca="1" t="shared" si="4"/>
        <v>135607.509868206</v>
      </c>
      <c r="J8" s="13">
        <f ca="1" t="shared" si="1"/>
        <v>0.533665199880085</v>
      </c>
      <c r="K8" s="15">
        <f ca="1" t="shared" si="2"/>
        <v>0.579391677895563</v>
      </c>
      <c r="L8" s="13">
        <f ca="1">INDEX(V2:V17,MATCH(1:1,U2:U17,))</f>
        <v>1.9433</v>
      </c>
      <c r="M8" s="13">
        <f ca="1">INDEX(V2:V17,MATCH(1:1,U2:U17,))</f>
        <v>0.902992590034019</v>
      </c>
      <c r="N8" s="21">
        <f ca="1">INDEX(V2:V17,MATCH(1:1,U2:U17,))+O:O*P:P</f>
        <v>17965.8209384615</v>
      </c>
      <c r="O8" s="21">
        <f ca="1">INDEX(V2:V17,MATCH(1:1,U2:U17,))</f>
        <v>7522.72307692308</v>
      </c>
      <c r="P8" s="40">
        <f t="shared" si="3"/>
        <v>0.772</v>
      </c>
      <c r="Q8" s="21">
        <f ca="1">INDEX(V2:V17,MATCH(1:1,U2:U17,))</f>
        <v>751.1</v>
      </c>
      <c r="R8" s="13">
        <f ca="1">INDEX(V2:V17,MATCH(1:1,U2:U17,))</f>
        <v>0</v>
      </c>
      <c r="S8" s="13">
        <f ca="1">INDEX(V2:V17,MATCH(1:1,U2:U17,))</f>
        <v>0</v>
      </c>
      <c r="T8" s="20">
        <f>1.5-Q24/16</f>
        <v>1.375</v>
      </c>
      <c r="U8" s="20" t="str">
        <f t="shared" si="0"/>
        <v>会效</v>
      </c>
      <c r="V8" s="20">
        <f ca="1" t="shared" si="0"/>
        <v>1.9433</v>
      </c>
      <c r="W8" s="17" t="str">
        <f>属性!H12</f>
        <v>会效</v>
      </c>
      <c r="X8" s="17">
        <f>属性!I12</f>
        <v>1.8533</v>
      </c>
      <c r="Y8" s="17" t="s">
        <v>36</v>
      </c>
      <c r="Z8" s="17">
        <f ca="1">X8+(L21+(Z2-X2)*L30)/J26+L23</f>
        <v>1.9433</v>
      </c>
      <c r="AA8" s="23"/>
    </row>
    <row r="9" customHeight="1" spans="1:27">
      <c r="A9" s="12" t="str">
        <f>木桩!A9</f>
        <v>盾飞</v>
      </c>
      <c r="B9" s="11">
        <f>木桩!B9</f>
        <v>0</v>
      </c>
      <c r="C9" s="11">
        <f>木桩!C9</f>
        <v>0.168</v>
      </c>
      <c r="D9" s="11">
        <f>木桩!D9</f>
        <v>25</v>
      </c>
      <c r="E9" s="13">
        <f>木桩!E9</f>
        <v>1</v>
      </c>
      <c r="F9" s="13">
        <f ca="1">木桩!F9+Q$23</f>
        <v>0.130133333333333</v>
      </c>
      <c r="G9" s="13">
        <f>木桩!G9</f>
        <v>0.05</v>
      </c>
      <c r="H9" s="13">
        <f>木桩!H9</f>
        <v>0</v>
      </c>
      <c r="I9" s="21">
        <f ca="1" t="shared" si="4"/>
        <v>12530.9544032437</v>
      </c>
      <c r="J9" s="13">
        <f ca="1" t="shared" si="1"/>
        <v>0.483665199880085</v>
      </c>
      <c r="K9" s="15">
        <f ca="1" t="shared" ref="K9:K14" si="5">J:J+K$19</f>
        <v>0.532106492123557</v>
      </c>
      <c r="L9" s="13">
        <f ca="1">INDEX(V2:V17,MATCH(1:1,U2:U17,))</f>
        <v>1.9433</v>
      </c>
      <c r="M9" s="13">
        <f ca="1">INDEX(V2:V17,MATCH(1:1,U2:U17,))</f>
        <v>0.902992590034019</v>
      </c>
      <c r="N9" s="21">
        <f ca="1">INDEX(V2:V17,MATCH(1:1,U2:U17,))+O:O*P:P</f>
        <v>19094.2294</v>
      </c>
      <c r="O9" s="21">
        <f ca="1">INDEX(V2:V17,MATCH(1:1,U2:U17,))</f>
        <v>7522.72307692308</v>
      </c>
      <c r="P9" s="40">
        <f t="shared" ref="P9:P14" si="6">60%+D$32*0.2*6/25+0.15*D$21+60%*(25+6*D$32)*(1+H$28)/H$27</f>
        <v>0.922</v>
      </c>
      <c r="Q9" s="21">
        <f ca="1">INDEX(V2:V17,MATCH(1:1,U2:U17,))</f>
        <v>751.1</v>
      </c>
      <c r="R9" s="13">
        <f ca="1">INDEX(V2:V17,MATCH(1:1,U2:U17,))</f>
        <v>0</v>
      </c>
      <c r="S9" s="13">
        <f ca="1">INDEX(V2:V17,MATCH(1:1,U2:U17,))</f>
        <v>0</v>
      </c>
      <c r="T9" s="20">
        <f>1.5-Q24/16</f>
        <v>1.375</v>
      </c>
      <c r="U9" s="20" t="str">
        <f t="shared" si="0"/>
        <v>破防值</v>
      </c>
      <c r="V9" s="20">
        <f ca="1">Z9</f>
        <v>13855.6989</v>
      </c>
      <c r="W9" s="17" t="str">
        <f>属性!H13</f>
        <v>破防值</v>
      </c>
      <c r="X9" s="17">
        <f>属性!I13</f>
        <v>7718.1326</v>
      </c>
      <c r="Y9" s="17" t="s">
        <v>206</v>
      </c>
      <c r="Z9" s="17">
        <f ca="1">Z10*(1+O23)</f>
        <v>13855.6989</v>
      </c>
      <c r="AA9" s="23"/>
    </row>
    <row r="10" customHeight="1" spans="1:27">
      <c r="A10" s="12" t="str">
        <f>木桩!A10</f>
        <v>劫刀</v>
      </c>
      <c r="B10" s="11">
        <f>木桩!B10</f>
        <v>-5</v>
      </c>
      <c r="C10" s="11">
        <f>木桩!C10</f>
        <v>1.1</v>
      </c>
      <c r="D10" s="11">
        <f>木桩!D10</f>
        <v>124.5</v>
      </c>
      <c r="E10" s="13">
        <f>木桩!E10</f>
        <v>1</v>
      </c>
      <c r="F10" s="13">
        <f ca="1">木桩!F10+Q$23</f>
        <v>0.230133333333333</v>
      </c>
      <c r="G10" s="13">
        <f>木桩!G10</f>
        <v>0.15</v>
      </c>
      <c r="H10" s="13">
        <f>木桩!H10</f>
        <v>0.15</v>
      </c>
      <c r="I10" s="21">
        <f ca="1" t="shared" si="4"/>
        <v>84341.360579632</v>
      </c>
      <c r="J10" s="13">
        <f ca="1" t="shared" si="1"/>
        <v>0.583665199880085</v>
      </c>
      <c r="K10" s="15">
        <f ca="1" t="shared" si="5"/>
        <v>0.632106492123557</v>
      </c>
      <c r="L10" s="13">
        <f ca="1">INDEX(V2:V17,MATCH(1:1,U2:U17,))</f>
        <v>1.9433</v>
      </c>
      <c r="M10" s="13">
        <f ca="1">INDEX(V2:V17,MATCH(1:1,U2:U17,))</f>
        <v>0.902992590034019</v>
      </c>
      <c r="N10" s="21">
        <f ca="1">INDEX(V2:V17,MATCH(1:1,U2:U17,))+O:O*P:P</f>
        <v>19094.2294</v>
      </c>
      <c r="O10" s="21">
        <f ca="1">INDEX(V2:V17,MATCH(1:1,U2:U17,))</f>
        <v>7522.72307692308</v>
      </c>
      <c r="P10" s="40">
        <f t="shared" si="6"/>
        <v>0.922</v>
      </c>
      <c r="Q10" s="21">
        <f ca="1">INDEX(V2:V17,MATCH(1:1,U2:U17,))</f>
        <v>751.1</v>
      </c>
      <c r="R10" s="13">
        <f ca="1">INDEX(V2:V17,MATCH(1:1,U2:U17,))</f>
        <v>0</v>
      </c>
      <c r="S10" s="13">
        <f ca="1">INDEX(V2:V17,MATCH(1:1,U2:U17,))</f>
        <v>0</v>
      </c>
      <c r="T10" s="20">
        <f>1.5-Q24/16</f>
        <v>1.375</v>
      </c>
      <c r="U10" s="20" t="str">
        <f t="shared" si="0"/>
        <v>基础破防</v>
      </c>
      <c r="V10" s="20">
        <f ca="1">Z10</f>
        <v>9237.1326</v>
      </c>
      <c r="W10" s="17" t="str">
        <f>属性!H14</f>
        <v>基础破防</v>
      </c>
      <c r="X10" s="17">
        <f>属性!I14</f>
        <v>7718.1326</v>
      </c>
      <c r="Y10" s="17" t="s">
        <v>47</v>
      </c>
      <c r="Z10" s="17">
        <f ca="1">X10+O21+(Z4-X4)*L27</f>
        <v>9237.1326</v>
      </c>
      <c r="AA10" s="23"/>
    </row>
    <row r="11" customHeight="1" spans="1:27">
      <c r="A11" s="12" t="str">
        <f>木桩!A11</f>
        <v>斩刀</v>
      </c>
      <c r="B11" s="11">
        <f>木桩!B11</f>
        <v>-15</v>
      </c>
      <c r="C11" s="11">
        <f>木桩!C11</f>
        <v>1.193</v>
      </c>
      <c r="D11" s="11">
        <f>木桩!D11</f>
        <v>233</v>
      </c>
      <c r="E11" s="13">
        <f>木桩!E11</f>
        <v>1</v>
      </c>
      <c r="F11" s="13">
        <f ca="1">木桩!F11+Q$23</f>
        <v>0.180133333333333</v>
      </c>
      <c r="G11" s="13">
        <f>木桩!G11</f>
        <v>0.04</v>
      </c>
      <c r="H11" s="13">
        <f>木桩!H11</f>
        <v>0</v>
      </c>
      <c r="I11" s="21">
        <f ca="1" t="shared" si="4"/>
        <v>77561.8684932939</v>
      </c>
      <c r="J11" s="13">
        <f ca="1" t="shared" si="1"/>
        <v>0.473665199880085</v>
      </c>
      <c r="K11" s="15">
        <f ca="1" t="shared" si="5"/>
        <v>0.522106492123557</v>
      </c>
      <c r="L11" s="13">
        <f ca="1">INDEX(V2:V17,MATCH(1:1,U2:U17,))</f>
        <v>1.9433</v>
      </c>
      <c r="M11" s="13">
        <f ca="1">INDEX(V2:V17,MATCH(1:1,U2:U17,))</f>
        <v>0.902992590034019</v>
      </c>
      <c r="N11" s="21">
        <f ca="1">INDEX(V2:V17,MATCH(1:1,U2:U17,))+O:O*P:P</f>
        <v>19094.2294</v>
      </c>
      <c r="O11" s="21">
        <f ca="1">INDEX(V2:V17,MATCH(1:1,U2:U17,))</f>
        <v>7522.72307692308</v>
      </c>
      <c r="P11" s="40">
        <f t="shared" si="6"/>
        <v>0.922</v>
      </c>
      <c r="Q11" s="21">
        <f ca="1">INDEX(V2:V17,MATCH(1:1,U2:U17,))</f>
        <v>751.1</v>
      </c>
      <c r="R11" s="13">
        <f ca="1">INDEX(V2:V17,MATCH(1:1,U2:U17,))</f>
        <v>0</v>
      </c>
      <c r="S11" s="13">
        <f ca="1">INDEX(V2:V17,MATCH(1:1,U2:U17,))</f>
        <v>0</v>
      </c>
      <c r="T11" s="20">
        <f>1.5-Q24/16</f>
        <v>1.375</v>
      </c>
      <c r="U11" s="20" t="str">
        <f t="shared" si="0"/>
        <v>破防</v>
      </c>
      <c r="V11" s="20">
        <f ca="1" t="shared" si="0"/>
        <v>0.902992590034019</v>
      </c>
      <c r="W11" s="17" t="str">
        <f>属性!H15</f>
        <v>破防</v>
      </c>
      <c r="X11" s="17">
        <f>属性!I15</f>
        <v>0.503</v>
      </c>
      <c r="Y11" s="17" t="s">
        <v>205</v>
      </c>
      <c r="Z11" s="17">
        <f ca="1">Z9/J30</f>
        <v>0.902992590034019</v>
      </c>
      <c r="AA11" s="23"/>
    </row>
    <row r="12" customHeight="1" spans="1:27">
      <c r="A12" s="12" t="str">
        <f>木桩!A12</f>
        <v>闪刀</v>
      </c>
      <c r="B12" s="11">
        <f>木桩!B12</f>
        <v>-15</v>
      </c>
      <c r="C12" s="11">
        <f>木桩!C12</f>
        <v>0.9</v>
      </c>
      <c r="D12" s="11">
        <f>木桩!D12</f>
        <v>157.5</v>
      </c>
      <c r="E12" s="13">
        <f>木桩!E12</f>
        <v>1</v>
      </c>
      <c r="F12" s="13">
        <f ca="1">木桩!F12+Q$23</f>
        <v>0.0101333333333333</v>
      </c>
      <c r="G12" s="13">
        <f>木桩!G12</f>
        <v>0</v>
      </c>
      <c r="H12" s="13">
        <f>木桩!H12</f>
        <v>0</v>
      </c>
      <c r="I12" s="21">
        <f ca="1" t="shared" si="4"/>
        <v>49270.2717831156</v>
      </c>
      <c r="J12" s="13">
        <f ca="1" t="shared" si="1"/>
        <v>0.433665199880085</v>
      </c>
      <c r="K12" s="15">
        <f ca="1" t="shared" si="5"/>
        <v>0.482106492123557</v>
      </c>
      <c r="L12" s="13">
        <f ca="1">INDEX(V2:V17,MATCH(1:1,U2:U17,))</f>
        <v>1.9433</v>
      </c>
      <c r="M12" s="13">
        <f ca="1">INDEX(V2:V17,MATCH(1:1,U2:U17,))</f>
        <v>0.902992590034019</v>
      </c>
      <c r="N12" s="21">
        <f ca="1">INDEX(V2:V17,MATCH(1:1,U2:U17,))+O:O*P:P</f>
        <v>19094.2294</v>
      </c>
      <c r="O12" s="21">
        <f ca="1">INDEX(V2:V17,MATCH(1:1,U2:U17,))</f>
        <v>7522.72307692308</v>
      </c>
      <c r="P12" s="40">
        <f t="shared" si="6"/>
        <v>0.922</v>
      </c>
      <c r="Q12" s="21">
        <f ca="1">INDEX(V2:V17,MATCH(1:1,U2:U17,))</f>
        <v>751.1</v>
      </c>
      <c r="R12" s="13">
        <f ca="1">INDEX(V2:V17,MATCH(1:1,U2:U17,))</f>
        <v>0</v>
      </c>
      <c r="S12" s="13">
        <f ca="1">INDEX(V2:V17,MATCH(1:1,U2:U17,))</f>
        <v>0</v>
      </c>
      <c r="T12" s="20">
        <f>1.5-Q24/16</f>
        <v>1.375</v>
      </c>
      <c r="U12" s="20" t="str">
        <f t="shared" si="0"/>
        <v>加速</v>
      </c>
      <c r="V12" s="20">
        <f t="shared" si="0"/>
        <v>828</v>
      </c>
      <c r="W12" s="17" t="str">
        <f>属性!H16</f>
        <v>加速</v>
      </c>
      <c r="X12" s="17">
        <f>属性!I16</f>
        <v>828</v>
      </c>
      <c r="Y12" s="17" t="s">
        <v>83</v>
      </c>
      <c r="Z12" s="17">
        <f>X12</f>
        <v>828</v>
      </c>
      <c r="AA12" s="23"/>
    </row>
    <row r="13" customHeight="1" spans="1:27">
      <c r="A13" s="12" t="str">
        <f>木桩!A13</f>
        <v>绝刀</v>
      </c>
      <c r="B13" s="11">
        <f>木桩!B13</f>
        <v>0</v>
      </c>
      <c r="C13" s="11">
        <f>木桩!C13</f>
        <v>1.211</v>
      </c>
      <c r="D13" s="11">
        <f>木桩!D13</f>
        <v>186</v>
      </c>
      <c r="E13" s="13">
        <f>木桩!E13</f>
        <v>1</v>
      </c>
      <c r="F13" s="13">
        <f ca="1">木桩!F13+Q$23</f>
        <v>0.500133333333333</v>
      </c>
      <c r="G13" s="13">
        <f>木桩!G13</f>
        <v>0.04</v>
      </c>
      <c r="H13" s="13">
        <f>木桩!H13</f>
        <v>0</v>
      </c>
      <c r="I13" s="21">
        <f ca="1" t="shared" si="4"/>
        <v>99824.1912894295</v>
      </c>
      <c r="J13" s="13">
        <f ca="1" t="shared" si="1"/>
        <v>0.473665199880085</v>
      </c>
      <c r="K13" s="15">
        <f ca="1" t="shared" si="5"/>
        <v>0.522106492123557</v>
      </c>
      <c r="L13" s="13">
        <f ca="1">INDEX(V2:V17,MATCH(1:1,U2:U17,))</f>
        <v>1.9433</v>
      </c>
      <c r="M13" s="13">
        <f ca="1">INDEX(V2:V17,MATCH(1:1,U2:U17,))</f>
        <v>0.902992590034019</v>
      </c>
      <c r="N13" s="21">
        <f ca="1">INDEX(V2:V17,MATCH(1:1,U2:U17,))+O:O*P:P</f>
        <v>19094.2294</v>
      </c>
      <c r="O13" s="21">
        <f ca="1">INDEX(V2:V17,MATCH(1:1,U2:U17,))</f>
        <v>7522.72307692308</v>
      </c>
      <c r="P13" s="40">
        <f t="shared" si="6"/>
        <v>0.922</v>
      </c>
      <c r="Q13" s="21">
        <f ca="1">INDEX(V2:V17,MATCH(1:1,U2:U17,))</f>
        <v>751.1</v>
      </c>
      <c r="R13" s="13">
        <f ca="1">INDEX(V2:V17,MATCH(1:1,U2:U17,))</f>
        <v>0</v>
      </c>
      <c r="S13" s="13">
        <f ca="1">INDEX(V2:V17,MATCH(1:1,U2:U17,))</f>
        <v>0</v>
      </c>
      <c r="T13" s="20">
        <f>1.5-Q24/16</f>
        <v>1.375</v>
      </c>
      <c r="U13" s="20" t="str">
        <f t="shared" si="0"/>
        <v>命中</v>
      </c>
      <c r="V13" s="20">
        <f ca="1" t="shared" si="0"/>
        <v>1.13257753521884</v>
      </c>
      <c r="W13" s="17" t="str">
        <f>属性!H17</f>
        <v>命中</v>
      </c>
      <c r="X13" s="17">
        <f>属性!I17</f>
        <v>1.0715</v>
      </c>
      <c r="Y13" s="17" t="s">
        <v>56</v>
      </c>
      <c r="Z13" s="17">
        <f ca="1">X13+J23+J21/J27</f>
        <v>1.13257753521884</v>
      </c>
      <c r="AA13" s="23"/>
    </row>
    <row r="14" customHeight="1" spans="1:27">
      <c r="A14" s="11" t="str">
        <f>木桩!A14</f>
        <v>流血</v>
      </c>
      <c r="B14" s="11">
        <f>木桩!B14</f>
        <v>0</v>
      </c>
      <c r="C14" s="14">
        <f>木桩!C14</f>
        <v>0.34375</v>
      </c>
      <c r="D14" s="11">
        <f>木桩!D14</f>
        <v>47</v>
      </c>
      <c r="E14" s="13">
        <f>木桩!E14</f>
        <v>0</v>
      </c>
      <c r="F14" s="13">
        <f ca="1">木桩!F14+Q$23</f>
        <v>0.0101333333333333</v>
      </c>
      <c r="G14" s="13">
        <f>木桩!G14</f>
        <v>0</v>
      </c>
      <c r="H14" s="13">
        <f>木桩!H14</f>
        <v>0</v>
      </c>
      <c r="I14" s="21">
        <f ca="1" t="shared" si="4"/>
        <v>18001.4800973604</v>
      </c>
      <c r="J14" s="13">
        <f ca="1" t="shared" si="1"/>
        <v>0.433665199880085</v>
      </c>
      <c r="K14" s="15">
        <f ca="1" t="shared" si="5"/>
        <v>0.482106492123557</v>
      </c>
      <c r="L14" s="13">
        <f ca="1">INDEX(V2:V17,MATCH(1:1,U2:U17,))</f>
        <v>1.9433</v>
      </c>
      <c r="M14" s="13">
        <f ca="1">INDEX(V2:V17,MATCH(1:1,U2:U17,))</f>
        <v>0.902992590034019</v>
      </c>
      <c r="N14" s="21">
        <f ca="1">INDEX(V2:V17,MATCH(1:1,U2:U17,))+O:O*P:P</f>
        <v>19094.2294</v>
      </c>
      <c r="O14" s="21">
        <f ca="1">INDEX(V2:V17,MATCH(1:1,U2:U17,))</f>
        <v>7522.72307692308</v>
      </c>
      <c r="P14" s="40">
        <f t="shared" si="6"/>
        <v>0.922</v>
      </c>
      <c r="Q14" s="21">
        <f ca="1">INDEX(V2:V17,MATCH(1:1,U2:U17,))</f>
        <v>751.1</v>
      </c>
      <c r="R14" s="13">
        <f ca="1">INDEX(V2:V17,MATCH(1:1,U2:U17,))</f>
        <v>0</v>
      </c>
      <c r="S14" s="13">
        <f ca="1">INDEX(V2:V17,MATCH(1:1,U2:U17,))</f>
        <v>0</v>
      </c>
      <c r="T14" s="20">
        <f>(2-Q26/16)*NOT(D22)+(1-Q25/16)*D22</f>
        <v>0.9375</v>
      </c>
      <c r="U14" s="20" t="str">
        <f t="shared" si="0"/>
        <v>无双</v>
      </c>
      <c r="V14" s="20">
        <f ca="1" t="shared" si="0"/>
        <v>0.273371047077177</v>
      </c>
      <c r="W14" s="17" t="str">
        <f>属性!H18</f>
        <v>无双</v>
      </c>
      <c r="X14" s="17">
        <f>属性!I18</f>
        <v>0.2319</v>
      </c>
      <c r="Y14" s="17" t="s">
        <v>66</v>
      </c>
      <c r="Z14" s="17">
        <f ca="1">X14+N23+N21/J28</f>
        <v>0.273371047077177</v>
      </c>
      <c r="AA14" s="23"/>
    </row>
    <row r="15" customHeight="1" spans="1:27">
      <c r="A15" s="11" t="str">
        <f>木桩!A15</f>
        <v>卷雪刀</v>
      </c>
      <c r="B15" s="11">
        <f>木桩!B15</f>
        <v>0</v>
      </c>
      <c r="C15" s="11">
        <f>木桩!C15</f>
        <v>0.1375</v>
      </c>
      <c r="D15" s="11">
        <f>木桩!D15</f>
        <v>0</v>
      </c>
      <c r="E15" s="13">
        <f>木桩!E15</f>
        <v>1</v>
      </c>
      <c r="F15" s="13">
        <f ca="1">木桩!F15+Q$23</f>
        <v>0.0101333333333333</v>
      </c>
      <c r="G15" s="13">
        <f>木桩!G15</f>
        <v>0</v>
      </c>
      <c r="H15" s="13">
        <f>木桩!H15</f>
        <v>0</v>
      </c>
      <c r="I15" s="21">
        <f ca="1" t="shared" si="4"/>
        <v>8804.63034190792</v>
      </c>
      <c r="J15" s="13">
        <f ca="1" t="shared" si="1"/>
        <v>0.433665199880085</v>
      </c>
      <c r="K15" s="15">
        <f ca="1">J:J+(0.211855500496661*J:J^6-0.937563819411654*J:J^5+1.77483619127542*J:J^4-1.89647323402313*J:J^3+1.2737744963305*J:J^2-0.565275505039552*J:J+0.164596522595162)*$D$28</f>
        <v>0.487805126715561</v>
      </c>
      <c r="L15" s="13">
        <f ca="1">INDEX(V2:V17,MATCH(1:1,U2:U17,))</f>
        <v>1.9433</v>
      </c>
      <c r="M15" s="13">
        <f ca="1">INDEX(V2:V17,MATCH(1:1,U2:U17,))</f>
        <v>0.902992590034019</v>
      </c>
      <c r="N15" s="21">
        <f ca="1">INDEX(V2:V17,MATCH(1:1,U2:U17,))+O:O*P:P</f>
        <v>17965.8209384615</v>
      </c>
      <c r="O15" s="21">
        <f ca="1">INDEX(V2:V17,MATCH(1:1,U2:U17,))</f>
        <v>7522.72307692308</v>
      </c>
      <c r="P15" s="40">
        <f>60%+D$32*0.2*6/25+60%*(25+6*D$32)*(1+H$28)/H$27</f>
        <v>0.772</v>
      </c>
      <c r="Q15" s="21">
        <f ca="1">INDEX(V2:V17,MATCH(1:1,U2:U17,))</f>
        <v>751.1</v>
      </c>
      <c r="R15" s="13">
        <f ca="1">INDEX(V2:V17,MATCH(1:1,U2:U17,))</f>
        <v>0</v>
      </c>
      <c r="S15" s="13">
        <f ca="1">INDEX(V2:V17,MATCH(1:1,U2:U17,))</f>
        <v>0</v>
      </c>
      <c r="T15" s="20">
        <f>1.5-Q24/16</f>
        <v>1.375</v>
      </c>
      <c r="U15" s="20" t="str">
        <f t="shared" si="0"/>
        <v>武器伤害</v>
      </c>
      <c r="V15" s="20">
        <f ca="1" t="shared" si="0"/>
        <v>751.1</v>
      </c>
      <c r="W15" s="17" t="str">
        <f>属性!H19</f>
        <v>武器伤害</v>
      </c>
      <c r="X15" s="17">
        <f ca="1">属性!I19+P21</f>
        <v>751.1</v>
      </c>
      <c r="Y15" s="17" t="s">
        <v>75</v>
      </c>
      <c r="Z15" s="17">
        <f ca="1">X15</f>
        <v>751.1</v>
      </c>
      <c r="AA15" s="23"/>
    </row>
    <row r="16" customHeight="1" spans="1:27">
      <c r="A16" s="7" t="str">
        <f>木桩!A16</f>
        <v>卷雪刀1</v>
      </c>
      <c r="B16" s="7">
        <f>木桩!B16</f>
        <v>0</v>
      </c>
      <c r="C16" s="7">
        <f>木桩!C16</f>
        <v>0.1375</v>
      </c>
      <c r="D16" s="7">
        <f>木桩!D16</f>
        <v>0</v>
      </c>
      <c r="E16" s="16">
        <f>木桩!E16</f>
        <v>1</v>
      </c>
      <c r="F16" s="13">
        <f ca="1">木桩!F16+Q$23</f>
        <v>0.0101333333333333</v>
      </c>
      <c r="G16" s="16">
        <f>木桩!G16</f>
        <v>0</v>
      </c>
      <c r="H16" s="16">
        <f>木桩!H16</f>
        <v>0</v>
      </c>
      <c r="I16" s="21">
        <f ca="1" t="shared" si="4"/>
        <v>9194.72289023192</v>
      </c>
      <c r="J16" s="13">
        <f ca="1" t="shared" si="1"/>
        <v>0.433665199880085</v>
      </c>
      <c r="K16" s="15">
        <f ca="1">J:J+K$19</f>
        <v>0.482106492123557</v>
      </c>
      <c r="L16" s="16">
        <f ca="1">INDEX(V2:V17,MATCH(1:1,U2:U17,))</f>
        <v>1.9433</v>
      </c>
      <c r="M16" s="16">
        <f ca="1">INDEX(V2:V17,MATCH(1:1,U2:U17,))</f>
        <v>0.902992590034019</v>
      </c>
      <c r="N16" s="23">
        <f ca="1">INDEX(V2:V17,MATCH(1:1,U2:U17,))+O:O*P:P</f>
        <v>19094.2294</v>
      </c>
      <c r="O16" s="23">
        <f ca="1">INDEX(V2:V17,MATCH(1:1,U2:U17,))</f>
        <v>7522.72307692308</v>
      </c>
      <c r="P16" s="16">
        <f>P12</f>
        <v>0.922</v>
      </c>
      <c r="Q16" s="23">
        <f ca="1">INDEX(V2:V17,MATCH(1:1,U2:U17,))</f>
        <v>751.1</v>
      </c>
      <c r="R16" s="16">
        <f ca="1">INDEX(V2:V17,MATCH(1:1,U2:U17,))</f>
        <v>0</v>
      </c>
      <c r="S16" s="16">
        <f ca="1">INDEX(V2:V17,MATCH(1:1,U2:U17,))</f>
        <v>0</v>
      </c>
      <c r="T16" s="20">
        <f>1.5-Q24/16</f>
        <v>1.375</v>
      </c>
      <c r="U16" s="17" t="str">
        <f t="shared" si="0"/>
        <v>偏离率</v>
      </c>
      <c r="V16" s="30">
        <f ca="1" t="shared" si="0"/>
        <v>0</v>
      </c>
      <c r="W16" s="17" t="str">
        <f>属性!H20</f>
        <v>偏离率</v>
      </c>
      <c r="X16" s="16">
        <f>属性!I20</f>
        <v>0</v>
      </c>
      <c r="Y16" s="17" t="s">
        <v>212</v>
      </c>
      <c r="Z16" s="17">
        <f ca="1">IF(X16-Z13+X13&gt;0,X16-Z13+X13,0)</f>
        <v>0</v>
      </c>
      <c r="AA16" s="23"/>
    </row>
    <row r="17" customHeight="1" spans="1:27">
      <c r="A17" s="11" t="str">
        <f>木桩!A17</f>
        <v>绝刀1</v>
      </c>
      <c r="B17" s="11">
        <f>木桩!B17</f>
        <v>0</v>
      </c>
      <c r="C17" s="11">
        <f>木桩!C17</f>
        <v>1.211</v>
      </c>
      <c r="D17" s="11">
        <f>木桩!D17</f>
        <v>186</v>
      </c>
      <c r="E17" s="13">
        <f>木桩!E17</f>
        <v>1</v>
      </c>
      <c r="F17" s="13">
        <f ca="1">木桩!F17+Q$23</f>
        <v>0.500133333333333</v>
      </c>
      <c r="G17" s="13">
        <f>木桩!G17</f>
        <v>0.07</v>
      </c>
      <c r="H17" s="13">
        <f>木桩!H17</f>
        <v>0</v>
      </c>
      <c r="I17" s="21">
        <f ca="1" t="shared" si="4"/>
        <v>101688.545074072</v>
      </c>
      <c r="J17" s="13">
        <f ca="1" t="shared" si="1"/>
        <v>0.503665199880085</v>
      </c>
      <c r="K17" s="15">
        <f ca="1">J:J+(0.211855500496661*J:J^6-0.937563819411654*J:J^5+1.77483619127542*J:J^4-1.89647323402313*J:J^3+1.2737744963305*J:J^2-0.565275505039552*J:J+0.164596522595162)*$D$28</f>
        <v>0.551656521857724</v>
      </c>
      <c r="L17" s="13">
        <f ca="1">INDEX(V2:V17,MATCH(1:1,U2:U17,))</f>
        <v>1.9433</v>
      </c>
      <c r="M17" s="13">
        <f ca="1">INDEX(V2:V17,MATCH(1:1,U2:U17,))</f>
        <v>0.902992590034019</v>
      </c>
      <c r="N17" s="21">
        <f ca="1">INDEX(V2:V17,MATCH(1:1,U2:U17,))+O:O*P:P</f>
        <v>19094.2294</v>
      </c>
      <c r="O17" s="21">
        <f ca="1">INDEX(V2:V17,MATCH(1:1,U2:U17,))</f>
        <v>7522.72307692308</v>
      </c>
      <c r="P17" s="16">
        <f>P13</f>
        <v>0.922</v>
      </c>
      <c r="Q17" s="21">
        <f ca="1">INDEX(V2:V17,MATCH(1:1,U2:U17,))</f>
        <v>751.1</v>
      </c>
      <c r="R17" s="13">
        <f ca="1">INDEX(V2:V17,MATCH(1:1,U2:U17,))</f>
        <v>0</v>
      </c>
      <c r="S17" s="13">
        <f ca="1">INDEX(V2:V17,MATCH(1:1,U2:U17,))</f>
        <v>0</v>
      </c>
      <c r="T17" s="7">
        <v>0</v>
      </c>
      <c r="U17" s="20" t="str">
        <f t="shared" si="0"/>
        <v>识破率</v>
      </c>
      <c r="V17" s="20">
        <f ca="1" t="shared" si="0"/>
        <v>0</v>
      </c>
      <c r="W17" s="17" t="str">
        <f>属性!H21</f>
        <v>识破率</v>
      </c>
      <c r="X17" s="17">
        <f>属性!I21</f>
        <v>0</v>
      </c>
      <c r="Y17" s="17" t="s">
        <v>213</v>
      </c>
      <c r="Z17" s="17">
        <f ca="1">IF(X17-Z14+X14&gt;0,X17-Z14+X14,0)</f>
        <v>0</v>
      </c>
      <c r="AA17" s="23"/>
    </row>
    <row r="18" customHeight="1" spans="1:27">
      <c r="A18" s="11" t="str">
        <f>木桩!A18</f>
        <v>绝刀2</v>
      </c>
      <c r="B18" s="11">
        <f>木桩!B18</f>
        <v>0</v>
      </c>
      <c r="C18" s="11">
        <f>木桩!C18</f>
        <v>1.211</v>
      </c>
      <c r="D18" s="11">
        <f>木桩!D18</f>
        <v>186</v>
      </c>
      <c r="E18" s="13">
        <f>木桩!E18</f>
        <v>1</v>
      </c>
      <c r="F18" s="13">
        <f ca="1">木桩!F18+Q$23</f>
        <v>0.700133333333333</v>
      </c>
      <c r="G18" s="13">
        <f>木桩!G18</f>
        <v>0.04</v>
      </c>
      <c r="H18" s="13">
        <f>木桩!H18</f>
        <v>0</v>
      </c>
      <c r="I18" s="21">
        <f ca="1" t="shared" si="4"/>
        <v>113132.900464982</v>
      </c>
      <c r="J18" s="13">
        <f ca="1" t="shared" si="1"/>
        <v>0.473665199880085</v>
      </c>
      <c r="K18" s="15">
        <f ca="1">J:J+K$19</f>
        <v>0.522106492123557</v>
      </c>
      <c r="L18" s="13">
        <f ca="1">INDEX(V2:V17,MATCH(1:1,U2:U17,))</f>
        <v>1.9433</v>
      </c>
      <c r="M18" s="13">
        <f ca="1">INDEX(V2:V17,MATCH(1:1,U2:U17,))</f>
        <v>0.902992590034019</v>
      </c>
      <c r="N18" s="21">
        <f ca="1">INDEX(V2:V17,MATCH(1:1,U2:U17,))+O:O*P:P</f>
        <v>19094.2294</v>
      </c>
      <c r="O18" s="21">
        <f ca="1">INDEX(V2:V17,MATCH(1:1,U2:U17,))</f>
        <v>7522.72307692308</v>
      </c>
      <c r="P18" s="16">
        <f>P13</f>
        <v>0.922</v>
      </c>
      <c r="Q18" s="21">
        <f ca="1">INDEX(V2:V17,MATCH(1:1,U2:U17,))</f>
        <v>751.1</v>
      </c>
      <c r="R18" s="13">
        <f ca="1">INDEX(V2:V17,MATCH(1:1,U2:U17,))</f>
        <v>0</v>
      </c>
      <c r="S18" s="13">
        <f ca="1">INDEX(V2:V17,MATCH(1:1,U2:U17,))</f>
        <v>0</v>
      </c>
      <c r="T18" s="7">
        <v>0</v>
      </c>
      <c r="AA18" s="23"/>
    </row>
    <row r="19" customHeight="1" spans="5:27">
      <c r="E19" s="16"/>
      <c r="F19" s="16"/>
      <c r="G19" s="16"/>
      <c r="H19" s="16"/>
      <c r="I19" s="13" t="s">
        <v>291</v>
      </c>
      <c r="J19" s="24">
        <f ca="1">(0.75*J11+0.75*J12+8.5*J10+15*J9)/25</f>
        <v>0.515865199880085</v>
      </c>
      <c r="K19" s="7">
        <f ca="1">(0.450269547036277*J:J^6-1.63135022943507*J:J^5+2.53454201422095*J:J^4-2.30008535755169*J:J^3+1.39860127189957*J:J^2-0.596843023464342*J:J+0.171517229012336)*D28</f>
        <v>0.0484412922434724</v>
      </c>
      <c r="L19" s="16"/>
      <c r="M19" s="16"/>
      <c r="N19" s="23"/>
      <c r="O19" s="23"/>
      <c r="P19" s="16"/>
      <c r="Q19" s="23"/>
      <c r="R19" s="16"/>
      <c r="S19" s="16"/>
      <c r="V19" s="29"/>
      <c r="AA19" s="23"/>
    </row>
    <row r="20" customHeight="1" spans="5:27">
      <c r="E20" s="16"/>
      <c r="F20" s="16"/>
      <c r="G20" s="37" t="str">
        <f>属性!H1</f>
        <v>身法</v>
      </c>
      <c r="H20" s="37" t="str">
        <f>属性!I1</f>
        <v>力道</v>
      </c>
      <c r="I20" s="37" t="str">
        <f>属性!J1</f>
        <v>基础攻击</v>
      </c>
      <c r="J20" s="37" t="str">
        <f>属性!K1</f>
        <v>命中</v>
      </c>
      <c r="K20" s="41" t="str">
        <f>属性!L1</f>
        <v>会心</v>
      </c>
      <c r="L20" s="37" t="str">
        <f>属性!M1</f>
        <v>会效</v>
      </c>
      <c r="M20" s="37" t="str">
        <f>属性!N1</f>
        <v>加速</v>
      </c>
      <c r="N20" s="37" t="str">
        <f>属性!O1</f>
        <v>无双</v>
      </c>
      <c r="O20" s="37" t="str">
        <f>属性!P1</f>
        <v>基础破防</v>
      </c>
      <c r="P20" s="42" t="str">
        <f>属性!Q1</f>
        <v>武器伤害</v>
      </c>
      <c r="Q20" s="42" t="str">
        <f>属性!R1</f>
        <v>减防</v>
      </c>
      <c r="R20" s="16"/>
      <c r="S20" s="16"/>
      <c r="AA20" s="23"/>
    </row>
    <row r="21" customHeight="1" spans="1:27">
      <c r="A21" s="20" t="str">
        <f>属性!D1</f>
        <v>第一重</v>
      </c>
      <c r="B21" s="20" t="str">
        <f>属性!E1</f>
        <v>刀魂</v>
      </c>
      <c r="C21" s="11" t="s">
        <v>13</v>
      </c>
      <c r="D21" s="11" t="b">
        <f t="shared" ref="D21:D32" si="7">C21=B21</f>
        <v>1</v>
      </c>
      <c r="E21" s="11" t="s">
        <v>292</v>
      </c>
      <c r="F21" s="11" t="b">
        <f t="shared" ref="F21:F31" si="8">E21=B21</f>
        <v>0</v>
      </c>
      <c r="G21" s="20">
        <f ca="1">属性!H2</f>
        <v>201</v>
      </c>
      <c r="H21" s="20">
        <f ca="1">属性!I2</f>
        <v>52</v>
      </c>
      <c r="I21" s="17">
        <f ca="1">属性!J2</f>
        <v>199</v>
      </c>
      <c r="J21" s="17">
        <f ca="1">属性!K2</f>
        <v>294</v>
      </c>
      <c r="K21" s="20">
        <f ca="1">属性!L2</f>
        <v>194</v>
      </c>
      <c r="L21" s="43">
        <f ca="1">属性!M2</f>
        <v>0</v>
      </c>
      <c r="M21" s="20">
        <f ca="1">属性!N2</f>
        <v>0</v>
      </c>
      <c r="N21" s="20">
        <f ca="1">属性!O2</f>
        <v>100</v>
      </c>
      <c r="O21" s="20">
        <f ca="1">属性!P2</f>
        <v>1506</v>
      </c>
      <c r="P21" s="32">
        <f ca="1">属性!Q2+0.1</f>
        <v>0.1</v>
      </c>
      <c r="Q21" s="34">
        <f ca="1">属性!R2</f>
        <v>200</v>
      </c>
      <c r="R21" s="16"/>
      <c r="S21" s="16"/>
      <c r="AA21" s="23"/>
    </row>
    <row r="22" customHeight="1" spans="1:27">
      <c r="A22" s="20" t="str">
        <f>属性!D2</f>
        <v>第二重</v>
      </c>
      <c r="B22" s="20" t="str">
        <f>属性!E2</f>
        <v>炼狱</v>
      </c>
      <c r="C22" s="11" t="s">
        <v>24</v>
      </c>
      <c r="D22" s="11" t="b">
        <f t="shared" si="7"/>
        <v>1</v>
      </c>
      <c r="E22" s="11"/>
      <c r="F22" s="11"/>
      <c r="G22" s="38" t="str">
        <f>属性!H3</f>
        <v>身法</v>
      </c>
      <c r="H22" s="39" t="str">
        <f>属性!I3</f>
        <v>力道</v>
      </c>
      <c r="I22" s="39" t="str">
        <f>属性!J3</f>
        <v>面板攻击</v>
      </c>
      <c r="J22" s="39" t="str">
        <f>属性!K3</f>
        <v>命中</v>
      </c>
      <c r="K22" s="39" t="str">
        <f>属性!L3</f>
        <v>会心</v>
      </c>
      <c r="L22" s="39" t="str">
        <f>属性!M3</f>
        <v>会效</v>
      </c>
      <c r="M22" s="39" t="str">
        <f>属性!N3</f>
        <v>加速</v>
      </c>
      <c r="N22" s="39" t="str">
        <f>属性!O3</f>
        <v>无双</v>
      </c>
      <c r="O22" s="39" t="str">
        <f>属性!P3</f>
        <v>面板破防</v>
      </c>
      <c r="P22" s="44" t="str">
        <f>属性!Q3</f>
        <v>易伤</v>
      </c>
      <c r="Q22" s="44" t="str">
        <f>属性!R3</f>
        <v>伤害加成</v>
      </c>
      <c r="R22" s="16"/>
      <c r="S22" s="16"/>
      <c r="X22" s="23"/>
      <c r="AA22" s="23"/>
    </row>
    <row r="23" customHeight="1" spans="1:27">
      <c r="A23" s="20" t="str">
        <f>属性!D3</f>
        <v>第三重</v>
      </c>
      <c r="B23" s="20" t="str">
        <f>属性!E3</f>
        <v>飞瀑</v>
      </c>
      <c r="C23" s="11" t="s">
        <v>34</v>
      </c>
      <c r="D23" s="11" t="b">
        <f t="shared" si="7"/>
        <v>1</v>
      </c>
      <c r="E23" s="7"/>
      <c r="F23" s="7"/>
      <c r="G23" s="17">
        <f ca="1">属性!H4</f>
        <v>0.1</v>
      </c>
      <c r="H23" s="20">
        <f ca="1">属性!I4</f>
        <v>0</v>
      </c>
      <c r="I23" s="20">
        <f ca="1">属性!J4</f>
        <v>0.171</v>
      </c>
      <c r="J23" s="20">
        <f ca="1">属性!K4</f>
        <v>0.04</v>
      </c>
      <c r="K23" s="20">
        <f ca="1">属性!L4</f>
        <v>0.145</v>
      </c>
      <c r="L23" s="20">
        <f ca="1">属性!M4</f>
        <v>0.09</v>
      </c>
      <c r="M23" s="20">
        <f ca="1">属性!N4</f>
        <v>0</v>
      </c>
      <c r="N23" s="20">
        <f ca="1">属性!O4</f>
        <v>0.03</v>
      </c>
      <c r="O23" s="13">
        <f ca="1">属性!P4</f>
        <v>0.5</v>
      </c>
      <c r="P23" s="45">
        <f ca="1">属性!Q4</f>
        <v>0</v>
      </c>
      <c r="Q23" s="34">
        <f ca="1">属性!R4</f>
        <v>0.0101333333333333</v>
      </c>
      <c r="R23" s="16"/>
      <c r="S23" s="16"/>
      <c r="X23" s="23"/>
      <c r="AA23" s="23"/>
    </row>
    <row r="24" customHeight="1" spans="1:27">
      <c r="A24" s="20" t="str">
        <f>属性!D4</f>
        <v>第四重</v>
      </c>
      <c r="B24" s="20" t="str">
        <f>属性!E4</f>
        <v>劫生</v>
      </c>
      <c r="C24" s="11" t="s">
        <v>44</v>
      </c>
      <c r="D24" s="11" t="b">
        <f t="shared" si="7"/>
        <v>1</v>
      </c>
      <c r="E24" s="11"/>
      <c r="F24" s="11"/>
      <c r="H24" s="36"/>
      <c r="I24" s="46" t="s">
        <v>198</v>
      </c>
      <c r="J24" s="46"/>
      <c r="K24" s="46"/>
      <c r="L24" s="46"/>
      <c r="M24" s="47" t="s">
        <v>215</v>
      </c>
      <c r="N24" s="47" t="str">
        <f>属性!H29</f>
        <v>实战</v>
      </c>
      <c r="O24" s="43" t="str">
        <f>属性!I29</f>
        <v>实战盾击</v>
      </c>
      <c r="P24" s="26" t="s">
        <v>295</v>
      </c>
      <c r="Q24" s="11">
        <f>IF($V$12&gt;18,1)+IF($V$12&gt;827,1)+IF($V$12&gt;1728,1)+IF($V$12&gt;2703,1)</f>
        <v>2</v>
      </c>
      <c r="R24" s="16"/>
      <c r="S24" s="16"/>
      <c r="V24" s="32"/>
      <c r="X24" s="23"/>
      <c r="AA24" s="23"/>
    </row>
    <row r="25" spans="1:27">
      <c r="A25" s="20" t="str">
        <f>属性!D5</f>
        <v>第五重</v>
      </c>
      <c r="B25" s="20" t="str">
        <f>属性!E5</f>
        <v>锋鸣</v>
      </c>
      <c r="C25" s="11" t="s">
        <v>293</v>
      </c>
      <c r="D25" s="11" t="b">
        <f t="shared" si="7"/>
        <v>0</v>
      </c>
      <c r="E25" s="11" t="s">
        <v>54</v>
      </c>
      <c r="F25" s="11" t="b">
        <f t="shared" si="8"/>
        <v>1</v>
      </c>
      <c r="I25" s="20" t="s">
        <v>26</v>
      </c>
      <c r="J25" s="20">
        <v>15344.2</v>
      </c>
      <c r="K25" s="20" t="s">
        <v>200</v>
      </c>
      <c r="L25" s="20"/>
      <c r="M25" s="11" t="s">
        <v>93</v>
      </c>
      <c r="N25" s="15">
        <f ca="1">属性!H30</f>
        <v>0.948871388530846</v>
      </c>
      <c r="O25" s="15">
        <f ca="1">属性!I30</f>
        <v>0.973765015090248</v>
      </c>
      <c r="P25" s="26" t="s">
        <v>296</v>
      </c>
      <c r="Q25" s="30">
        <f>IF($V$12&gt;18,1)+IF($V$12&gt;1268,1)+IF($V$12&gt;2703,1)</f>
        <v>1</v>
      </c>
      <c r="R25" s="16"/>
      <c r="S25" s="16"/>
      <c r="V25" s="32"/>
      <c r="X25" s="23"/>
      <c r="AA25" s="23"/>
    </row>
    <row r="26" spans="1:27">
      <c r="A26" s="20" t="str">
        <f>属性!D6</f>
        <v>第六重</v>
      </c>
      <c r="B26" s="20" t="str">
        <f>属性!E6</f>
        <v>割裂</v>
      </c>
      <c r="C26" s="11" t="s">
        <v>64</v>
      </c>
      <c r="D26" s="11" t="b">
        <f t="shared" si="7"/>
        <v>1</v>
      </c>
      <c r="E26" s="11" t="s">
        <v>294</v>
      </c>
      <c r="F26" s="11" t="b">
        <f t="shared" si="8"/>
        <v>0</v>
      </c>
      <c r="I26" s="20" t="s">
        <v>36</v>
      </c>
      <c r="J26" s="20">
        <v>5370.3</v>
      </c>
      <c r="K26" s="20"/>
      <c r="L26" s="20">
        <v>1.7</v>
      </c>
      <c r="M26" s="11" t="s">
        <v>229</v>
      </c>
      <c r="N26" s="15">
        <f ca="1">属性!H31</f>
        <v>0.91750264956783</v>
      </c>
      <c r="O26" s="15">
        <f ca="1">属性!I31</f>
        <v>0.956976669392992</v>
      </c>
      <c r="P26" s="26" t="s">
        <v>297</v>
      </c>
      <c r="Q26" s="30">
        <f>IF($V$12&gt;18,1)+IF($V$12&gt;625,1)+IF($V$12&gt;1268,1)+IF($V$12&gt;1949,1)+IF($V$12&gt;2703,1)</f>
        <v>2</v>
      </c>
      <c r="R26" s="16"/>
      <c r="S26" s="16"/>
      <c r="V26" s="32"/>
      <c r="X26" s="23"/>
      <c r="AA26" s="23"/>
    </row>
    <row r="27" spans="1:27">
      <c r="A27" s="20" t="str">
        <f>属性!D7</f>
        <v>第七重</v>
      </c>
      <c r="B27" s="20" t="str">
        <f>属性!E7</f>
        <v>活脉</v>
      </c>
      <c r="C27" s="11" t="s">
        <v>72</v>
      </c>
      <c r="D27" s="11" t="b">
        <f t="shared" si="7"/>
        <v>1</v>
      </c>
      <c r="E27" s="11"/>
      <c r="F27" s="11" t="b">
        <f t="shared" si="8"/>
        <v>0</v>
      </c>
      <c r="G27" s="17" t="str">
        <f>木桩!G27</f>
        <v>战斗时间</v>
      </c>
      <c r="H27" s="30">
        <f>木桩!H27</f>
        <v>300</v>
      </c>
      <c r="I27" s="20" t="s">
        <v>56</v>
      </c>
      <c r="J27" s="20">
        <v>13948.5</v>
      </c>
      <c r="K27" s="20" t="s">
        <v>203</v>
      </c>
      <c r="L27" s="20">
        <v>0.25</v>
      </c>
      <c r="M27" s="11" t="s">
        <v>299</v>
      </c>
      <c r="N27" s="15">
        <f ca="1">属性!H32</f>
        <v>0.898870262292047</v>
      </c>
      <c r="O27" s="15">
        <f ca="1">属性!I32</f>
        <v>0.946742155208707</v>
      </c>
      <c r="P27" s="47" t="s">
        <v>92</v>
      </c>
      <c r="Q27" s="20" t="str">
        <f>苍云!C11</f>
        <v>102级</v>
      </c>
      <c r="V27" s="32"/>
      <c r="X27" s="23"/>
      <c r="AA27" s="23"/>
    </row>
    <row r="28" spans="1:27">
      <c r="A28" s="20" t="str">
        <f>属性!D8</f>
        <v>第八重</v>
      </c>
      <c r="B28" s="20" t="str">
        <f>属性!E8</f>
        <v>恋战</v>
      </c>
      <c r="C28" s="11" t="s">
        <v>81</v>
      </c>
      <c r="D28" s="11" t="b">
        <f t="shared" si="7"/>
        <v>1</v>
      </c>
      <c r="E28" s="11" t="s">
        <v>269</v>
      </c>
      <c r="F28" s="11" t="b">
        <f t="shared" si="8"/>
        <v>0</v>
      </c>
      <c r="G28" s="17" t="str">
        <f>木桩!G28</f>
        <v>竞技场套装</v>
      </c>
      <c r="H28" s="16" t="b">
        <f>木桩!H28</f>
        <v>1</v>
      </c>
      <c r="I28" s="20" t="s">
        <v>66</v>
      </c>
      <c r="J28" s="20">
        <v>8717.6</v>
      </c>
      <c r="K28" s="20"/>
      <c r="L28" s="20">
        <v>0.15</v>
      </c>
      <c r="M28" s="17" t="s">
        <v>179</v>
      </c>
      <c r="N28" s="15">
        <f ca="1">属性!H33</f>
        <v>0.91750264956783</v>
      </c>
      <c r="O28" s="15">
        <f ca="1">属性!I33</f>
        <v>0.956976669392992</v>
      </c>
      <c r="P28" s="47" t="s">
        <v>100</v>
      </c>
      <c r="Q28" s="20" t="str">
        <f>LEFT(苍云!$C$12,1)</f>
        <v>5</v>
      </c>
      <c r="V28" s="32"/>
      <c r="X28" s="23"/>
      <c r="AA28" s="23"/>
    </row>
    <row r="29" spans="1:24">
      <c r="A29" s="20" t="str">
        <f>属性!D9</f>
        <v>第九重</v>
      </c>
      <c r="B29" s="20" t="str">
        <f>属性!E9</f>
        <v>从容</v>
      </c>
      <c r="C29" s="11" t="s">
        <v>99</v>
      </c>
      <c r="D29" s="11" t="b">
        <f t="shared" si="7"/>
        <v>0</v>
      </c>
      <c r="E29" s="11"/>
      <c r="F29" s="11" t="b">
        <f t="shared" si="8"/>
        <v>0</v>
      </c>
      <c r="G29" s="20" t="str">
        <f>木桩!G29</f>
        <v>套装特效</v>
      </c>
      <c r="H29" s="20" t="b">
        <f>木桩!H29</f>
        <v>1</v>
      </c>
      <c r="I29" s="20" t="s">
        <v>83</v>
      </c>
      <c r="J29" s="20">
        <v>18830.9</v>
      </c>
      <c r="K29" s="20" t="s">
        <v>204</v>
      </c>
      <c r="L29" s="20">
        <v>0.64</v>
      </c>
      <c r="M29" s="20" t="s">
        <v>180</v>
      </c>
      <c r="N29" s="15">
        <f ca="1">属性!H34</f>
        <v>0.91750264956783</v>
      </c>
      <c r="O29" s="15">
        <f ca="1">属性!I34</f>
        <v>0.956976669392992</v>
      </c>
      <c r="P29" s="20" t="str">
        <f>属性!F5</f>
        <v>战斗时间</v>
      </c>
      <c r="Q29" s="20">
        <f>属性!G5</f>
        <v>300</v>
      </c>
      <c r="X29" s="23"/>
    </row>
    <row r="30" spans="1:24">
      <c r="A30" s="20" t="str">
        <f>属性!D10</f>
        <v>第十重</v>
      </c>
      <c r="B30" s="20" t="str">
        <f>属性!E10</f>
        <v>愤恨</v>
      </c>
      <c r="C30" s="11" t="s">
        <v>91</v>
      </c>
      <c r="D30" s="11" t="b">
        <f t="shared" si="7"/>
        <v>0</v>
      </c>
      <c r="E30" s="11"/>
      <c r="F30" s="11" t="b">
        <f t="shared" si="8"/>
        <v>0</v>
      </c>
      <c r="G30" s="20" t="str">
        <f>木桩!G30</f>
        <v>橙武</v>
      </c>
      <c r="H30" s="20" t="b">
        <f>木桩!H30</f>
        <v>1</v>
      </c>
      <c r="I30" s="20" t="s">
        <v>205</v>
      </c>
      <c r="J30" s="20">
        <v>15344.2</v>
      </c>
      <c r="K30" s="20"/>
      <c r="L30" s="20">
        <v>0</v>
      </c>
      <c r="N30" s="15"/>
      <c r="O30" s="15"/>
      <c r="P30" s="17" t="s">
        <v>302</v>
      </c>
      <c r="Q30" s="11">
        <f ca="1">$I$14/$T$14</f>
        <v>19201.5787705177</v>
      </c>
      <c r="X30" s="23"/>
    </row>
    <row r="31" spans="1:24">
      <c r="A31" s="20" t="str">
        <f>属性!D11</f>
        <v>第十一重</v>
      </c>
      <c r="B31" s="20" t="str">
        <f>属性!E11</f>
        <v>蔑视</v>
      </c>
      <c r="C31" s="11" t="s">
        <v>107</v>
      </c>
      <c r="D31" s="11" t="b">
        <f t="shared" si="7"/>
        <v>1</v>
      </c>
      <c r="E31" s="11"/>
      <c r="F31" s="11" t="b">
        <f t="shared" si="8"/>
        <v>0</v>
      </c>
      <c r="G31" s="20" t="str">
        <f>木桩!G31</f>
        <v>小橙武</v>
      </c>
      <c r="H31" s="20" t="b">
        <f>木桩!H31</f>
        <v>0</v>
      </c>
      <c r="N31" s="7"/>
      <c r="O31" s="7"/>
      <c r="P31" s="17" t="s">
        <v>303</v>
      </c>
      <c r="Q31" s="17">
        <f ca="1">(I13-I10)*5/60*H30</f>
        <v>1290.23589248312</v>
      </c>
      <c r="X31" s="23"/>
    </row>
    <row r="32" spans="1:24">
      <c r="A32" s="20" t="str">
        <f>属性!D12</f>
        <v>第十二重</v>
      </c>
      <c r="B32" s="20" t="str">
        <f>属性!E12</f>
        <v>骇日</v>
      </c>
      <c r="C32" s="11" t="s">
        <v>116</v>
      </c>
      <c r="D32" s="11" t="b">
        <f t="shared" si="7"/>
        <v>1</v>
      </c>
      <c r="E32" s="11"/>
      <c r="F32" s="11"/>
      <c r="P32" s="11" t="s">
        <v>305</v>
      </c>
      <c r="Q32" s="20">
        <f ca="1">$I$2/$T$2</f>
        <v>931.877541738772</v>
      </c>
      <c r="X32" s="23"/>
    </row>
    <row r="33" spans="16:22">
      <c r="P33" s="17" t="s">
        <v>306</v>
      </c>
      <c r="Q33" s="20">
        <f ca="1">$I$3/$T$3</f>
        <v>829.851136407888</v>
      </c>
      <c r="U33" s="20"/>
      <c r="V33" s="32"/>
    </row>
    <row r="34" spans="22:22">
      <c r="V34" s="32"/>
    </row>
    <row r="35" spans="1:23">
      <c r="A35" s="11" t="s">
        <v>271</v>
      </c>
      <c r="B35" s="20" t="s">
        <v>272</v>
      </c>
      <c r="C35" s="20" t="s">
        <v>304</v>
      </c>
      <c r="D35" s="20" t="s">
        <v>281</v>
      </c>
      <c r="E35" s="20" t="s">
        <v>278</v>
      </c>
      <c r="H35" s="20"/>
      <c r="I35" s="20"/>
      <c r="J35" s="20"/>
      <c r="K35" s="20"/>
      <c r="L35" s="20"/>
      <c r="M35" s="20"/>
      <c r="N35" s="20"/>
      <c r="O35" s="11"/>
      <c r="P35" s="11"/>
      <c r="Q35" s="11"/>
      <c r="R35" s="11"/>
      <c r="S35" s="11"/>
      <c r="T35" s="7"/>
      <c r="U35" s="7"/>
      <c r="V35" s="32"/>
      <c r="W35" s="34"/>
    </row>
    <row r="36" spans="1:23">
      <c r="A36" s="11" t="s">
        <v>55</v>
      </c>
      <c r="B36" s="20">
        <f ca="1" t="shared" ref="B36:B48" si="9">IFERROR(VLOOKUP(A36,实战技能表,MATCH("怒气",$A$1:$T$1,0),0),0)*C36</f>
        <v>15</v>
      </c>
      <c r="C36" s="20">
        <v>1</v>
      </c>
      <c r="D36" s="20">
        <f ca="1" t="shared" ref="D36:D48" si="10">IFERROR(VLOOKUP(A36,实战技能表,MATCH("时间",$A$1:$T$1,0),0),0)*C36</f>
        <v>1.375</v>
      </c>
      <c r="E36" s="20">
        <f ca="1" t="shared" ref="E36:E48" si="11">IFERROR(VLOOKUP(A36,实战技能表,MATCH("dmg",$A$1:$T$1,0),0),0)*C36</f>
        <v>135607.509868206</v>
      </c>
      <c r="H36" s="20"/>
      <c r="I36" s="20"/>
      <c r="J36" s="20"/>
      <c r="K36" s="20"/>
      <c r="L36" s="20"/>
      <c r="M36" s="20"/>
      <c r="N36" s="20"/>
      <c r="O36" s="11"/>
      <c r="P36" s="11"/>
      <c r="Q36" s="11"/>
      <c r="R36" s="11"/>
      <c r="S36" s="11"/>
      <c r="T36" s="11"/>
      <c r="U36" s="20"/>
      <c r="V36" s="32"/>
      <c r="W36" s="32"/>
    </row>
    <row r="37" spans="1:23">
      <c r="A37" s="11" t="s">
        <v>82</v>
      </c>
      <c r="B37" s="20">
        <f ca="1" t="shared" si="9"/>
        <v>4.5</v>
      </c>
      <c r="C37" s="20">
        <v>0.3</v>
      </c>
      <c r="D37" s="20">
        <f ca="1" t="shared" si="10"/>
        <v>0.4125</v>
      </c>
      <c r="E37" s="20">
        <f ca="1" t="shared" si="11"/>
        <v>23628.1859649933</v>
      </c>
      <c r="H37" s="20"/>
      <c r="I37" s="20"/>
      <c r="J37" s="20"/>
      <c r="K37" s="20"/>
      <c r="L37" s="20"/>
      <c r="M37" s="20"/>
      <c r="N37" s="20"/>
      <c r="O37" s="11"/>
      <c r="P37" s="11"/>
      <c r="Q37" s="11"/>
      <c r="R37" s="11"/>
      <c r="S37" s="11"/>
      <c r="T37" s="11"/>
      <c r="U37" s="20"/>
      <c r="V37" s="32"/>
      <c r="W37" s="32"/>
    </row>
    <row r="38" spans="1:23">
      <c r="A38" s="11" t="s">
        <v>65</v>
      </c>
      <c r="B38" s="20">
        <f ca="1" t="shared" si="9"/>
        <v>-11.25</v>
      </c>
      <c r="C38" s="20">
        <v>0.75</v>
      </c>
      <c r="D38" s="20">
        <f ca="1" t="shared" si="10"/>
        <v>1.03125</v>
      </c>
      <c r="E38" s="20">
        <f ca="1" t="shared" si="11"/>
        <v>58171.4013699704</v>
      </c>
      <c r="H38" s="20"/>
      <c r="I38" s="20"/>
      <c r="J38" s="20"/>
      <c r="K38" s="20"/>
      <c r="L38" s="20"/>
      <c r="M38" s="20"/>
      <c r="N38" s="20"/>
      <c r="O38" s="11"/>
      <c r="P38" s="11"/>
      <c r="Q38" s="11"/>
      <c r="R38" s="11"/>
      <c r="S38" s="11"/>
      <c r="T38" s="11"/>
      <c r="U38" s="20"/>
      <c r="V38" s="32"/>
      <c r="W38" s="32"/>
    </row>
    <row r="39" spans="1:23">
      <c r="A39" s="20" t="s">
        <v>73</v>
      </c>
      <c r="B39" s="20">
        <f ca="1" t="shared" si="9"/>
        <v>-11.25</v>
      </c>
      <c r="C39" s="20">
        <v>0.75</v>
      </c>
      <c r="D39" s="20">
        <f ca="1" t="shared" si="10"/>
        <v>1.03125</v>
      </c>
      <c r="E39" s="20">
        <f ca="1" t="shared" si="11"/>
        <v>36952.7038373367</v>
      </c>
      <c r="H39" s="20"/>
      <c r="I39" s="20"/>
      <c r="J39" s="20"/>
      <c r="K39" s="20"/>
      <c r="L39" s="20"/>
      <c r="M39" s="20"/>
      <c r="N39" s="20"/>
      <c r="O39" s="11"/>
      <c r="P39" s="11"/>
      <c r="Q39" s="11"/>
      <c r="R39" s="11"/>
      <c r="S39" s="11"/>
      <c r="T39" s="11"/>
      <c r="U39" s="20"/>
      <c r="V39" s="32"/>
      <c r="W39" s="32"/>
    </row>
    <row r="40" spans="1:23">
      <c r="A40" s="11" t="s">
        <v>14</v>
      </c>
      <c r="B40" s="20">
        <f ca="1" t="shared" si="9"/>
        <v>-2.5</v>
      </c>
      <c r="C40" s="20">
        <v>0.5</v>
      </c>
      <c r="D40" s="20">
        <f ca="1" t="shared" si="10"/>
        <v>0.6875</v>
      </c>
      <c r="E40" s="20">
        <f ca="1" t="shared" si="11"/>
        <v>42170.680289816</v>
      </c>
      <c r="H40" s="20"/>
      <c r="I40" s="20"/>
      <c r="J40" s="20"/>
      <c r="K40" s="20"/>
      <c r="L40" s="20"/>
      <c r="M40" s="20"/>
      <c r="N40" s="20"/>
      <c r="O40" s="11"/>
      <c r="P40" s="11"/>
      <c r="Q40" s="11"/>
      <c r="R40" s="11"/>
      <c r="S40" s="11"/>
      <c r="T40" s="11"/>
      <c r="U40" s="20"/>
      <c r="V40" s="32"/>
      <c r="W40" s="32"/>
    </row>
    <row r="41" spans="1:23">
      <c r="A41" s="11" t="s">
        <v>14</v>
      </c>
      <c r="B41" s="20">
        <f ca="1" t="shared" si="9"/>
        <v>-5</v>
      </c>
      <c r="C41" s="20">
        <v>1</v>
      </c>
      <c r="D41" s="20">
        <f ca="1" t="shared" si="10"/>
        <v>1.375</v>
      </c>
      <c r="E41" s="20">
        <f ca="1" t="shared" si="11"/>
        <v>84341.360579632</v>
      </c>
      <c r="H41" s="20"/>
      <c r="I41" s="20"/>
      <c r="J41" s="20"/>
      <c r="K41" s="20"/>
      <c r="L41" s="20"/>
      <c r="M41" s="20"/>
      <c r="N41" s="20"/>
      <c r="O41" s="11"/>
      <c r="P41" s="11"/>
      <c r="Q41" s="11"/>
      <c r="R41" s="11"/>
      <c r="S41" s="11"/>
      <c r="T41" s="11"/>
      <c r="U41" s="20"/>
      <c r="V41" s="32"/>
      <c r="W41" s="32"/>
    </row>
    <row r="42" spans="1:23">
      <c r="A42" s="11" t="s">
        <v>14</v>
      </c>
      <c r="B42" s="20">
        <f ca="1" t="shared" si="9"/>
        <v>-5</v>
      </c>
      <c r="C42" s="20">
        <v>1</v>
      </c>
      <c r="D42" s="20">
        <f ca="1" t="shared" si="10"/>
        <v>1.375</v>
      </c>
      <c r="E42" s="20">
        <f ca="1" t="shared" si="11"/>
        <v>84341.360579632</v>
      </c>
      <c r="H42" s="20"/>
      <c r="I42" s="20"/>
      <c r="J42" s="20"/>
      <c r="K42" s="20"/>
      <c r="L42" s="20"/>
      <c r="M42" s="20"/>
      <c r="N42" s="20"/>
      <c r="O42" s="11"/>
      <c r="P42" s="11"/>
      <c r="Q42" s="11"/>
      <c r="R42" s="11"/>
      <c r="S42" s="11"/>
      <c r="T42" s="11"/>
      <c r="U42" s="20"/>
      <c r="V42" s="32"/>
      <c r="W42" s="32"/>
    </row>
    <row r="43" spans="1:23">
      <c r="A43" s="11" t="s">
        <v>14</v>
      </c>
      <c r="B43" s="20">
        <f ca="1" t="shared" si="9"/>
        <v>-5</v>
      </c>
      <c r="C43" s="20">
        <v>1</v>
      </c>
      <c r="D43" s="20">
        <f ca="1" t="shared" si="10"/>
        <v>1.375</v>
      </c>
      <c r="E43" s="20">
        <f ca="1" t="shared" si="11"/>
        <v>84341.360579632</v>
      </c>
      <c r="H43" s="20"/>
      <c r="I43" s="20"/>
      <c r="J43" s="20"/>
      <c r="K43" s="20"/>
      <c r="L43" s="20"/>
      <c r="M43" s="20"/>
      <c r="N43" s="20"/>
      <c r="O43" s="11"/>
      <c r="P43" s="11"/>
      <c r="Q43" s="11"/>
      <c r="R43" s="11"/>
      <c r="S43" s="11"/>
      <c r="T43" s="11"/>
      <c r="U43" s="20"/>
      <c r="V43" s="32"/>
      <c r="W43" s="32"/>
    </row>
    <row r="44" spans="1:23">
      <c r="A44" s="11" t="s">
        <v>14</v>
      </c>
      <c r="B44" s="20">
        <f ca="1" t="shared" si="9"/>
        <v>-5</v>
      </c>
      <c r="C44" s="20">
        <v>1</v>
      </c>
      <c r="D44" s="20">
        <f ca="1" t="shared" si="10"/>
        <v>1.375</v>
      </c>
      <c r="E44" s="20">
        <f ca="1" t="shared" si="11"/>
        <v>84341.360579632</v>
      </c>
      <c r="H44" s="20"/>
      <c r="I44" s="20"/>
      <c r="J44" s="20"/>
      <c r="K44" s="20"/>
      <c r="L44" s="20"/>
      <c r="M44" s="20"/>
      <c r="N44" s="20"/>
      <c r="O44" s="11"/>
      <c r="P44" s="11"/>
      <c r="Q44" s="11"/>
      <c r="R44" s="11"/>
      <c r="S44" s="11"/>
      <c r="T44" s="11"/>
      <c r="U44" s="20"/>
      <c r="V44" s="32"/>
      <c r="W44" s="32"/>
    </row>
    <row r="45" spans="1:23">
      <c r="A45" s="11" t="s">
        <v>14</v>
      </c>
      <c r="B45" s="20">
        <f ca="1" t="shared" si="9"/>
        <v>-5</v>
      </c>
      <c r="C45" s="20">
        <v>1</v>
      </c>
      <c r="D45" s="20">
        <f ca="1" t="shared" si="10"/>
        <v>1.375</v>
      </c>
      <c r="E45" s="20">
        <f ca="1" t="shared" si="11"/>
        <v>84341.360579632</v>
      </c>
      <c r="H45" s="20"/>
      <c r="I45" s="20"/>
      <c r="J45" s="20"/>
      <c r="K45" s="20"/>
      <c r="L45" s="20"/>
      <c r="M45" s="20"/>
      <c r="N45" s="20"/>
      <c r="O45" s="11"/>
      <c r="P45" s="11"/>
      <c r="Q45" s="11"/>
      <c r="R45" s="11"/>
      <c r="S45" s="11"/>
      <c r="T45" s="11"/>
      <c r="U45" s="20"/>
      <c r="V45" s="32"/>
      <c r="W45" s="32"/>
    </row>
    <row r="46" spans="1:23">
      <c r="A46" s="11" t="s">
        <v>14</v>
      </c>
      <c r="B46" s="20">
        <f ca="1" t="shared" si="9"/>
        <v>-5</v>
      </c>
      <c r="C46" s="20">
        <v>1</v>
      </c>
      <c r="D46" s="20">
        <f ca="1" t="shared" si="10"/>
        <v>1.375</v>
      </c>
      <c r="E46" s="20">
        <f ca="1" t="shared" si="11"/>
        <v>84341.360579632</v>
      </c>
      <c r="H46" s="20"/>
      <c r="I46" s="20"/>
      <c r="J46" s="20"/>
      <c r="K46" s="20"/>
      <c r="L46" s="20"/>
      <c r="M46" s="20"/>
      <c r="N46" s="20"/>
      <c r="O46" s="11"/>
      <c r="P46" s="11"/>
      <c r="Q46" s="11"/>
      <c r="R46" s="11"/>
      <c r="S46" s="11"/>
      <c r="T46" s="11"/>
      <c r="U46" s="20"/>
      <c r="V46" s="32"/>
      <c r="W46" s="32"/>
    </row>
    <row r="47" spans="1:23">
      <c r="A47" s="11" t="s">
        <v>14</v>
      </c>
      <c r="B47" s="20">
        <f ca="1" t="shared" si="9"/>
        <v>-5</v>
      </c>
      <c r="C47" s="20">
        <v>1</v>
      </c>
      <c r="D47" s="20">
        <f ca="1" t="shared" si="10"/>
        <v>1.375</v>
      </c>
      <c r="E47" s="20">
        <f ca="1" t="shared" si="11"/>
        <v>84341.360579632</v>
      </c>
      <c r="H47" s="20"/>
      <c r="I47" s="20"/>
      <c r="J47" s="20"/>
      <c r="K47" s="20"/>
      <c r="L47" s="20"/>
      <c r="M47" s="7"/>
      <c r="N47" s="7"/>
      <c r="O47" s="11"/>
      <c r="P47" s="11"/>
      <c r="Q47" s="11"/>
      <c r="R47" s="11"/>
      <c r="S47" s="11"/>
      <c r="T47" s="11"/>
      <c r="U47" s="20"/>
      <c r="V47" s="32"/>
      <c r="W47" s="32"/>
    </row>
    <row r="48" spans="1:23">
      <c r="A48" s="11" t="s">
        <v>14</v>
      </c>
      <c r="B48" s="20">
        <f ca="1" t="shared" si="9"/>
        <v>-5</v>
      </c>
      <c r="C48" s="20">
        <v>1</v>
      </c>
      <c r="D48" s="20">
        <f ca="1" t="shared" si="10"/>
        <v>1.375</v>
      </c>
      <c r="E48" s="20">
        <f ca="1" t="shared" si="11"/>
        <v>84341.360579632</v>
      </c>
      <c r="H48" s="20"/>
      <c r="I48" s="20"/>
      <c r="J48" s="20"/>
      <c r="K48" s="20"/>
      <c r="L48" s="20"/>
      <c r="M48" s="7"/>
      <c r="N48" s="7"/>
      <c r="O48" s="11"/>
      <c r="P48" s="11"/>
      <c r="Q48" s="11"/>
      <c r="R48" s="11"/>
      <c r="S48" s="11"/>
      <c r="T48" s="11"/>
      <c r="U48" s="20"/>
      <c r="V48" s="32"/>
      <c r="W48" s="32"/>
    </row>
    <row r="49" spans="1:23">
      <c r="A49" s="11"/>
      <c r="B49" s="7"/>
      <c r="C49" s="11">
        <f>SUM(C38:C48)</f>
        <v>10</v>
      </c>
      <c r="D49" s="11">
        <f ca="1">SUM(D39:D48)+C49/16</f>
        <v>13.34375</v>
      </c>
      <c r="E49" s="7">
        <f ca="1">INT(D49+1)*$I$9</f>
        <v>175433.361645411</v>
      </c>
      <c r="F49" s="11">
        <f ca="1">D49*$I$16/$T$15+(D50-D49)*$I$15/$T$15</f>
        <v>103277.993730249</v>
      </c>
      <c r="H49" s="20"/>
      <c r="I49" s="20"/>
      <c r="J49" s="20"/>
      <c r="K49" s="20"/>
      <c r="L49" s="20"/>
      <c r="O49" s="11"/>
      <c r="P49" s="11"/>
      <c r="Q49" s="11"/>
      <c r="R49" s="11"/>
      <c r="S49" s="11"/>
      <c r="T49" s="11"/>
      <c r="U49" s="20"/>
      <c r="V49" s="32"/>
      <c r="W49" s="32"/>
    </row>
    <row r="50" spans="1:23">
      <c r="A50" s="11"/>
      <c r="B50" s="11">
        <f ca="1">SUM(B36:B48)</f>
        <v>-45.5</v>
      </c>
      <c r="C50" s="11">
        <f>SUM(C36:C48)</f>
        <v>11.3</v>
      </c>
      <c r="D50" s="11">
        <f ca="1">SUM(D36:D48)</f>
        <v>15.5375</v>
      </c>
      <c r="E50" s="11">
        <f ca="1">SUM(E36:E49)</f>
        <v>1146694.72761279</v>
      </c>
      <c r="H50" s="20"/>
      <c r="I50" s="20"/>
      <c r="J50" s="20"/>
      <c r="K50" s="20"/>
      <c r="L50" s="20"/>
      <c r="O50" s="11"/>
      <c r="P50" s="11"/>
      <c r="Q50" s="11"/>
      <c r="R50" s="11"/>
      <c r="S50" s="11"/>
      <c r="T50" s="7"/>
      <c r="U50" s="20"/>
      <c r="V50" s="32"/>
      <c r="W50" s="32"/>
    </row>
    <row r="51" spans="1:23">
      <c r="A51" s="11"/>
      <c r="B51" s="11">
        <v>0</v>
      </c>
      <c r="C51" s="11">
        <f>C50*B51</f>
        <v>0</v>
      </c>
      <c r="D51" s="11">
        <f ca="1">D50+C51/16</f>
        <v>15.5375</v>
      </c>
      <c r="E51" s="11">
        <f ca="1">E50/D51</f>
        <v>73801.7523805496</v>
      </c>
      <c r="F51" s="11">
        <f ca="1">F49/D51</f>
        <v>6647.01488207557</v>
      </c>
      <c r="G51" s="11">
        <f ca="1" t="shared" ref="G51:G55" si="12">(E51+F51+$Q$30+$Q$31+$Q$32+$Q$33)*(1+$P$23)</f>
        <v>102702.310603773</v>
      </c>
      <c r="H51" s="20"/>
      <c r="I51" s="20"/>
      <c r="J51" s="20"/>
      <c r="K51" s="20"/>
      <c r="L51" s="20"/>
      <c r="O51" s="11"/>
      <c r="P51" s="11"/>
      <c r="Q51" s="11"/>
      <c r="R51" s="11"/>
      <c r="S51" s="11"/>
      <c r="T51" s="11"/>
      <c r="U51" s="20"/>
      <c r="V51" s="32"/>
      <c r="W51" s="32"/>
    </row>
    <row r="52" spans="1:23">
      <c r="A52" s="11"/>
      <c r="B52" s="11">
        <v>1</v>
      </c>
      <c r="C52" s="11">
        <f>C50*B52</f>
        <v>11.3</v>
      </c>
      <c r="D52" s="11">
        <f ca="1">D50+C52/16</f>
        <v>16.24375</v>
      </c>
      <c r="E52" s="11">
        <f ca="1">E50/D52</f>
        <v>70592.980537917</v>
      </c>
      <c r="F52" s="11">
        <f ca="1">F49/D52</f>
        <v>6358.01423502881</v>
      </c>
      <c r="G52" s="11">
        <f ca="1" t="shared" si="12"/>
        <v>99204.5381140933</v>
      </c>
      <c r="H52" s="20">
        <f ca="1">(G52-实战!G52)*10</f>
        <v>7.1716636265046</v>
      </c>
      <c r="I52" s="20"/>
      <c r="J52" s="20"/>
      <c r="K52" s="20"/>
      <c r="L52" s="20"/>
      <c r="O52" s="11"/>
      <c r="P52" s="11"/>
      <c r="Q52" s="7"/>
      <c r="R52" s="11"/>
      <c r="S52" s="11"/>
      <c r="T52" s="11"/>
      <c r="U52" s="20"/>
      <c r="V52" s="32"/>
      <c r="W52" s="32"/>
    </row>
    <row r="53" spans="1:23">
      <c r="A53" s="11"/>
      <c r="B53" s="11">
        <v>3</v>
      </c>
      <c r="C53" s="11">
        <f>C50*B53</f>
        <v>33.9</v>
      </c>
      <c r="D53" s="11">
        <f ca="1">D50+C53/16</f>
        <v>17.65625</v>
      </c>
      <c r="E53" s="11">
        <f ca="1">E50/D53</f>
        <v>64945.5420948837</v>
      </c>
      <c r="F53" s="20">
        <f ca="1">F49/D53</f>
        <v>5849.3730962265</v>
      </c>
      <c r="G53" s="11">
        <f ca="1" t="shared" si="12"/>
        <v>93048.4585322577</v>
      </c>
      <c r="H53" s="20"/>
      <c r="I53" s="20"/>
      <c r="J53" s="20"/>
      <c r="K53" s="20"/>
      <c r="L53" s="20"/>
      <c r="O53" s="7"/>
      <c r="P53" s="11"/>
      <c r="Q53" s="7"/>
      <c r="R53" s="11"/>
      <c r="S53" s="11"/>
      <c r="T53" s="11"/>
      <c r="U53" s="20"/>
      <c r="V53" s="32"/>
      <c r="W53" s="32"/>
    </row>
    <row r="54" spans="1:23">
      <c r="A54" s="11"/>
      <c r="B54" s="11">
        <v>5</v>
      </c>
      <c r="C54" s="11">
        <f>C50*B54</f>
        <v>56.5</v>
      </c>
      <c r="D54" s="11">
        <f ca="1">D50+C54/16</f>
        <v>19.06875</v>
      </c>
      <c r="E54" s="11">
        <f ca="1">E50/D54</f>
        <v>60134.7611989663</v>
      </c>
      <c r="F54" s="20">
        <f ca="1">F49/D54</f>
        <v>5416.08620020973</v>
      </c>
      <c r="G54" s="11">
        <f ca="1" t="shared" si="12"/>
        <v>87804.3907403236</v>
      </c>
      <c r="H54" s="11"/>
      <c r="I54" s="20"/>
      <c r="J54" s="20"/>
      <c r="K54" s="20"/>
      <c r="L54" s="20"/>
      <c r="O54" s="11"/>
      <c r="P54" s="11"/>
      <c r="Q54" s="7"/>
      <c r="R54" s="11"/>
      <c r="S54" s="11"/>
      <c r="T54" s="11"/>
      <c r="U54" s="20"/>
      <c r="V54" s="32"/>
      <c r="W54" s="32"/>
    </row>
    <row r="55" spans="1:23">
      <c r="A55" s="11"/>
      <c r="B55" s="11">
        <v>7</v>
      </c>
      <c r="C55" s="11">
        <f>C50*B55</f>
        <v>79.1</v>
      </c>
      <c r="D55" s="11">
        <f ca="1">D50+C55/16</f>
        <v>20.48125</v>
      </c>
      <c r="E55" s="11">
        <f ca="1">E50/D55</f>
        <v>55987.5362886928</v>
      </c>
      <c r="F55" s="20">
        <f ca="1">F49/D55</f>
        <v>5042.56301398837</v>
      </c>
      <c r="G55" s="11">
        <f ca="1" t="shared" si="12"/>
        <v>83283.6426438287</v>
      </c>
      <c r="H55" s="11"/>
      <c r="I55" s="20"/>
      <c r="J55" s="20"/>
      <c r="K55" s="20"/>
      <c r="L55" s="20"/>
      <c r="O55" s="11"/>
      <c r="P55" s="11"/>
      <c r="Q55" s="7"/>
      <c r="R55" s="11"/>
      <c r="S55" s="11"/>
      <c r="T55" s="11"/>
      <c r="U55" s="20"/>
      <c r="V55" s="32"/>
      <c r="W55" s="32"/>
    </row>
    <row r="56" spans="8:23">
      <c r="H56" s="20"/>
      <c r="I56" s="20"/>
      <c r="J56" s="20"/>
      <c r="K56" s="20"/>
      <c r="L56" s="20"/>
      <c r="M56" s="20"/>
      <c r="N56" s="20"/>
      <c r="O56" s="11"/>
      <c r="P56" s="11"/>
      <c r="Q56" s="7"/>
      <c r="R56" s="11"/>
      <c r="S56" s="11"/>
      <c r="T56" s="11"/>
      <c r="U56" s="20"/>
      <c r="V56" s="32"/>
      <c r="W56" s="32"/>
    </row>
    <row r="57" spans="8:24">
      <c r="H57" s="20"/>
      <c r="I57" s="20"/>
      <c r="J57" s="20"/>
      <c r="K57" s="20"/>
      <c r="L57" s="20"/>
      <c r="M57" s="20"/>
      <c r="N57" s="20"/>
      <c r="O57" s="11"/>
      <c r="P57" s="11"/>
      <c r="Q57" s="7"/>
      <c r="R57" s="11"/>
      <c r="S57" s="11"/>
      <c r="T57" s="11"/>
      <c r="U57" s="20"/>
      <c r="V57" s="32"/>
      <c r="W57" s="32"/>
      <c r="X57" s="32"/>
    </row>
    <row r="58" spans="1:23">
      <c r="A58" s="20"/>
      <c r="B58" s="20"/>
      <c r="C58" s="20"/>
      <c r="D58" s="20"/>
      <c r="E58" s="20"/>
      <c r="H58" s="20"/>
      <c r="I58" s="20"/>
      <c r="J58" s="20"/>
      <c r="K58" s="20"/>
      <c r="L58" s="20"/>
      <c r="M58" s="20"/>
      <c r="N58" s="20"/>
      <c r="O58" s="11"/>
      <c r="P58" s="11"/>
      <c r="Q58" s="7"/>
      <c r="R58" s="11"/>
      <c r="S58" s="11"/>
      <c r="T58" s="11"/>
      <c r="U58" s="20"/>
      <c r="V58" s="32"/>
      <c r="W58" s="34"/>
    </row>
    <row r="59" spans="1:23">
      <c r="A59" s="20"/>
      <c r="B59" s="20"/>
      <c r="C59" s="20"/>
      <c r="D59" s="20"/>
      <c r="E59" s="20"/>
      <c r="H59" s="20"/>
      <c r="I59" s="20"/>
      <c r="J59" s="20"/>
      <c r="K59" s="20"/>
      <c r="L59" s="20"/>
      <c r="M59" s="20"/>
      <c r="N59" s="20"/>
      <c r="O59" s="11"/>
      <c r="P59" s="11"/>
      <c r="Q59" s="7"/>
      <c r="R59" s="11"/>
      <c r="S59" s="11"/>
      <c r="T59" s="11"/>
      <c r="U59" s="20"/>
      <c r="V59" s="32"/>
      <c r="W59" s="34"/>
    </row>
    <row r="60" spans="1:23">
      <c r="A60" s="20"/>
      <c r="B60" s="20"/>
      <c r="C60" s="20"/>
      <c r="D60" s="20"/>
      <c r="E60" s="20"/>
      <c r="H60" s="20"/>
      <c r="I60" s="20"/>
      <c r="J60" s="20"/>
      <c r="K60" s="20"/>
      <c r="L60" s="20"/>
      <c r="M60" s="20"/>
      <c r="N60" s="20"/>
      <c r="O60" s="11"/>
      <c r="P60" s="11"/>
      <c r="Q60" s="7"/>
      <c r="R60" s="11"/>
      <c r="S60" s="11"/>
      <c r="T60" s="11"/>
      <c r="U60" s="20"/>
      <c r="V60" s="32"/>
      <c r="W60" s="34"/>
    </row>
    <row r="61" spans="1:23">
      <c r="A61" s="20"/>
      <c r="B61" s="20"/>
      <c r="C61" s="20"/>
      <c r="D61" s="20"/>
      <c r="E61" s="20"/>
      <c r="H61" s="20"/>
      <c r="I61" s="20"/>
      <c r="J61" s="20"/>
      <c r="K61" s="20"/>
      <c r="L61" s="20"/>
      <c r="M61" s="20"/>
      <c r="N61" s="20"/>
      <c r="O61" s="11"/>
      <c r="P61" s="11"/>
      <c r="Q61" s="7"/>
      <c r="R61" s="11"/>
      <c r="S61" s="11"/>
      <c r="T61" s="11"/>
      <c r="U61" s="20"/>
      <c r="V61" s="32"/>
      <c r="W61" s="34"/>
    </row>
    <row r="62" spans="1:23">
      <c r="A62" s="20"/>
      <c r="B62" s="20"/>
      <c r="C62" s="20"/>
      <c r="D62" s="20"/>
      <c r="E62" s="20"/>
      <c r="H62" s="20"/>
      <c r="I62" s="20"/>
      <c r="J62" s="20"/>
      <c r="K62" s="20"/>
      <c r="L62" s="20"/>
      <c r="M62" s="20"/>
      <c r="N62" s="20"/>
      <c r="O62" s="11"/>
      <c r="P62" s="11"/>
      <c r="Q62" s="7"/>
      <c r="R62" s="11"/>
      <c r="S62" s="11"/>
      <c r="T62" s="11"/>
      <c r="U62" s="20"/>
      <c r="V62" s="32"/>
      <c r="W62" s="34"/>
    </row>
    <row r="63" spans="1:23">
      <c r="A63" s="20"/>
      <c r="B63" s="20"/>
      <c r="C63" s="20"/>
      <c r="D63" s="20"/>
      <c r="E63" s="20"/>
      <c r="H63" s="20"/>
      <c r="I63" s="20"/>
      <c r="J63" s="20"/>
      <c r="K63" s="20"/>
      <c r="L63" s="20"/>
      <c r="M63" s="20"/>
      <c r="N63" s="20"/>
      <c r="O63" s="11"/>
      <c r="U63" s="20"/>
      <c r="V63" s="32"/>
      <c r="W63" s="34"/>
    </row>
    <row r="64" spans="1:23">
      <c r="A64" s="20"/>
      <c r="B64" s="20"/>
      <c r="C64" s="20"/>
      <c r="D64" s="20"/>
      <c r="E64" s="20"/>
      <c r="H64" s="20"/>
      <c r="I64" s="20"/>
      <c r="J64" s="20"/>
      <c r="K64" s="20"/>
      <c r="L64" s="20"/>
      <c r="M64" s="20"/>
      <c r="N64" s="20"/>
      <c r="P64" s="7"/>
      <c r="Q64" s="11"/>
      <c r="R64" s="11"/>
      <c r="S64" s="7"/>
      <c r="T64" s="11"/>
      <c r="U64" s="20"/>
      <c r="V64" s="32"/>
      <c r="W64" s="34"/>
    </row>
    <row r="65" spans="1:23">
      <c r="A65" s="20"/>
      <c r="B65" s="20"/>
      <c r="C65" s="20"/>
      <c r="D65" s="20"/>
      <c r="E65" s="20"/>
      <c r="H65" s="20"/>
      <c r="I65" s="20"/>
      <c r="J65" s="20"/>
      <c r="K65" s="20"/>
      <c r="L65" s="20"/>
      <c r="M65" s="20"/>
      <c r="N65" s="20"/>
      <c r="O65" s="11"/>
      <c r="P65" s="11"/>
      <c r="Q65" s="11"/>
      <c r="R65" s="11"/>
      <c r="S65" s="11"/>
      <c r="T65" s="11"/>
      <c r="U65" s="20"/>
      <c r="V65" s="32"/>
      <c r="W65" s="34"/>
    </row>
    <row r="66" spans="1:23">
      <c r="A66" s="20"/>
      <c r="B66" s="20"/>
      <c r="C66" s="20"/>
      <c r="D66" s="20"/>
      <c r="E66" s="20"/>
      <c r="H66" s="20"/>
      <c r="I66" s="20"/>
      <c r="J66" s="20"/>
      <c r="K66" s="20"/>
      <c r="L66" s="20"/>
      <c r="M66" s="20"/>
      <c r="N66" s="20"/>
      <c r="O66" s="11"/>
      <c r="P66" s="11"/>
      <c r="Q66" s="11"/>
      <c r="R66" s="11"/>
      <c r="S66" s="11"/>
      <c r="T66" s="11"/>
      <c r="U66" s="11"/>
      <c r="V66" s="32"/>
      <c r="W66" s="34"/>
    </row>
    <row r="67" spans="1:23">
      <c r="A67" s="20"/>
      <c r="B67" s="20"/>
      <c r="C67" s="20"/>
      <c r="D67" s="20"/>
      <c r="E67" s="20"/>
      <c r="H67" s="20"/>
      <c r="I67" s="20"/>
      <c r="J67" s="20"/>
      <c r="K67" s="20"/>
      <c r="L67" s="20"/>
      <c r="O67" s="11"/>
      <c r="P67" s="11"/>
      <c r="Q67" s="11"/>
      <c r="R67" s="11"/>
      <c r="S67" s="11"/>
      <c r="T67" s="11"/>
      <c r="U67" s="11"/>
      <c r="V67" s="32"/>
      <c r="W67" s="34"/>
    </row>
    <row r="68" spans="1:2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O68" s="11"/>
      <c r="P68" s="11"/>
      <c r="Q68" s="11"/>
      <c r="R68" s="11"/>
      <c r="S68" s="11"/>
      <c r="T68" s="20"/>
      <c r="U68" s="11"/>
      <c r="V68" s="32"/>
      <c r="W68" s="34"/>
    </row>
    <row r="69" spans="1:23">
      <c r="A69" s="20"/>
      <c r="B69" s="20"/>
      <c r="C69" s="20"/>
      <c r="D69" s="20"/>
      <c r="E69" s="20"/>
      <c r="F69" s="20"/>
      <c r="G69" s="20"/>
      <c r="H69" s="11"/>
      <c r="I69" s="20"/>
      <c r="J69" s="20"/>
      <c r="K69" s="20"/>
      <c r="L69" s="20"/>
      <c r="O69" s="11"/>
      <c r="P69" s="11"/>
      <c r="Q69" s="11"/>
      <c r="R69" s="11"/>
      <c r="S69" s="11"/>
      <c r="T69" s="20"/>
      <c r="U69" s="11"/>
      <c r="V69" s="32"/>
      <c r="W69" s="34"/>
    </row>
    <row r="70" spans="1:23">
      <c r="A70" s="20"/>
      <c r="B70" s="20"/>
      <c r="C70" s="20"/>
      <c r="D70" s="20"/>
      <c r="E70" s="20"/>
      <c r="F70" s="20"/>
      <c r="G70" s="20"/>
      <c r="H70" s="11"/>
      <c r="I70" s="20"/>
      <c r="J70" s="20"/>
      <c r="K70" s="20"/>
      <c r="L70" s="20"/>
      <c r="O70" s="11"/>
      <c r="P70" s="11"/>
      <c r="Q70" s="11"/>
      <c r="R70" s="11"/>
      <c r="S70" s="11"/>
      <c r="T70" s="20"/>
      <c r="U70" s="11"/>
      <c r="V70" s="32"/>
      <c r="W70" s="34"/>
    </row>
    <row r="71" spans="1:23">
      <c r="A71" s="11"/>
      <c r="B71" s="7"/>
      <c r="C71" s="11"/>
      <c r="D71" s="11"/>
      <c r="E71" s="7"/>
      <c r="F71" s="11"/>
      <c r="G71" s="11"/>
      <c r="H71" s="20"/>
      <c r="I71" s="7"/>
      <c r="J71" s="11"/>
      <c r="K71" s="11"/>
      <c r="L71" s="7"/>
      <c r="M71" s="11"/>
      <c r="N71" s="11"/>
      <c r="U71" s="20"/>
      <c r="V71" s="32"/>
      <c r="W71" s="34"/>
    </row>
    <row r="72" spans="1:23">
      <c r="A72" s="7"/>
      <c r="B72" s="11"/>
      <c r="C72" s="11"/>
      <c r="D72" s="11"/>
      <c r="E72" s="11"/>
      <c r="F72" s="11"/>
      <c r="G72" s="11"/>
      <c r="H72" s="20"/>
      <c r="I72" s="11"/>
      <c r="J72" s="11"/>
      <c r="K72" s="11"/>
      <c r="L72" s="11"/>
      <c r="N72" s="11"/>
      <c r="O72" s="20"/>
      <c r="U72" s="20"/>
      <c r="V72" s="32"/>
      <c r="W72" s="34"/>
    </row>
    <row r="73" spans="1:23">
      <c r="A73" s="11"/>
      <c r="B73" s="11"/>
      <c r="C73" s="11"/>
      <c r="D73" s="11"/>
      <c r="E73" s="11"/>
      <c r="F73" s="11"/>
      <c r="G73" s="11"/>
      <c r="H73" s="20"/>
      <c r="I73" s="11"/>
      <c r="J73" s="11"/>
      <c r="K73" s="11"/>
      <c r="L73" s="11"/>
      <c r="M73" s="11"/>
      <c r="N73" s="11"/>
      <c r="O73" s="20"/>
      <c r="U73" s="20"/>
      <c r="V73" s="32"/>
      <c r="W73" s="34"/>
    </row>
    <row r="74" spans="1:23">
      <c r="A74" s="11"/>
      <c r="B74" s="11"/>
      <c r="C74" s="11"/>
      <c r="D74" s="11"/>
      <c r="E74" s="11"/>
      <c r="F74" s="11"/>
      <c r="G74" s="11"/>
      <c r="H74" s="20"/>
      <c r="I74" s="11"/>
      <c r="J74" s="11"/>
      <c r="K74" s="11"/>
      <c r="L74" s="11"/>
      <c r="M74" s="11"/>
      <c r="N74" s="11"/>
      <c r="O74" s="20"/>
      <c r="U74" s="20"/>
      <c r="V74" s="32"/>
      <c r="W74" s="34"/>
    </row>
    <row r="75" spans="1:23">
      <c r="A75" s="11"/>
      <c r="B75" s="11"/>
      <c r="C75" s="11"/>
      <c r="D75" s="11"/>
      <c r="E75" s="11"/>
      <c r="F75" s="20"/>
      <c r="G75" s="11"/>
      <c r="H75" s="20"/>
      <c r="I75" s="11"/>
      <c r="J75" s="11"/>
      <c r="K75" s="11"/>
      <c r="L75" s="11"/>
      <c r="M75" s="20"/>
      <c r="N75" s="11"/>
      <c r="O75" s="20"/>
      <c r="U75" s="20"/>
      <c r="V75" s="32"/>
      <c r="W75" s="34"/>
    </row>
    <row r="76" spans="1:23">
      <c r="A76" s="11"/>
      <c r="B76" s="11"/>
      <c r="C76" s="11"/>
      <c r="D76" s="11"/>
      <c r="E76" s="11"/>
      <c r="F76" s="20"/>
      <c r="G76" s="11"/>
      <c r="H76" s="20"/>
      <c r="I76" s="11"/>
      <c r="J76" s="11"/>
      <c r="K76" s="11"/>
      <c r="L76" s="11"/>
      <c r="M76" s="20"/>
      <c r="N76" s="11"/>
      <c r="O76" s="20"/>
      <c r="U76" s="20"/>
      <c r="V76" s="32"/>
      <c r="W76" s="34"/>
    </row>
    <row r="77" spans="1:23">
      <c r="A77" s="11"/>
      <c r="B77" s="11"/>
      <c r="C77" s="11"/>
      <c r="D77" s="11"/>
      <c r="E77" s="11"/>
      <c r="F77" s="20"/>
      <c r="G77" s="11"/>
      <c r="H77" s="20"/>
      <c r="I77" s="11"/>
      <c r="J77" s="11"/>
      <c r="K77" s="11"/>
      <c r="L77" s="11"/>
      <c r="M77" s="20"/>
      <c r="N77" s="11"/>
      <c r="O77" s="20"/>
      <c r="U77" s="20"/>
      <c r="V77" s="32"/>
      <c r="W77" s="34"/>
    </row>
    <row r="78" spans="8:23">
      <c r="H78" s="11"/>
      <c r="I78" s="11"/>
      <c r="J78" s="1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32"/>
      <c r="W78" s="34"/>
    </row>
    <row r="79" spans="8:23">
      <c r="H79" s="11"/>
      <c r="I79" s="11"/>
      <c r="J79" s="1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32"/>
      <c r="W79" s="34"/>
    </row>
    <row r="80" spans="1:2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32"/>
      <c r="W80" s="34"/>
    </row>
    <row r="81" spans="1:2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32"/>
      <c r="W81" s="34"/>
    </row>
    <row r="82" spans="1:2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32"/>
      <c r="W82" s="34"/>
    </row>
    <row r="83" spans="1:2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32"/>
      <c r="W83" s="34"/>
    </row>
    <row r="84" spans="1:2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32"/>
      <c r="W84" s="34"/>
    </row>
    <row r="85" spans="1:2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32"/>
      <c r="W85" s="34"/>
    </row>
    <row r="86" spans="1:2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32"/>
      <c r="W86" s="34"/>
    </row>
    <row r="87" spans="1:2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32"/>
      <c r="W87" s="34"/>
    </row>
    <row r="88" spans="1:2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32"/>
      <c r="W88" s="34"/>
    </row>
    <row r="89" spans="1:2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32"/>
      <c r="W89" s="34"/>
    </row>
    <row r="90" spans="1:2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32"/>
      <c r="W90" s="34"/>
    </row>
    <row r="91" spans="1:2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32"/>
      <c r="W91" s="34"/>
    </row>
    <row r="92" spans="1:2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32"/>
      <c r="W92" s="34"/>
    </row>
    <row r="93" spans="1:23">
      <c r="A93" s="20"/>
      <c r="B93" s="20"/>
      <c r="C93" s="20"/>
      <c r="D93" s="20"/>
      <c r="E93" s="20"/>
      <c r="F93" s="11"/>
      <c r="G93" s="7"/>
      <c r="H93" s="20"/>
      <c r="I93" s="20"/>
      <c r="J93" s="20"/>
      <c r="K93" s="20"/>
      <c r="L93" s="20"/>
      <c r="M93" s="11"/>
      <c r="N93" s="7"/>
      <c r="O93" s="20"/>
      <c r="P93" s="20"/>
      <c r="Q93" s="20"/>
      <c r="R93" s="20"/>
      <c r="S93" s="20"/>
      <c r="T93" s="11"/>
      <c r="U93" s="7"/>
      <c r="V93" s="32"/>
      <c r="W93" s="34"/>
    </row>
    <row r="94" spans="1:23">
      <c r="A94" s="20"/>
      <c r="B94" s="20"/>
      <c r="C94" s="20"/>
      <c r="D94" s="20"/>
      <c r="E94" s="20"/>
      <c r="F94" s="7"/>
      <c r="G94" s="11"/>
      <c r="H94" s="20"/>
      <c r="I94" s="20"/>
      <c r="J94" s="20"/>
      <c r="K94" s="20"/>
      <c r="L94" s="20"/>
      <c r="M94" s="7"/>
      <c r="N94" s="11"/>
      <c r="O94" s="20"/>
      <c r="P94" s="20"/>
      <c r="Q94" s="20"/>
      <c r="R94" s="20"/>
      <c r="S94" s="20"/>
      <c r="T94" s="7"/>
      <c r="U94" s="11"/>
      <c r="V94" s="32"/>
      <c r="W94" s="34"/>
    </row>
    <row r="95" spans="1:23">
      <c r="A95" s="20"/>
      <c r="B95" s="20"/>
      <c r="C95" s="20"/>
      <c r="D95" s="20"/>
      <c r="E95" s="20"/>
      <c r="F95" s="11"/>
      <c r="G95" s="11"/>
      <c r="H95" s="20"/>
      <c r="I95" s="20"/>
      <c r="J95" s="20"/>
      <c r="K95" s="20"/>
      <c r="L95" s="20"/>
      <c r="M95" s="11"/>
      <c r="N95" s="11"/>
      <c r="O95" s="20"/>
      <c r="P95" s="20"/>
      <c r="Q95" s="20"/>
      <c r="R95" s="20"/>
      <c r="S95" s="20"/>
      <c r="T95" s="11"/>
      <c r="U95" s="11"/>
      <c r="V95" s="32"/>
      <c r="W95" s="34"/>
    </row>
    <row r="96" spans="1:23">
      <c r="A96" s="20"/>
      <c r="B96" s="7"/>
      <c r="C96" s="11"/>
      <c r="D96" s="11"/>
      <c r="E96" s="7"/>
      <c r="F96" s="11"/>
      <c r="G96" s="11"/>
      <c r="H96" s="20"/>
      <c r="I96" s="20"/>
      <c r="J96" s="20"/>
      <c r="K96" s="20"/>
      <c r="L96" s="20"/>
      <c r="O96" s="20"/>
      <c r="P96" s="20"/>
      <c r="Q96" s="20"/>
      <c r="R96" s="20"/>
      <c r="S96" s="20"/>
      <c r="V96" s="32"/>
      <c r="W96" s="34"/>
    </row>
    <row r="97" spans="1:23">
      <c r="A97" s="20"/>
      <c r="B97" s="11"/>
      <c r="C97" s="11"/>
      <c r="D97" s="11"/>
      <c r="E97" s="11"/>
      <c r="G97" s="11"/>
      <c r="H97" s="20"/>
      <c r="I97" s="7"/>
      <c r="J97" s="11"/>
      <c r="K97" s="11"/>
      <c r="L97" s="7"/>
      <c r="M97" s="11"/>
      <c r="N97" s="11"/>
      <c r="O97" s="20"/>
      <c r="P97" s="20"/>
      <c r="Q97" s="20"/>
      <c r="R97" s="20"/>
      <c r="S97" s="20"/>
      <c r="V97" s="32"/>
      <c r="W97" s="34"/>
    </row>
    <row r="98" spans="1:23">
      <c r="A98" s="20"/>
      <c r="B98" s="11"/>
      <c r="C98" s="11"/>
      <c r="D98" s="11"/>
      <c r="E98" s="11"/>
      <c r="F98" s="11"/>
      <c r="G98" s="11"/>
      <c r="H98" s="20"/>
      <c r="I98" s="11"/>
      <c r="J98" s="11"/>
      <c r="K98" s="11"/>
      <c r="L98" s="11"/>
      <c r="N98" s="11"/>
      <c r="O98" s="20"/>
      <c r="P98" s="7"/>
      <c r="Q98" s="11"/>
      <c r="R98" s="11"/>
      <c r="S98" s="7"/>
      <c r="T98" s="11"/>
      <c r="U98" s="11"/>
      <c r="V98" s="32"/>
      <c r="W98" s="34"/>
    </row>
    <row r="99" spans="1:23">
      <c r="A99" s="20"/>
      <c r="B99" s="11"/>
      <c r="C99" s="11"/>
      <c r="D99" s="11"/>
      <c r="E99" s="11"/>
      <c r="F99" s="11"/>
      <c r="G99" s="11"/>
      <c r="H99" s="20"/>
      <c r="I99" s="11"/>
      <c r="J99" s="11"/>
      <c r="K99" s="11"/>
      <c r="L99" s="11"/>
      <c r="M99" s="11"/>
      <c r="N99" s="11"/>
      <c r="O99" s="20"/>
      <c r="P99" s="11"/>
      <c r="Q99" s="11"/>
      <c r="R99" s="11"/>
      <c r="S99" s="11"/>
      <c r="U99" s="11"/>
      <c r="V99" s="32"/>
      <c r="W99" s="34"/>
    </row>
    <row r="100" spans="1:23">
      <c r="A100" s="20"/>
      <c r="B100" s="11"/>
      <c r="C100" s="11"/>
      <c r="D100" s="11"/>
      <c r="E100" s="11"/>
      <c r="F100" s="20"/>
      <c r="G100" s="11"/>
      <c r="H100" s="20"/>
      <c r="I100" s="11"/>
      <c r="J100" s="11"/>
      <c r="K100" s="11"/>
      <c r="L100" s="11"/>
      <c r="M100" s="11"/>
      <c r="N100" s="11"/>
      <c r="O100" s="20"/>
      <c r="P100" s="11"/>
      <c r="Q100" s="11"/>
      <c r="R100" s="11"/>
      <c r="S100" s="11"/>
      <c r="T100" s="11"/>
      <c r="U100" s="11"/>
      <c r="V100" s="32"/>
      <c r="W100" s="34"/>
    </row>
    <row r="101" spans="1:23">
      <c r="A101" s="20"/>
      <c r="B101" s="11"/>
      <c r="C101" s="11"/>
      <c r="D101" s="11"/>
      <c r="E101" s="11"/>
      <c r="F101" s="20"/>
      <c r="G101" s="11"/>
      <c r="H101" s="20"/>
      <c r="I101" s="11"/>
      <c r="J101" s="11"/>
      <c r="K101" s="11"/>
      <c r="L101" s="11"/>
      <c r="M101" s="20"/>
      <c r="N101" s="11"/>
      <c r="O101" s="20"/>
      <c r="P101" s="11"/>
      <c r="Q101" s="11"/>
      <c r="R101" s="11"/>
      <c r="S101" s="11"/>
      <c r="T101" s="11"/>
      <c r="U101" s="11"/>
      <c r="V101" s="32"/>
      <c r="W101" s="34"/>
    </row>
    <row r="102" spans="1:23">
      <c r="A102" s="20"/>
      <c r="B102" s="11"/>
      <c r="C102" s="11"/>
      <c r="D102" s="11"/>
      <c r="E102" s="11"/>
      <c r="F102" s="20"/>
      <c r="G102" s="11"/>
      <c r="H102" s="20"/>
      <c r="I102" s="11"/>
      <c r="J102" s="11"/>
      <c r="K102" s="11"/>
      <c r="L102" s="11"/>
      <c r="M102" s="20"/>
      <c r="N102" s="11"/>
      <c r="O102" s="20"/>
      <c r="P102" s="11"/>
      <c r="Q102" s="11"/>
      <c r="R102" s="11"/>
      <c r="S102" s="11"/>
      <c r="T102" s="20"/>
      <c r="U102" s="11"/>
      <c r="V102" s="32"/>
      <c r="W102" s="34"/>
    </row>
    <row r="103" spans="9:23">
      <c r="I103" s="11"/>
      <c r="J103" s="11"/>
      <c r="K103" s="11"/>
      <c r="L103" s="11"/>
      <c r="M103" s="20"/>
      <c r="N103" s="11"/>
      <c r="P103" s="11"/>
      <c r="Q103" s="11"/>
      <c r="R103" s="11"/>
      <c r="S103" s="11"/>
      <c r="T103" s="20"/>
      <c r="U103" s="11"/>
      <c r="V103" s="32"/>
      <c r="W103" s="34"/>
    </row>
    <row r="104" spans="16:23">
      <c r="P104" s="11"/>
      <c r="Q104" s="11"/>
      <c r="R104" s="11"/>
      <c r="S104" s="11"/>
      <c r="T104" s="20"/>
      <c r="U104" s="11"/>
      <c r="V104" s="32"/>
      <c r="W104" s="34"/>
    </row>
    <row r="105" spans="17:23">
      <c r="Q105" s="20"/>
      <c r="R105" s="20"/>
      <c r="S105" s="20"/>
      <c r="T105" s="20"/>
      <c r="U105" s="20"/>
      <c r="V105" s="32"/>
      <c r="W105" s="34"/>
    </row>
    <row r="106" spans="4:23">
      <c r="D106" s="20"/>
      <c r="E106" s="20"/>
      <c r="F106" s="20"/>
      <c r="G106" s="20"/>
      <c r="H106" s="20"/>
      <c r="I106" s="20"/>
      <c r="R106" s="20"/>
      <c r="V106" s="17"/>
      <c r="W106" s="17"/>
    </row>
    <row r="107" spans="18:23">
      <c r="R107" s="20"/>
      <c r="V107" s="17"/>
      <c r="W107" s="17"/>
    </row>
    <row r="108" spans="18:23">
      <c r="R108" s="20"/>
      <c r="V108" s="17"/>
      <c r="W108" s="17"/>
    </row>
    <row r="109" spans="18:23">
      <c r="R109" s="20"/>
      <c r="V109" s="17"/>
      <c r="W109" s="17"/>
    </row>
    <row r="110" spans="18:23">
      <c r="R110" s="20"/>
      <c r="V110" s="17"/>
      <c r="W110" s="17"/>
    </row>
    <row r="111" spans="18:23">
      <c r="R111" s="20"/>
      <c r="V111" s="17"/>
      <c r="W111" s="17"/>
    </row>
    <row r="112" spans="10:23">
      <c r="J112" s="20"/>
      <c r="R112" s="20"/>
      <c r="S112" s="20"/>
      <c r="T112" s="20"/>
      <c r="V112" s="17"/>
      <c r="W112" s="17"/>
    </row>
    <row r="113" spans="4:23">
      <c r="D113" s="16"/>
      <c r="E113" s="16"/>
      <c r="F113" s="16"/>
      <c r="G113" s="16"/>
      <c r="H113" s="16"/>
      <c r="I113" s="16"/>
      <c r="J113" s="13"/>
      <c r="K113" s="16"/>
      <c r="L113" s="16"/>
      <c r="M113" s="16"/>
      <c r="N113" s="16"/>
      <c r="O113" s="16"/>
      <c r="R113" s="20"/>
      <c r="S113" s="20"/>
      <c r="T113" s="20"/>
      <c r="U113" s="16"/>
      <c r="V113" s="17"/>
      <c r="W113" s="17"/>
    </row>
    <row r="114" spans="20:23">
      <c r="T114" s="20"/>
      <c r="V114" s="20"/>
      <c r="W114" s="17"/>
    </row>
    <row r="115" spans="20:23">
      <c r="T115" s="20"/>
      <c r="V115" s="20"/>
      <c r="W115" s="17"/>
    </row>
    <row r="116" spans="20:23">
      <c r="T116" s="20"/>
      <c r="V116" s="20"/>
      <c r="W116" s="17"/>
    </row>
    <row r="117" spans="20:23">
      <c r="T117" s="20"/>
      <c r="V117" s="20"/>
      <c r="W117" s="17"/>
    </row>
    <row r="118" spans="20:23">
      <c r="T118" s="20"/>
      <c r="V118" s="20"/>
      <c r="W118" s="17"/>
    </row>
    <row r="119" spans="18:23">
      <c r="R119" s="20"/>
      <c r="T119" s="20"/>
      <c r="V119" s="17"/>
      <c r="W119" s="17"/>
    </row>
    <row r="120" spans="4:23">
      <c r="D120" s="16"/>
      <c r="E120" s="16"/>
      <c r="F120" s="16"/>
      <c r="G120" s="16"/>
      <c r="H120" s="16"/>
      <c r="I120" s="16"/>
      <c r="J120" s="13"/>
      <c r="K120" s="16"/>
      <c r="L120" s="16"/>
      <c r="M120" s="16"/>
      <c r="N120" s="16"/>
      <c r="O120" s="16"/>
      <c r="R120" s="20"/>
      <c r="T120" s="20"/>
      <c r="U120" s="16"/>
      <c r="V120" s="17"/>
      <c r="W120" s="17"/>
    </row>
    <row r="121" spans="18:23">
      <c r="R121" s="20"/>
      <c r="T121" s="20"/>
      <c r="V121" s="20"/>
      <c r="W121" s="17"/>
    </row>
    <row r="122" spans="18:23">
      <c r="R122" s="20"/>
      <c r="T122" s="20"/>
      <c r="V122" s="20"/>
      <c r="W122" s="17"/>
    </row>
    <row r="123" spans="18:23">
      <c r="R123" s="20"/>
      <c r="T123" s="20"/>
      <c r="V123" s="20"/>
      <c r="W123" s="17"/>
    </row>
    <row r="124" spans="18:23">
      <c r="R124" s="20"/>
      <c r="T124" s="20"/>
      <c r="V124" s="20"/>
      <c r="W124" s="17"/>
    </row>
    <row r="125" spans="18:23">
      <c r="R125" s="20"/>
      <c r="T125" s="20"/>
      <c r="V125" s="20"/>
      <c r="W125" s="17"/>
    </row>
    <row r="126" spans="8:23">
      <c r="H126" s="11"/>
      <c r="R126" s="20"/>
      <c r="T126" s="20"/>
      <c r="V126" s="17"/>
      <c r="W126" s="17"/>
    </row>
    <row r="127" spans="4:23">
      <c r="D127" s="16"/>
      <c r="E127" s="16"/>
      <c r="F127" s="16"/>
      <c r="G127" s="16"/>
      <c r="H127" s="16"/>
      <c r="I127" s="16"/>
      <c r="J127" s="13"/>
      <c r="K127" s="16"/>
      <c r="L127" s="16"/>
      <c r="M127" s="16"/>
      <c r="N127" s="16"/>
      <c r="O127" s="16"/>
      <c r="R127" s="20"/>
      <c r="T127" s="20"/>
      <c r="U127" s="16"/>
      <c r="V127" s="17"/>
      <c r="W127" s="17"/>
    </row>
    <row r="128" spans="18:23">
      <c r="R128" s="20"/>
      <c r="T128" s="20"/>
      <c r="V128" s="20"/>
      <c r="W128" s="17"/>
    </row>
    <row r="129" spans="18:23">
      <c r="R129" s="20"/>
      <c r="T129" s="20"/>
      <c r="V129" s="20"/>
      <c r="W129" s="17"/>
    </row>
    <row r="130" spans="18:23">
      <c r="R130" s="20"/>
      <c r="T130" s="20"/>
      <c r="V130" s="20"/>
      <c r="W130" s="17"/>
    </row>
    <row r="131" spans="18:23">
      <c r="R131" s="20"/>
      <c r="T131" s="20"/>
      <c r="V131" s="20"/>
      <c r="W131" s="17"/>
    </row>
    <row r="132" spans="18:23">
      <c r="R132" s="20"/>
      <c r="T132" s="20"/>
      <c r="V132" s="20"/>
      <c r="W132" s="17"/>
    </row>
    <row r="133" spans="18:23">
      <c r="R133" s="20"/>
      <c r="T133" s="20"/>
      <c r="V133" s="17"/>
      <c r="W133" s="17"/>
    </row>
    <row r="134" spans="4:23">
      <c r="D134" s="16"/>
      <c r="E134" s="16"/>
      <c r="F134" s="16"/>
      <c r="G134" s="16"/>
      <c r="H134" s="16"/>
      <c r="I134" s="16"/>
      <c r="J134" s="13"/>
      <c r="K134" s="16"/>
      <c r="L134" s="16"/>
      <c r="M134" s="16"/>
      <c r="N134" s="16"/>
      <c r="O134" s="16"/>
      <c r="R134" s="20"/>
      <c r="T134" s="20"/>
      <c r="U134" s="16"/>
      <c r="V134" s="17"/>
      <c r="W134" s="17"/>
    </row>
    <row r="135" spans="18:23">
      <c r="R135" s="20"/>
      <c r="T135" s="20"/>
      <c r="V135" s="20"/>
      <c r="W135" s="17"/>
    </row>
    <row r="136" spans="18:23">
      <c r="R136" s="20"/>
      <c r="T136" s="20"/>
      <c r="V136" s="20"/>
      <c r="W136" s="17"/>
    </row>
    <row r="137" spans="18:23">
      <c r="R137" s="20"/>
      <c r="T137" s="20"/>
      <c r="V137" s="20"/>
      <c r="W137" s="17"/>
    </row>
    <row r="138" spans="22:23">
      <c r="V138" s="20"/>
      <c r="W138" s="17"/>
    </row>
    <row r="139" spans="22:23">
      <c r="V139" s="20"/>
      <c r="W139" s="17"/>
    </row>
    <row r="140" spans="22:23">
      <c r="V140" s="17"/>
      <c r="W140" s="20"/>
    </row>
    <row r="141" spans="4:23">
      <c r="D141" s="16"/>
      <c r="E141" s="16"/>
      <c r="F141" s="16"/>
      <c r="G141" s="16"/>
      <c r="H141" s="16"/>
      <c r="I141" s="16"/>
      <c r="J141" s="13"/>
      <c r="K141" s="16"/>
      <c r="L141" s="16"/>
      <c r="M141" s="16"/>
      <c r="N141" s="16"/>
      <c r="O141" s="16"/>
      <c r="V141" s="17"/>
      <c r="W141" s="17"/>
    </row>
    <row r="142" spans="22:23">
      <c r="V142" s="20"/>
      <c r="W142" s="17"/>
    </row>
    <row r="143" spans="22:23">
      <c r="V143" s="20"/>
      <c r="W143" s="17"/>
    </row>
    <row r="144" spans="22:23">
      <c r="V144" s="20"/>
      <c r="W144" s="17"/>
    </row>
    <row r="145" spans="22:23">
      <c r="V145" s="20"/>
      <c r="W145" s="17"/>
    </row>
    <row r="146" spans="1:2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17"/>
    </row>
    <row r="147" spans="1:2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spans="1:2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</row>
    <row r="149" spans="1:2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0" spans="1:2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</row>
    <row r="151" spans="1:2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spans="1:2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</row>
    <row r="153" spans="1:2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</row>
    <row r="154" spans="1:2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</row>
    <row r="155" spans="1:2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</row>
    <row r="156" spans="1:2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</row>
    <row r="157" spans="1:2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</row>
    <row r="158" spans="1:2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</row>
    <row r="159" spans="1:19">
      <c r="A159" s="20"/>
      <c r="B159" s="20"/>
      <c r="C159" s="20"/>
      <c r="D159" s="20"/>
      <c r="E159" s="20"/>
      <c r="H159" s="20"/>
      <c r="I159" s="20"/>
      <c r="J159" s="20"/>
      <c r="K159" s="20"/>
      <c r="L159" s="20"/>
      <c r="O159" s="20"/>
      <c r="P159" s="20"/>
      <c r="Q159" s="20"/>
      <c r="R159" s="20"/>
      <c r="S159" s="20"/>
    </row>
    <row r="160" spans="1:19">
      <c r="A160" s="20"/>
      <c r="B160" s="20"/>
      <c r="C160" s="20"/>
      <c r="D160" s="20"/>
      <c r="E160" s="20"/>
      <c r="H160" s="20"/>
      <c r="I160" s="20"/>
      <c r="J160" s="20"/>
      <c r="K160" s="20"/>
      <c r="L160" s="20"/>
      <c r="O160" s="20"/>
      <c r="P160" s="20"/>
      <c r="Q160" s="20"/>
      <c r="R160" s="20"/>
      <c r="S160" s="20"/>
    </row>
    <row r="161" spans="1:21">
      <c r="A161" s="20"/>
      <c r="B161" s="7"/>
      <c r="C161" s="11"/>
      <c r="D161" s="11"/>
      <c r="E161" s="7"/>
      <c r="F161" s="11"/>
      <c r="G161" s="11"/>
      <c r="H161" s="20"/>
      <c r="I161" s="7"/>
      <c r="J161" s="11"/>
      <c r="K161" s="11"/>
      <c r="L161" s="7"/>
      <c r="M161" s="11"/>
      <c r="N161" s="11"/>
      <c r="O161" s="20"/>
      <c r="P161" s="7"/>
      <c r="Q161" s="11"/>
      <c r="R161" s="11"/>
      <c r="S161" s="7"/>
      <c r="T161" s="11"/>
      <c r="U161" s="11"/>
    </row>
    <row r="162" spans="1:21">
      <c r="A162" s="20"/>
      <c r="B162" s="11"/>
      <c r="C162" s="11"/>
      <c r="D162" s="11"/>
      <c r="E162" s="11"/>
      <c r="F162" s="11"/>
      <c r="G162" s="11"/>
      <c r="H162" s="20"/>
      <c r="I162" s="11"/>
      <c r="J162" s="11"/>
      <c r="K162" s="11"/>
      <c r="L162" s="11"/>
      <c r="M162" s="11"/>
      <c r="N162" s="11"/>
      <c r="O162" s="20"/>
      <c r="P162" s="11"/>
      <c r="Q162" s="11"/>
      <c r="R162" s="11"/>
      <c r="S162" s="11"/>
      <c r="T162" s="11"/>
      <c r="U162" s="11"/>
    </row>
    <row r="163" spans="1:21">
      <c r="A163" s="20"/>
      <c r="B163" s="11"/>
      <c r="C163" s="11"/>
      <c r="D163" s="11"/>
      <c r="E163" s="11"/>
      <c r="F163" s="11"/>
      <c r="G163" s="11"/>
      <c r="H163" s="20"/>
      <c r="I163" s="11"/>
      <c r="J163" s="11"/>
      <c r="K163" s="11"/>
      <c r="L163" s="11"/>
      <c r="M163" s="11"/>
      <c r="N163" s="11"/>
      <c r="O163" s="20"/>
      <c r="P163" s="11"/>
      <c r="Q163" s="11"/>
      <c r="R163" s="11"/>
      <c r="S163" s="11"/>
      <c r="T163" s="11"/>
      <c r="U163" s="11"/>
    </row>
    <row r="164" spans="1:21">
      <c r="A164" s="20"/>
      <c r="B164" s="11"/>
      <c r="C164" s="11"/>
      <c r="D164" s="11"/>
      <c r="E164" s="11"/>
      <c r="F164" s="11"/>
      <c r="G164" s="11"/>
      <c r="H164" s="20"/>
      <c r="I164" s="11"/>
      <c r="J164" s="11"/>
      <c r="K164" s="11"/>
      <c r="L164" s="11"/>
      <c r="M164" s="11"/>
      <c r="N164" s="11"/>
      <c r="O164" s="20"/>
      <c r="P164" s="11"/>
      <c r="Q164" s="11"/>
      <c r="R164" s="11"/>
      <c r="S164" s="11"/>
      <c r="T164" s="11"/>
      <c r="U164" s="11"/>
    </row>
    <row r="165" spans="1:21">
      <c r="A165" s="20"/>
      <c r="B165" s="11"/>
      <c r="C165" s="11"/>
      <c r="D165" s="11"/>
      <c r="E165" s="11"/>
      <c r="F165" s="20"/>
      <c r="G165" s="11"/>
      <c r="H165" s="20"/>
      <c r="I165" s="11"/>
      <c r="J165" s="11"/>
      <c r="K165" s="11"/>
      <c r="L165" s="11"/>
      <c r="M165" s="20"/>
      <c r="N165" s="11"/>
      <c r="O165" s="20"/>
      <c r="P165" s="11"/>
      <c r="Q165" s="11"/>
      <c r="R165" s="11"/>
      <c r="S165" s="11"/>
      <c r="T165" s="20"/>
      <c r="U165" s="11"/>
    </row>
    <row r="166" spans="1:21">
      <c r="A166" s="20"/>
      <c r="B166" s="11"/>
      <c r="C166" s="11"/>
      <c r="D166" s="11"/>
      <c r="E166" s="11"/>
      <c r="F166" s="20"/>
      <c r="G166" s="11"/>
      <c r="H166" s="20"/>
      <c r="I166" s="11"/>
      <c r="J166" s="11"/>
      <c r="K166" s="11"/>
      <c r="L166" s="11"/>
      <c r="M166" s="20"/>
      <c r="N166" s="11"/>
      <c r="O166" s="20"/>
      <c r="P166" s="11"/>
      <c r="Q166" s="11"/>
      <c r="R166" s="11"/>
      <c r="S166" s="11"/>
      <c r="T166" s="20"/>
      <c r="U166" s="11"/>
    </row>
    <row r="167" spans="1:21">
      <c r="A167" s="20"/>
      <c r="B167" s="11"/>
      <c r="C167" s="11"/>
      <c r="D167" s="11"/>
      <c r="E167" s="11"/>
      <c r="F167" s="20"/>
      <c r="G167" s="11"/>
      <c r="H167" s="20"/>
      <c r="I167" s="11"/>
      <c r="J167" s="11"/>
      <c r="K167" s="11"/>
      <c r="L167" s="11"/>
      <c r="M167" s="20"/>
      <c r="N167" s="11"/>
      <c r="O167" s="20"/>
      <c r="P167" s="11"/>
      <c r="Q167" s="11"/>
      <c r="R167" s="11"/>
      <c r="S167" s="11"/>
      <c r="T167" s="20"/>
      <c r="U167" s="11"/>
    </row>
    <row r="168" spans="8:8">
      <c r="H168" s="11"/>
    </row>
    <row r="169" spans="8:8">
      <c r="H169" s="11"/>
    </row>
    <row r="170" spans="8:8">
      <c r="H170" s="11"/>
    </row>
    <row r="171" spans="1:22">
      <c r="A171" s="20"/>
      <c r="B171" s="20"/>
      <c r="C171" s="20"/>
      <c r="D171" s="20"/>
      <c r="E171" s="20"/>
      <c r="F171" s="20"/>
      <c r="G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>
      <c r="A172" s="20"/>
      <c r="B172" s="20"/>
      <c r="C172" s="20"/>
      <c r="D172" s="20"/>
      <c r="E172" s="20"/>
      <c r="F172" s="20"/>
      <c r="G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>
      <c r="A173" s="20"/>
      <c r="B173" s="20"/>
      <c r="C173" s="20"/>
      <c r="D173" s="20"/>
      <c r="E173" s="20"/>
      <c r="F173" s="20"/>
      <c r="G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>
      <c r="A174" s="20"/>
      <c r="B174" s="20"/>
      <c r="C174" s="20"/>
      <c r="D174" s="20"/>
      <c r="E174" s="20"/>
      <c r="F174" s="20"/>
      <c r="G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>
      <c r="A175" s="20"/>
      <c r="B175" s="20"/>
      <c r="C175" s="20"/>
      <c r="D175" s="20"/>
      <c r="E175" s="20"/>
      <c r="F175" s="20"/>
      <c r="G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>
      <c r="A176" s="20"/>
      <c r="B176" s="20"/>
      <c r="C176" s="20"/>
      <c r="D176" s="20"/>
      <c r="E176" s="20"/>
      <c r="F176" s="20"/>
      <c r="G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>
      <c r="A177" s="20"/>
      <c r="B177" s="20"/>
      <c r="C177" s="20"/>
      <c r="D177" s="20"/>
      <c r="E177" s="20"/>
      <c r="F177" s="20"/>
      <c r="G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>
      <c r="A178" s="20"/>
      <c r="B178" s="20"/>
      <c r="C178" s="20"/>
      <c r="D178" s="20"/>
      <c r="E178" s="20"/>
      <c r="F178" s="20"/>
      <c r="G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>
      <c r="A179" s="20"/>
      <c r="B179" s="20"/>
      <c r="C179" s="20"/>
      <c r="D179" s="20"/>
      <c r="E179" s="20"/>
      <c r="F179" s="20"/>
      <c r="G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>
      <c r="A180" s="20"/>
      <c r="B180" s="20"/>
      <c r="C180" s="20"/>
      <c r="D180" s="20"/>
      <c r="E180" s="20"/>
      <c r="F180" s="20"/>
      <c r="G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>
      <c r="A181" s="20"/>
      <c r="B181" s="20"/>
      <c r="C181" s="20"/>
      <c r="D181" s="20"/>
      <c r="E181" s="20"/>
      <c r="F181" s="7"/>
      <c r="G181" s="11"/>
      <c r="I181" s="20"/>
      <c r="J181" s="20"/>
      <c r="K181" s="20"/>
      <c r="L181" s="20"/>
      <c r="M181" s="20"/>
      <c r="N181" s="7"/>
      <c r="O181" s="11"/>
      <c r="P181" s="20"/>
      <c r="Q181" s="20"/>
      <c r="R181" s="20"/>
      <c r="S181" s="20"/>
      <c r="T181" s="20"/>
      <c r="U181" s="7"/>
      <c r="V181" s="11"/>
    </row>
    <row r="182" spans="1:22">
      <c r="A182" s="20"/>
      <c r="B182" s="20"/>
      <c r="C182" s="20"/>
      <c r="D182" s="20"/>
      <c r="E182" s="20"/>
      <c r="I182" s="20"/>
      <c r="J182" s="20"/>
      <c r="K182" s="20"/>
      <c r="L182" s="20"/>
      <c r="M182" s="20"/>
      <c r="P182" s="20"/>
      <c r="Q182" s="20"/>
      <c r="R182" s="20"/>
      <c r="S182" s="20"/>
      <c r="T182" s="20"/>
      <c r="V182" s="17"/>
    </row>
    <row r="183" spans="1:22">
      <c r="A183" s="20"/>
      <c r="B183" s="20"/>
      <c r="C183" s="20"/>
      <c r="D183" s="20"/>
      <c r="E183" s="20"/>
      <c r="I183" s="20"/>
      <c r="J183" s="20"/>
      <c r="K183" s="20"/>
      <c r="L183" s="20"/>
      <c r="M183" s="20"/>
      <c r="P183" s="20"/>
      <c r="Q183" s="20"/>
      <c r="R183" s="20"/>
      <c r="S183" s="20"/>
      <c r="T183" s="20"/>
      <c r="V183" s="17"/>
    </row>
    <row r="184" spans="1:22">
      <c r="A184" s="20"/>
      <c r="B184" s="20"/>
      <c r="C184" s="20"/>
      <c r="D184" s="20"/>
      <c r="E184" s="20"/>
      <c r="I184" s="20"/>
      <c r="J184" s="20"/>
      <c r="K184" s="20"/>
      <c r="L184" s="20"/>
      <c r="M184" s="20"/>
      <c r="P184" s="20"/>
      <c r="Q184" s="20"/>
      <c r="R184" s="20"/>
      <c r="S184" s="20"/>
      <c r="T184" s="20"/>
      <c r="V184" s="17"/>
    </row>
    <row r="185" spans="1:22">
      <c r="A185" s="20"/>
      <c r="B185" s="20"/>
      <c r="C185" s="11"/>
      <c r="D185" s="11"/>
      <c r="E185" s="7"/>
      <c r="F185" s="11"/>
      <c r="G185" s="11"/>
      <c r="I185" s="20"/>
      <c r="J185" s="20"/>
      <c r="K185" s="20"/>
      <c r="L185" s="20"/>
      <c r="M185" s="20"/>
      <c r="P185" s="20"/>
      <c r="Q185" s="20"/>
      <c r="R185" s="11"/>
      <c r="S185" s="11"/>
      <c r="T185" s="7"/>
      <c r="U185" s="11"/>
      <c r="V185" s="11"/>
    </row>
    <row r="186" spans="1:22">
      <c r="A186" s="20"/>
      <c r="B186" s="11"/>
      <c r="C186" s="11"/>
      <c r="D186" s="11"/>
      <c r="E186" s="11"/>
      <c r="F186" s="11"/>
      <c r="G186" s="11"/>
      <c r="I186" s="20"/>
      <c r="J186" s="20"/>
      <c r="K186" s="20"/>
      <c r="L186" s="20"/>
      <c r="M186" s="20"/>
      <c r="P186" s="20"/>
      <c r="Q186" s="11"/>
      <c r="R186" s="11"/>
      <c r="S186" s="11"/>
      <c r="T186" s="11"/>
      <c r="U186" s="11"/>
      <c r="V186" s="11"/>
    </row>
    <row r="187" spans="1:22">
      <c r="A187" s="20"/>
      <c r="B187" s="11"/>
      <c r="C187" s="11"/>
      <c r="D187" s="11"/>
      <c r="E187" s="11"/>
      <c r="F187" s="11"/>
      <c r="G187" s="11"/>
      <c r="I187" s="20"/>
      <c r="J187" s="20"/>
      <c r="K187" s="20"/>
      <c r="L187" s="20"/>
      <c r="M187" s="20"/>
      <c r="P187" s="20"/>
      <c r="Q187" s="11"/>
      <c r="R187" s="11"/>
      <c r="S187" s="11"/>
      <c r="T187" s="11"/>
      <c r="U187" s="11"/>
      <c r="V187" s="11"/>
    </row>
    <row r="188" spans="1:22">
      <c r="A188" s="20"/>
      <c r="B188" s="11"/>
      <c r="C188" s="11"/>
      <c r="D188" s="11"/>
      <c r="E188" s="11"/>
      <c r="F188" s="11"/>
      <c r="G188" s="11"/>
      <c r="I188" s="20"/>
      <c r="J188" s="20"/>
      <c r="K188" s="11"/>
      <c r="L188" s="11"/>
      <c r="M188" s="7"/>
      <c r="N188" s="11"/>
      <c r="O188" s="11"/>
      <c r="P188" s="20"/>
      <c r="Q188" s="11"/>
      <c r="R188" s="11"/>
      <c r="S188" s="11"/>
      <c r="T188" s="11"/>
      <c r="U188" s="11"/>
      <c r="V188" s="11"/>
    </row>
    <row r="189" spans="1:22">
      <c r="A189" s="20"/>
      <c r="B189" s="11"/>
      <c r="C189" s="11"/>
      <c r="D189" s="11"/>
      <c r="E189" s="11"/>
      <c r="F189" s="20"/>
      <c r="G189" s="11"/>
      <c r="J189" s="11"/>
      <c r="K189" s="11"/>
      <c r="L189" s="11"/>
      <c r="M189" s="11"/>
      <c r="N189" s="11"/>
      <c r="O189" s="11"/>
      <c r="P189" s="20"/>
      <c r="Q189" s="11"/>
      <c r="R189" s="11"/>
      <c r="S189" s="11"/>
      <c r="T189" s="11"/>
      <c r="U189" s="20"/>
      <c r="V189" s="11"/>
    </row>
    <row r="190" spans="1:22">
      <c r="A190" s="20"/>
      <c r="B190" s="11"/>
      <c r="C190" s="11"/>
      <c r="D190" s="11"/>
      <c r="E190" s="11"/>
      <c r="F190" s="20"/>
      <c r="G190" s="11"/>
      <c r="J190" s="11"/>
      <c r="K190" s="11"/>
      <c r="L190" s="11"/>
      <c r="M190" s="11"/>
      <c r="N190" s="11"/>
      <c r="O190" s="11"/>
      <c r="P190" s="20"/>
      <c r="Q190" s="11"/>
      <c r="R190" s="11"/>
      <c r="S190" s="11"/>
      <c r="T190" s="11"/>
      <c r="U190" s="20"/>
      <c r="V190" s="11"/>
    </row>
    <row r="191" spans="1:22">
      <c r="A191" s="20"/>
      <c r="B191" s="11"/>
      <c r="C191" s="11"/>
      <c r="D191" s="11"/>
      <c r="E191" s="11"/>
      <c r="F191" s="20"/>
      <c r="G191" s="11"/>
      <c r="J191" s="11"/>
      <c r="K191" s="11"/>
      <c r="L191" s="11"/>
      <c r="M191" s="11"/>
      <c r="N191" s="11"/>
      <c r="O191" s="11"/>
      <c r="P191" s="20"/>
      <c r="Q191" s="11"/>
      <c r="R191" s="11"/>
      <c r="S191" s="11"/>
      <c r="T191" s="11"/>
      <c r="U191" s="20"/>
      <c r="V191" s="11"/>
    </row>
    <row r="192" spans="10:15">
      <c r="J192" s="11"/>
      <c r="K192" s="11"/>
      <c r="L192" s="11"/>
      <c r="M192" s="11"/>
      <c r="N192" s="20"/>
      <c r="O192" s="11"/>
    </row>
    <row r="193" spans="10:15">
      <c r="J193" s="11"/>
      <c r="K193" s="11"/>
      <c r="L193" s="11"/>
      <c r="M193" s="11"/>
      <c r="N193" s="20"/>
      <c r="O193" s="11"/>
    </row>
    <row r="194" spans="10:15">
      <c r="J194" s="11"/>
      <c r="K194" s="11"/>
      <c r="L194" s="11"/>
      <c r="M194" s="11"/>
      <c r="N194" s="20"/>
      <c r="O194" s="11"/>
    </row>
    <row r="206" spans="1:2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</row>
    <row r="207" spans="1:2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</row>
    <row r="208" spans="1:2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</row>
    <row r="209" spans="1:2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</row>
    <row r="210" spans="1:2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</row>
    <row r="211" spans="1:2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</row>
    <row r="212" spans="1:2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</row>
    <row r="213" spans="1:2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</row>
    <row r="214" spans="1:2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</row>
    <row r="215" spans="1:2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</row>
    <row r="216" spans="1:2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</row>
    <row r="217" spans="1:21">
      <c r="A217" s="20"/>
      <c r="B217" s="20"/>
      <c r="C217" s="20"/>
      <c r="D217" s="20"/>
      <c r="E217" s="20"/>
      <c r="F217" s="7"/>
      <c r="G217" s="7"/>
      <c r="H217" s="20"/>
      <c r="I217" s="20"/>
      <c r="J217" s="20"/>
      <c r="K217" s="20"/>
      <c r="L217" s="20"/>
      <c r="M217" s="7"/>
      <c r="N217" s="7"/>
      <c r="O217" s="20"/>
      <c r="P217" s="20"/>
      <c r="Q217" s="20"/>
      <c r="R217" s="20"/>
      <c r="S217" s="20"/>
      <c r="T217" s="7"/>
      <c r="U217" s="7"/>
    </row>
    <row r="218" spans="1:21">
      <c r="A218" s="20"/>
      <c r="B218" s="20"/>
      <c r="C218" s="20"/>
      <c r="D218" s="20"/>
      <c r="E218" s="20"/>
      <c r="F218" s="7"/>
      <c r="G218" s="7"/>
      <c r="H218" s="20"/>
      <c r="I218" s="20"/>
      <c r="J218" s="20"/>
      <c r="K218" s="20"/>
      <c r="L218" s="20"/>
      <c r="M218" s="7"/>
      <c r="N218" s="7"/>
      <c r="O218" s="20"/>
      <c r="P218" s="20"/>
      <c r="Q218" s="20"/>
      <c r="R218" s="20"/>
      <c r="S218" s="20"/>
      <c r="T218" s="7"/>
      <c r="U218" s="7"/>
    </row>
    <row r="219" spans="1:21">
      <c r="A219" s="20"/>
      <c r="B219" s="7"/>
      <c r="C219" s="11"/>
      <c r="D219" s="11"/>
      <c r="E219" s="7"/>
      <c r="F219" s="11"/>
      <c r="G219" s="20"/>
      <c r="H219" s="20"/>
      <c r="I219" s="7"/>
      <c r="J219" s="11"/>
      <c r="K219" s="11"/>
      <c r="L219" s="7"/>
      <c r="M219" s="11"/>
      <c r="N219" s="20"/>
      <c r="O219" s="20"/>
      <c r="P219" s="7"/>
      <c r="Q219" s="11"/>
      <c r="R219" s="11"/>
      <c r="S219" s="7"/>
      <c r="T219" s="11"/>
      <c r="U219" s="20"/>
    </row>
    <row r="220" spans="1:21">
      <c r="A220" s="20"/>
      <c r="B220" s="11"/>
      <c r="C220" s="11"/>
      <c r="D220" s="11"/>
      <c r="E220" s="11"/>
      <c r="F220" s="20"/>
      <c r="G220" s="20"/>
      <c r="H220" s="20"/>
      <c r="I220" s="11"/>
      <c r="J220" s="11"/>
      <c r="K220" s="11"/>
      <c r="L220" s="11"/>
      <c r="M220" s="20"/>
      <c r="N220" s="20"/>
      <c r="O220" s="20"/>
      <c r="P220" s="11"/>
      <c r="Q220" s="11"/>
      <c r="R220" s="11"/>
      <c r="S220" s="11"/>
      <c r="T220" s="20"/>
      <c r="U220" s="20"/>
    </row>
    <row r="221" spans="1:21">
      <c r="A221" s="20"/>
      <c r="B221" s="11"/>
      <c r="C221" s="11"/>
      <c r="D221" s="11"/>
      <c r="E221" s="11"/>
      <c r="F221" s="11"/>
      <c r="G221" s="11"/>
      <c r="H221" s="20"/>
      <c r="I221" s="11"/>
      <c r="J221" s="11"/>
      <c r="K221" s="11"/>
      <c r="L221" s="11"/>
      <c r="M221" s="11"/>
      <c r="N221" s="11"/>
      <c r="O221" s="20"/>
      <c r="P221" s="11"/>
      <c r="Q221" s="11"/>
      <c r="R221" s="11"/>
      <c r="S221" s="11"/>
      <c r="T221" s="11"/>
      <c r="U221" s="11"/>
    </row>
    <row r="222" spans="1:21">
      <c r="A222" s="20"/>
      <c r="B222" s="11"/>
      <c r="C222" s="11"/>
      <c r="D222" s="11"/>
      <c r="E222" s="11"/>
      <c r="F222" s="11"/>
      <c r="G222" s="11"/>
      <c r="H222" s="20"/>
      <c r="I222" s="11"/>
      <c r="J222" s="11"/>
      <c r="K222" s="11"/>
      <c r="L222" s="11"/>
      <c r="M222" s="11"/>
      <c r="N222" s="11"/>
      <c r="O222" s="20"/>
      <c r="P222" s="11"/>
      <c r="Q222" s="11"/>
      <c r="R222" s="11"/>
      <c r="S222" s="11"/>
      <c r="T222" s="11"/>
      <c r="U222" s="11"/>
    </row>
    <row r="223" spans="1:21">
      <c r="A223" s="20"/>
      <c r="B223" s="11"/>
      <c r="C223" s="11"/>
      <c r="D223" s="11"/>
      <c r="E223" s="11"/>
      <c r="F223" s="20"/>
      <c r="G223" s="11"/>
      <c r="H223" s="20"/>
      <c r="I223" s="11"/>
      <c r="J223" s="11"/>
      <c r="K223" s="11"/>
      <c r="L223" s="11"/>
      <c r="M223" s="20"/>
      <c r="N223" s="11"/>
      <c r="O223" s="20"/>
      <c r="P223" s="11"/>
      <c r="Q223" s="11"/>
      <c r="R223" s="11"/>
      <c r="S223" s="11"/>
      <c r="T223" s="20"/>
      <c r="U223" s="11"/>
    </row>
    <row r="224" spans="1:21">
      <c r="A224" s="11"/>
      <c r="B224" s="11"/>
      <c r="C224" s="11"/>
      <c r="D224" s="11"/>
      <c r="E224" s="11"/>
      <c r="F224" s="20"/>
      <c r="G224" s="11"/>
      <c r="H224" s="11"/>
      <c r="I224" s="11"/>
      <c r="J224" s="11"/>
      <c r="K224" s="11"/>
      <c r="L224" s="11"/>
      <c r="M224" s="20"/>
      <c r="N224" s="11"/>
      <c r="O224" s="11"/>
      <c r="P224" s="11"/>
      <c r="Q224" s="11"/>
      <c r="R224" s="11"/>
      <c r="S224" s="11"/>
      <c r="T224" s="20"/>
      <c r="U224" s="11"/>
    </row>
    <row r="225" spans="1:21">
      <c r="A225" s="11"/>
      <c r="B225" s="11"/>
      <c r="C225" s="11"/>
      <c r="D225" s="11"/>
      <c r="E225" s="11"/>
      <c r="F225" s="20"/>
      <c r="G225" s="11"/>
      <c r="H225" s="11"/>
      <c r="I225" s="11"/>
      <c r="J225" s="11"/>
      <c r="K225" s="11"/>
      <c r="L225" s="11"/>
      <c r="M225" s="20"/>
      <c r="N225" s="11"/>
      <c r="O225" s="11"/>
      <c r="P225" s="11"/>
      <c r="Q225" s="11"/>
      <c r="R225" s="11"/>
      <c r="S225" s="11"/>
      <c r="T225" s="20"/>
      <c r="U225" s="11"/>
    </row>
    <row r="226" spans="8:8">
      <c r="H226" s="7"/>
    </row>
    <row r="227" spans="1:2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</row>
    <row r="228" spans="1:2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</row>
    <row r="229" spans="1:2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</row>
    <row r="230" spans="1:2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</row>
    <row r="231" spans="1:2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</row>
    <row r="232" spans="1:2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</row>
    <row r="233" spans="1:2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</row>
    <row r="234" spans="1:2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</row>
    <row r="235" spans="1:2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</row>
    <row r="236" spans="1:2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</row>
    <row r="237" spans="1:2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</row>
    <row r="238" spans="1:21">
      <c r="A238" s="20"/>
      <c r="B238" s="20"/>
      <c r="C238" s="20"/>
      <c r="D238" s="20"/>
      <c r="E238" s="20"/>
      <c r="F238" s="7"/>
      <c r="G238" s="7"/>
      <c r="H238" s="20"/>
      <c r="I238" s="20"/>
      <c r="J238" s="20"/>
      <c r="K238" s="20"/>
      <c r="L238" s="20"/>
      <c r="M238" s="7"/>
      <c r="N238" s="7"/>
      <c r="O238" s="20"/>
      <c r="P238" s="20"/>
      <c r="Q238" s="20"/>
      <c r="R238" s="20"/>
      <c r="S238" s="20"/>
      <c r="T238" s="7"/>
      <c r="U238" s="7"/>
    </row>
    <row r="239" spans="1:21">
      <c r="A239" s="20"/>
      <c r="B239" s="20"/>
      <c r="C239" s="20"/>
      <c r="D239" s="20"/>
      <c r="E239" s="20"/>
      <c r="F239" s="7"/>
      <c r="G239" s="7"/>
      <c r="H239" s="20"/>
      <c r="I239" s="20"/>
      <c r="J239" s="20"/>
      <c r="K239" s="20"/>
      <c r="L239" s="20"/>
      <c r="M239" s="7"/>
      <c r="N239" s="7"/>
      <c r="O239" s="20"/>
      <c r="P239" s="20"/>
      <c r="Q239" s="20"/>
      <c r="R239" s="20"/>
      <c r="S239" s="20"/>
      <c r="T239" s="7"/>
      <c r="U239" s="7"/>
    </row>
    <row r="240" spans="1:21">
      <c r="A240" s="20"/>
      <c r="B240" s="7"/>
      <c r="C240" s="11"/>
      <c r="D240" s="11"/>
      <c r="E240" s="7"/>
      <c r="F240" s="11"/>
      <c r="G240" s="20"/>
      <c r="H240" s="20"/>
      <c r="I240" s="7"/>
      <c r="J240" s="11"/>
      <c r="K240" s="11"/>
      <c r="L240" s="7"/>
      <c r="M240" s="11"/>
      <c r="N240" s="20"/>
      <c r="O240" s="20"/>
      <c r="P240" s="7"/>
      <c r="Q240" s="11"/>
      <c r="R240" s="11"/>
      <c r="S240" s="7"/>
      <c r="T240" s="11"/>
      <c r="U240" s="20"/>
    </row>
    <row r="241" spans="1:21">
      <c r="A241" s="20"/>
      <c r="B241" s="11"/>
      <c r="C241" s="11"/>
      <c r="D241" s="11"/>
      <c r="E241" s="11"/>
      <c r="F241" s="20"/>
      <c r="G241" s="20"/>
      <c r="H241" s="20"/>
      <c r="I241" s="11"/>
      <c r="J241" s="11"/>
      <c r="K241" s="11"/>
      <c r="L241" s="11"/>
      <c r="M241" s="20"/>
      <c r="N241" s="20"/>
      <c r="O241" s="20"/>
      <c r="P241" s="11"/>
      <c r="Q241" s="11"/>
      <c r="R241" s="11"/>
      <c r="S241" s="11"/>
      <c r="T241" s="20"/>
      <c r="U241" s="20"/>
    </row>
    <row r="242" spans="1:21">
      <c r="A242" s="20"/>
      <c r="B242" s="11"/>
      <c r="C242" s="11"/>
      <c r="D242" s="11"/>
      <c r="E242" s="11"/>
      <c r="F242" s="11"/>
      <c r="G242" s="11"/>
      <c r="H242" s="20"/>
      <c r="I242" s="11"/>
      <c r="J242" s="11"/>
      <c r="K242" s="11"/>
      <c r="L242" s="11"/>
      <c r="M242" s="11"/>
      <c r="N242" s="11"/>
      <c r="O242" s="20"/>
      <c r="P242" s="11"/>
      <c r="Q242" s="11"/>
      <c r="R242" s="11"/>
      <c r="S242" s="11"/>
      <c r="T242" s="11"/>
      <c r="U242" s="11"/>
    </row>
    <row r="243" spans="1:21">
      <c r="A243" s="20"/>
      <c r="B243" s="11"/>
      <c r="C243" s="11"/>
      <c r="D243" s="11"/>
      <c r="E243" s="11"/>
      <c r="F243" s="11"/>
      <c r="G243" s="11"/>
      <c r="H243" s="20"/>
      <c r="I243" s="11"/>
      <c r="J243" s="11"/>
      <c r="K243" s="11"/>
      <c r="L243" s="11"/>
      <c r="M243" s="11"/>
      <c r="N243" s="11"/>
      <c r="O243" s="20"/>
      <c r="P243" s="11"/>
      <c r="Q243" s="11"/>
      <c r="R243" s="11"/>
      <c r="S243" s="11"/>
      <c r="T243" s="11"/>
      <c r="U243" s="11"/>
    </row>
    <row r="244" spans="1:21">
      <c r="A244" s="20"/>
      <c r="B244" s="11"/>
      <c r="C244" s="11"/>
      <c r="D244" s="11"/>
      <c r="E244" s="11"/>
      <c r="F244" s="20"/>
      <c r="G244" s="11"/>
      <c r="H244" s="20"/>
      <c r="I244" s="11"/>
      <c r="J244" s="11"/>
      <c r="K244" s="11"/>
      <c r="L244" s="11"/>
      <c r="M244" s="20"/>
      <c r="N244" s="11"/>
      <c r="O244" s="20"/>
      <c r="P244" s="11"/>
      <c r="Q244" s="11"/>
      <c r="R244" s="11"/>
      <c r="S244" s="11"/>
      <c r="T244" s="20"/>
      <c r="U244" s="11"/>
    </row>
    <row r="245" spans="1:21">
      <c r="A245" s="11"/>
      <c r="B245" s="11"/>
      <c r="C245" s="11"/>
      <c r="D245" s="11"/>
      <c r="E245" s="11"/>
      <c r="F245" s="20"/>
      <c r="G245" s="11"/>
      <c r="H245" s="11"/>
      <c r="I245" s="11"/>
      <c r="J245" s="11"/>
      <c r="K245" s="11"/>
      <c r="L245" s="11"/>
      <c r="M245" s="20"/>
      <c r="N245" s="11"/>
      <c r="O245" s="11"/>
      <c r="P245" s="11"/>
      <c r="Q245" s="11"/>
      <c r="R245" s="11"/>
      <c r="S245" s="11"/>
      <c r="T245" s="20"/>
      <c r="U245" s="11"/>
    </row>
    <row r="246" spans="1:21">
      <c r="A246" s="11"/>
      <c r="B246" s="11"/>
      <c r="C246" s="11"/>
      <c r="D246" s="11"/>
      <c r="E246" s="11"/>
      <c r="F246" s="20"/>
      <c r="G246" s="11"/>
      <c r="H246" s="11"/>
      <c r="I246" s="11"/>
      <c r="J246" s="11"/>
      <c r="K246" s="11"/>
      <c r="L246" s="11"/>
      <c r="M246" s="20"/>
      <c r="N246" s="11"/>
      <c r="O246" s="11"/>
      <c r="P246" s="11"/>
      <c r="Q246" s="11"/>
      <c r="R246" s="11"/>
      <c r="S246" s="11"/>
      <c r="T246" s="20"/>
      <c r="U246" s="11"/>
    </row>
    <row r="248" spans="1:1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P248" s="36"/>
    </row>
    <row r="249" spans="1:1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P249" s="36"/>
    </row>
    <row r="250" spans="1:1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P250" s="36"/>
    </row>
    <row r="251" spans="1:1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P251" s="36"/>
    </row>
    <row r="252" spans="1:1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P252" s="36"/>
    </row>
    <row r="253" spans="1:1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P253" s="36"/>
    </row>
    <row r="254" spans="1:1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spans="1:14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</row>
    <row r="256" spans="1:14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</row>
    <row r="257" spans="1:14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</row>
    <row r="258" spans="1:14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</row>
    <row r="259" spans="1:14">
      <c r="A259" s="20"/>
      <c r="B259" s="20"/>
      <c r="C259" s="20"/>
      <c r="D259" s="20"/>
      <c r="E259" s="20"/>
      <c r="F259" s="7"/>
      <c r="G259" s="7"/>
      <c r="H259" s="20"/>
      <c r="I259" s="20"/>
      <c r="J259" s="20"/>
      <c r="K259" s="20"/>
      <c r="L259" s="20"/>
      <c r="M259" s="7"/>
      <c r="N259" s="7"/>
    </row>
    <row r="260" spans="2:14">
      <c r="B260" s="20"/>
      <c r="C260" s="20"/>
      <c r="D260" s="20"/>
      <c r="E260" s="20"/>
      <c r="F260" s="7"/>
      <c r="G260" s="7"/>
      <c r="I260" s="20"/>
      <c r="J260" s="20"/>
      <c r="K260" s="20"/>
      <c r="L260" s="20"/>
      <c r="M260" s="7"/>
      <c r="N260" s="7"/>
    </row>
    <row r="261" spans="1:12">
      <c r="A261" s="20"/>
      <c r="B261" s="20"/>
      <c r="C261" s="20"/>
      <c r="D261" s="20"/>
      <c r="E261" s="20"/>
      <c r="H261" s="20"/>
      <c r="I261" s="20"/>
      <c r="J261" s="20"/>
      <c r="K261" s="20"/>
      <c r="L261" s="20"/>
    </row>
    <row r="262" spans="1:8">
      <c r="A262" s="20"/>
      <c r="H262" s="20"/>
    </row>
    <row r="263" spans="1:14">
      <c r="A263" s="20"/>
      <c r="B263" s="7"/>
      <c r="C263" s="11"/>
      <c r="D263" s="11"/>
      <c r="E263" s="7"/>
      <c r="F263" s="11"/>
      <c r="G263" s="20"/>
      <c r="H263" s="20"/>
      <c r="I263" s="7"/>
      <c r="J263" s="11"/>
      <c r="K263" s="11"/>
      <c r="L263" s="7"/>
      <c r="M263" s="11"/>
      <c r="N263" s="20"/>
    </row>
    <row r="264" spans="1:14">
      <c r="A264" s="20"/>
      <c r="B264" s="11"/>
      <c r="C264" s="11"/>
      <c r="D264" s="11"/>
      <c r="E264" s="11"/>
      <c r="F264" s="20"/>
      <c r="G264" s="20"/>
      <c r="H264" s="20"/>
      <c r="I264" s="11"/>
      <c r="J264" s="11"/>
      <c r="K264" s="11"/>
      <c r="L264" s="11"/>
      <c r="M264" s="20"/>
      <c r="N264" s="20"/>
    </row>
    <row r="265" spans="1:14">
      <c r="A265" s="20"/>
      <c r="B265" s="11"/>
      <c r="C265" s="11"/>
      <c r="D265" s="11"/>
      <c r="E265" s="11"/>
      <c r="F265" s="11"/>
      <c r="G265" s="11"/>
      <c r="H265" s="20"/>
      <c r="I265" s="11"/>
      <c r="J265" s="11"/>
      <c r="K265" s="11"/>
      <c r="L265" s="11"/>
      <c r="M265" s="11"/>
      <c r="N265" s="11"/>
    </row>
    <row r="266" spans="1: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>
      <c r="A267" s="11"/>
      <c r="B267" s="11"/>
      <c r="C267" s="11"/>
      <c r="D267" s="11"/>
      <c r="E267" s="11"/>
      <c r="F267" s="20"/>
      <c r="G267" s="11"/>
      <c r="H267" s="11"/>
      <c r="I267" s="11"/>
      <c r="J267" s="11"/>
      <c r="K267" s="11"/>
      <c r="L267" s="11"/>
      <c r="M267" s="20"/>
      <c r="N267" s="11"/>
    </row>
    <row r="268" spans="2:14">
      <c r="B268" s="11"/>
      <c r="C268" s="11"/>
      <c r="D268" s="11"/>
      <c r="E268" s="11"/>
      <c r="F268" s="20"/>
      <c r="G268" s="11"/>
      <c r="I268" s="11"/>
      <c r="J268" s="11"/>
      <c r="K268" s="11"/>
      <c r="L268" s="11"/>
      <c r="M268" s="20"/>
      <c r="N268" s="11"/>
    </row>
    <row r="269" spans="2:14">
      <c r="B269" s="11"/>
      <c r="C269" s="11"/>
      <c r="D269" s="11"/>
      <c r="E269" s="11"/>
      <c r="F269" s="20"/>
      <c r="G269" s="11"/>
      <c r="I269" s="11"/>
      <c r="J269" s="11"/>
      <c r="K269" s="11"/>
      <c r="L269" s="11"/>
      <c r="M269" s="20"/>
      <c r="N269" s="11"/>
    </row>
    <row r="271" spans="1:2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</row>
    <row r="272" spans="1:2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</row>
    <row r="273" spans="1:2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</row>
    <row r="274" spans="1:2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</row>
    <row r="275" spans="1:2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</row>
    <row r="276" spans="1:2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</row>
    <row r="277" spans="1:2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</row>
    <row r="278" spans="1:2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</row>
    <row r="279" spans="1:2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</row>
    <row r="280" spans="1:2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</row>
    <row r="281" spans="1:2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</row>
    <row r="282" spans="1:2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</row>
    <row r="283" spans="1:2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11"/>
      <c r="U283" s="7"/>
    </row>
    <row r="284" spans="1:21">
      <c r="A284" s="20"/>
      <c r="B284" s="20"/>
      <c r="C284" s="20"/>
      <c r="D284" s="20"/>
      <c r="E284" s="20"/>
      <c r="F284" s="11"/>
      <c r="G284" s="7"/>
      <c r="H284" s="20"/>
      <c r="I284" s="20"/>
      <c r="J284" s="20"/>
      <c r="K284" s="20"/>
      <c r="L284" s="20"/>
      <c r="M284" s="11"/>
      <c r="N284" s="7"/>
      <c r="O284" s="20"/>
      <c r="P284" s="20"/>
      <c r="Q284" s="20"/>
      <c r="R284" s="20"/>
      <c r="S284" s="20"/>
      <c r="T284" s="7"/>
      <c r="U284" s="11"/>
    </row>
    <row r="285" spans="1:21">
      <c r="A285" s="20"/>
      <c r="B285" s="20"/>
      <c r="C285" s="20"/>
      <c r="D285" s="20"/>
      <c r="E285" s="20"/>
      <c r="F285" s="7"/>
      <c r="G285" s="11"/>
      <c r="H285" s="20"/>
      <c r="I285" s="20"/>
      <c r="J285" s="20"/>
      <c r="K285" s="20"/>
      <c r="L285" s="20"/>
      <c r="M285" s="7"/>
      <c r="N285" s="11"/>
      <c r="O285" s="20"/>
      <c r="P285" s="20"/>
      <c r="Q285" s="20"/>
      <c r="R285" s="20"/>
      <c r="S285" s="20"/>
      <c r="T285" s="11"/>
      <c r="U285" s="11"/>
    </row>
    <row r="286" spans="1:21">
      <c r="A286" s="20"/>
      <c r="B286" s="20"/>
      <c r="C286" s="20"/>
      <c r="D286" s="20"/>
      <c r="E286" s="20"/>
      <c r="F286" s="11"/>
      <c r="G286" s="11"/>
      <c r="H286" s="20"/>
      <c r="I286" s="20"/>
      <c r="J286" s="20"/>
      <c r="K286" s="20"/>
      <c r="L286" s="20"/>
      <c r="M286" s="11"/>
      <c r="N286" s="11"/>
      <c r="O286" s="20"/>
      <c r="P286" s="7"/>
      <c r="Q286" s="11"/>
      <c r="R286" s="11"/>
      <c r="S286" s="7"/>
      <c r="T286" s="11"/>
      <c r="U286" s="11"/>
    </row>
    <row r="287" spans="1:21">
      <c r="A287" s="20"/>
      <c r="B287" s="20"/>
      <c r="C287" s="20"/>
      <c r="D287" s="20"/>
      <c r="E287" s="20"/>
      <c r="H287" s="20"/>
      <c r="I287" s="20"/>
      <c r="J287" s="20"/>
      <c r="K287" s="20"/>
      <c r="L287" s="20"/>
      <c r="O287" s="20"/>
      <c r="P287" s="11"/>
      <c r="Q287" s="11"/>
      <c r="R287" s="11"/>
      <c r="S287" s="11"/>
      <c r="U287" s="11"/>
    </row>
    <row r="288" spans="1:21">
      <c r="A288" s="20"/>
      <c r="B288" s="7"/>
      <c r="C288" s="11"/>
      <c r="D288" s="11"/>
      <c r="E288" s="7"/>
      <c r="F288" s="11"/>
      <c r="G288" s="11"/>
      <c r="H288" s="20"/>
      <c r="I288" s="7"/>
      <c r="J288" s="11"/>
      <c r="K288" s="11"/>
      <c r="L288" s="7"/>
      <c r="M288" s="11"/>
      <c r="N288" s="11"/>
      <c r="O288" s="20"/>
      <c r="P288" s="11"/>
      <c r="Q288" s="11"/>
      <c r="R288" s="11"/>
      <c r="S288" s="11"/>
      <c r="T288" s="11"/>
      <c r="U288" s="11"/>
    </row>
    <row r="289" spans="1:21">
      <c r="A289" s="20"/>
      <c r="B289" s="11"/>
      <c r="C289" s="11"/>
      <c r="D289" s="11"/>
      <c r="E289" s="11"/>
      <c r="G289" s="11"/>
      <c r="H289" s="20"/>
      <c r="I289" s="11"/>
      <c r="J289" s="11"/>
      <c r="K289" s="11"/>
      <c r="L289" s="11"/>
      <c r="N289" s="11"/>
      <c r="O289" s="20"/>
      <c r="P289" s="11"/>
      <c r="Q289" s="11"/>
      <c r="R289" s="11"/>
      <c r="S289" s="11"/>
      <c r="T289" s="11"/>
      <c r="U289" s="11"/>
    </row>
    <row r="290" spans="1:21">
      <c r="A290" s="20"/>
      <c r="B290" s="11"/>
      <c r="C290" s="11"/>
      <c r="D290" s="11"/>
      <c r="E290" s="11"/>
      <c r="F290" s="11"/>
      <c r="G290" s="11"/>
      <c r="H290" s="20"/>
      <c r="I290" s="11"/>
      <c r="J290" s="11"/>
      <c r="K290" s="11"/>
      <c r="L290" s="11"/>
      <c r="M290" s="11"/>
      <c r="N290" s="11"/>
      <c r="O290" s="20"/>
      <c r="P290" s="11"/>
      <c r="Q290" s="11"/>
      <c r="R290" s="11"/>
      <c r="S290" s="11"/>
      <c r="T290" s="20"/>
      <c r="U290" s="11"/>
    </row>
    <row r="291" spans="1:21">
      <c r="A291" s="20"/>
      <c r="B291" s="11"/>
      <c r="C291" s="11"/>
      <c r="D291" s="11"/>
      <c r="E291" s="11"/>
      <c r="F291" s="11"/>
      <c r="G291" s="11"/>
      <c r="H291" s="20"/>
      <c r="I291" s="11"/>
      <c r="J291" s="11"/>
      <c r="K291" s="11"/>
      <c r="L291" s="11"/>
      <c r="M291" s="11"/>
      <c r="N291" s="11"/>
      <c r="O291" s="20"/>
      <c r="P291" s="11"/>
      <c r="Q291" s="11"/>
      <c r="R291" s="11"/>
      <c r="S291" s="11"/>
      <c r="T291" s="20"/>
      <c r="U291" s="11"/>
    </row>
    <row r="292" spans="1:21">
      <c r="A292" s="20"/>
      <c r="B292" s="11"/>
      <c r="C292" s="11"/>
      <c r="D292" s="11"/>
      <c r="E292" s="11"/>
      <c r="F292" s="20"/>
      <c r="G292" s="11"/>
      <c r="H292" s="20"/>
      <c r="I292" s="11"/>
      <c r="J292" s="11"/>
      <c r="K292" s="11"/>
      <c r="L292" s="11"/>
      <c r="M292" s="20"/>
      <c r="N292" s="11"/>
      <c r="O292" s="20"/>
      <c r="P292" s="11"/>
      <c r="Q292" s="11"/>
      <c r="R292" s="11"/>
      <c r="S292" s="11"/>
      <c r="T292" s="20"/>
      <c r="U292" s="11"/>
    </row>
    <row r="293" spans="1:14">
      <c r="A293" s="20"/>
      <c r="B293" s="11"/>
      <c r="C293" s="11"/>
      <c r="D293" s="11"/>
      <c r="E293" s="11"/>
      <c r="F293" s="20"/>
      <c r="G293" s="11"/>
      <c r="H293" s="20"/>
      <c r="I293" s="11"/>
      <c r="J293" s="11"/>
      <c r="K293" s="11"/>
      <c r="L293" s="11"/>
      <c r="M293" s="20"/>
      <c r="N293" s="11"/>
    </row>
    <row r="294" spans="1:14">
      <c r="A294" s="20"/>
      <c r="B294" s="11"/>
      <c r="C294" s="11"/>
      <c r="D294" s="11"/>
      <c r="E294" s="11"/>
      <c r="F294" s="20"/>
      <c r="G294" s="11"/>
      <c r="H294" s="20"/>
      <c r="I294" s="11"/>
      <c r="J294" s="11"/>
      <c r="K294" s="11"/>
      <c r="L294" s="11"/>
      <c r="M294" s="20"/>
      <c r="N294" s="11"/>
    </row>
  </sheetData>
  <mergeCells count="2">
    <mergeCell ref="I24:L24"/>
    <mergeCell ref="T35:U35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99"/>
  <sheetViews>
    <sheetView topLeftCell="A58" workbookViewId="0">
      <selection activeCell="V61" sqref="V61"/>
    </sheetView>
  </sheetViews>
  <sheetFormatPr defaultColWidth="7.625" defaultRowHeight="15"/>
  <cols>
    <col min="1" max="1" width="12.375" style="7" customWidth="1"/>
    <col min="2" max="3" width="7.625" style="7"/>
    <col min="4" max="4" width="11.25" style="7" customWidth="1"/>
    <col min="5" max="5" width="7.625" style="7"/>
    <col min="6" max="6" width="8.6" style="7"/>
    <col min="7" max="7" width="10.625" style="7" customWidth="1"/>
    <col min="8" max="8" width="9.625" style="7" customWidth="1"/>
    <col min="9" max="9" width="9.25" style="7" customWidth="1"/>
    <col min="10" max="10" width="10" style="7" customWidth="1"/>
    <col min="11" max="12" width="7.625" style="7"/>
    <col min="13" max="13" width="10.5" style="7" customWidth="1"/>
    <col min="14" max="14" width="10.25" style="7" customWidth="1"/>
    <col min="15" max="20" width="7.625" style="7"/>
    <col min="21" max="21" width="10.25" style="7" customWidth="1"/>
    <col min="22" max="22" width="7.625" style="8"/>
    <col min="23" max="23" width="10.375" style="9" customWidth="1"/>
    <col min="24" max="27" width="7.625" style="7"/>
    <col min="28" max="28" width="10.5" style="7" customWidth="1"/>
    <col min="29" max="40" width="7.625" style="7"/>
    <col min="41" max="16384" width="7.625" style="10"/>
  </cols>
  <sheetData>
    <row r="1" customHeight="1" spans="1:22">
      <c r="A1" s="11" t="s">
        <v>271</v>
      </c>
      <c r="B1" s="11" t="s">
        <v>272</v>
      </c>
      <c r="C1" s="11" t="s">
        <v>273</v>
      </c>
      <c r="D1" s="11" t="s">
        <v>274</v>
      </c>
      <c r="E1" s="11" t="s">
        <v>275</v>
      </c>
      <c r="F1" s="11" t="s">
        <v>195</v>
      </c>
      <c r="G1" s="11" t="s">
        <v>276</v>
      </c>
      <c r="H1" s="11" t="s">
        <v>277</v>
      </c>
      <c r="I1" s="11" t="s">
        <v>278</v>
      </c>
      <c r="J1" s="11" t="s">
        <v>26</v>
      </c>
      <c r="K1" s="11" t="s">
        <v>279</v>
      </c>
      <c r="L1" s="11" t="s">
        <v>36</v>
      </c>
      <c r="M1" s="11" t="s">
        <v>205</v>
      </c>
      <c r="N1" s="11" t="s">
        <v>15</v>
      </c>
      <c r="O1" s="11" t="s">
        <v>16</v>
      </c>
      <c r="P1" s="7" t="s">
        <v>280</v>
      </c>
      <c r="Q1" s="11" t="s">
        <v>75</v>
      </c>
      <c r="R1" s="11" t="s">
        <v>212</v>
      </c>
      <c r="S1" s="11" t="s">
        <v>213</v>
      </c>
      <c r="T1" s="20" t="s">
        <v>281</v>
      </c>
      <c r="U1" s="26" t="str">
        <f>属性!Q5</f>
        <v>木桩属性</v>
      </c>
      <c r="V1" s="11">
        <f>属性!R5</f>
        <v>0</v>
      </c>
    </row>
    <row r="2" customHeight="1" spans="1:22">
      <c r="A2" s="12" t="s">
        <v>284</v>
      </c>
      <c r="B2" s="11">
        <v>5</v>
      </c>
      <c r="C2" s="11">
        <f>0.656</f>
        <v>0.656</v>
      </c>
      <c r="D2" s="11">
        <v>137.5</v>
      </c>
      <c r="E2" s="13">
        <v>1</v>
      </c>
      <c r="F2" s="13">
        <f>12%+Q35</f>
        <v>0.12</v>
      </c>
      <c r="G2" s="13">
        <f>0%+0.1*F31</f>
        <v>0</v>
      </c>
      <c r="H2" s="13">
        <f>0.1*F31</f>
        <v>0</v>
      </c>
      <c r="I2" s="21" t="e">
        <f ca="1">(N:N*C:C+D:D+E:E*Q:Q)*(1+F:F)*(K:K*(L:L+H:H-1)+1-R:R-0.75*S:S)*(1+M:M)*INDEX($O$37:$O$42,MATCH($Q$39,$M$37:$M$42,))+$I$17</f>
        <v>#N/A</v>
      </c>
      <c r="J2" s="13">
        <f ca="1" t="shared" ref="J2:J26" si="0">INDEX(V:V,MATCH($1:$1,$U:$U,))+$G:$G</f>
        <v>0.2668</v>
      </c>
      <c r="K2" s="15">
        <f ca="1" t="shared" ref="K2:K8" si="1">J:J+(0.211855500496661*J:J^6-0.937563819411654*J:J^5+1.77483619127542*J:J^4-1.89647323402313*J:J^3+1.2737744963305*J:J^2-0.565275505039552*J:J+0.164596522595162)*$D$38</f>
        <v>0.34303631782102</v>
      </c>
      <c r="L2" s="13">
        <f ca="1">INDEX(V2:V17,MATCH(1:1,U2:U17,))</f>
        <v>1.8533</v>
      </c>
      <c r="M2" s="13">
        <f ca="1">INDEX(V2:V17,MATCH(1:1,U2:U17,))</f>
        <v>0.6539</v>
      </c>
      <c r="N2" s="21">
        <f ca="1">INDEX(V2:V17,MATCH(1:1,U2:U17,))+O:O*P:P</f>
        <v>14364.1922307692</v>
      </c>
      <c r="O2" s="21">
        <f ca="1">INDEX(V2:V17,MATCH(1:1,U2:U17,))</f>
        <v>7315.92307692308</v>
      </c>
      <c r="P2" s="22">
        <f>45%+D42*0.15*6/25</f>
        <v>0.486</v>
      </c>
      <c r="Q2" s="21">
        <f ca="1">INDEX(V2:V17,MATCH(1:1,U2:U17,))</f>
        <v>751</v>
      </c>
      <c r="R2" s="13">
        <f ca="1">INDEX(V2:V17,MATCH(1:1,U2:U17,))</f>
        <v>0</v>
      </c>
      <c r="S2" s="13">
        <f ca="1">INDEX(V2:V17,MATCH(1:1,U2:U17,))</f>
        <v>0</v>
      </c>
      <c r="T2" s="20">
        <f>1-Q37/16</f>
        <v>0.8125</v>
      </c>
      <c r="U2" s="11" t="str">
        <f>属性!Q6</f>
        <v>身法</v>
      </c>
      <c r="V2" s="11">
        <f ca="1">属性!R6</f>
        <v>1749</v>
      </c>
    </row>
    <row r="3" customHeight="1" spans="1:22">
      <c r="A3" s="12" t="s">
        <v>308</v>
      </c>
      <c r="B3" s="11">
        <v>5</v>
      </c>
      <c r="C3" s="14">
        <f>0.719</f>
        <v>0.719</v>
      </c>
      <c r="D3" s="11">
        <v>137.5</v>
      </c>
      <c r="E3" s="13">
        <v>1</v>
      </c>
      <c r="F3" s="15">
        <f>12%+Q35</f>
        <v>0.12</v>
      </c>
      <c r="G3" s="13">
        <f>0%+0.1*F31</f>
        <v>0</v>
      </c>
      <c r="H3" s="13">
        <f>0.1*F31</f>
        <v>0</v>
      </c>
      <c r="I3" s="21" t="e">
        <f ca="1">(N:N*C:C+D:D+E:E*Q:Q)*(1+F:F)*(K:K*(L:L+H:H-1)+1-R:R-0.75*S:S)*(1+M:M)*INDEX($O$37:$O$42,MATCH($Q$39,$M$37:$M$42,))+$I$17</f>
        <v>#N/A</v>
      </c>
      <c r="J3" s="13">
        <f ca="1" t="shared" si="0"/>
        <v>0.2668</v>
      </c>
      <c r="K3" s="15">
        <f ca="1" t="shared" si="1"/>
        <v>0.34303631782102</v>
      </c>
      <c r="L3" s="13">
        <f ca="1">INDEX(V2:V17,MATCH(1:1,U2:U17,))</f>
        <v>1.8533</v>
      </c>
      <c r="M3" s="13">
        <f ca="1">INDEX(V2:V17,MATCH(1:1,U2:U17,))</f>
        <v>0.6539</v>
      </c>
      <c r="N3" s="21">
        <f ca="1">INDEX(V2:V17,MATCH(1:1,U2:U17,))+O:O*P:P</f>
        <v>14364.1922307692</v>
      </c>
      <c r="O3" s="21">
        <f ca="1">INDEX(V2:V17,MATCH(1:1,U2:U17,))</f>
        <v>7315.92307692308</v>
      </c>
      <c r="P3" s="22">
        <f>45%+D42*0.15*6/25</f>
        <v>0.486</v>
      </c>
      <c r="Q3" s="21">
        <f ca="1">INDEX(V2:V17,MATCH(1:1,U2:U17,))</f>
        <v>751</v>
      </c>
      <c r="R3" s="13">
        <f ca="1">INDEX(V2:V17,MATCH(1:1,U2:U17,))</f>
        <v>0</v>
      </c>
      <c r="S3" s="13">
        <f ca="1">INDEX(V2:V17,MATCH(1:1,U2:U17,))</f>
        <v>0</v>
      </c>
      <c r="T3" s="20">
        <f>1-Q37/16</f>
        <v>0.8125</v>
      </c>
      <c r="U3" s="11" t="str">
        <f>属性!Q7</f>
        <v>基础身法</v>
      </c>
      <c r="V3" s="11">
        <f ca="1">属性!R7</f>
        <v>1590</v>
      </c>
    </row>
    <row r="4" customHeight="1" spans="1:22">
      <c r="A4" s="12" t="s">
        <v>309</v>
      </c>
      <c r="B4" s="11">
        <v>10</v>
      </c>
      <c r="C4" s="11">
        <f>0.787</f>
        <v>0.787</v>
      </c>
      <c r="D4" s="11">
        <v>137.5</v>
      </c>
      <c r="E4" s="13">
        <v>1</v>
      </c>
      <c r="F4" s="13">
        <f>12%+Q35</f>
        <v>0.12</v>
      </c>
      <c r="G4" s="13">
        <f>0%+0.1*$F$31</f>
        <v>0</v>
      </c>
      <c r="H4" s="13">
        <f>0.1*F31</f>
        <v>0</v>
      </c>
      <c r="I4" s="21" t="e">
        <f ca="1">(N:N*C:C+D:D+E:E*Q:Q)*(1+F:F)*(K:K*(L:L+H:H-1)+1-R:R-0.75*S:S)*(1+M:M)*INDEX($O$37:$O$42,MATCH($Q$39,$M$37:$M$42,))+$I$17+$I$19*$D$32*$V$19</f>
        <v>#N/A</v>
      </c>
      <c r="J4" s="13">
        <f ca="1" t="shared" si="0"/>
        <v>0.2668</v>
      </c>
      <c r="K4" s="15">
        <f ca="1" t="shared" si="1"/>
        <v>0.34303631782102</v>
      </c>
      <c r="L4" s="13">
        <f ca="1">INDEX(V2:V17,MATCH(1:1,U2:U17,))</f>
        <v>1.8533</v>
      </c>
      <c r="M4" s="13">
        <f ca="1">INDEX(V2:V17,MATCH(1:1,U2:U17,))</f>
        <v>0.6539</v>
      </c>
      <c r="N4" s="21">
        <f ca="1">INDEX(V2:V17,MATCH(1:1,U2:U17,))+O:O*P:P</f>
        <v>14364.1922307692</v>
      </c>
      <c r="O4" s="21">
        <f ca="1">INDEX(V2:V17,MATCH(1:1,U2:U17,))</f>
        <v>7315.92307692308</v>
      </c>
      <c r="P4" s="22">
        <f>45%+D42*0.15*6/25</f>
        <v>0.486</v>
      </c>
      <c r="Q4" s="21">
        <f ca="1">INDEX(V2:V17,MATCH(1:1,U2:U17,))</f>
        <v>751</v>
      </c>
      <c r="R4" s="13">
        <f ca="1">INDEX(V2:V17,MATCH(1:1,U2:U17,))</f>
        <v>0</v>
      </c>
      <c r="S4" s="13">
        <f ca="1">INDEX(V2:V17,MATCH(1:1,U2:U17,))</f>
        <v>0</v>
      </c>
      <c r="T4" s="20">
        <f>1-Q37/16</f>
        <v>0.8125</v>
      </c>
      <c r="U4" s="11" t="str">
        <f>属性!Q8</f>
        <v>力道</v>
      </c>
      <c r="V4" s="11">
        <f ca="1">属性!R8</f>
        <v>32</v>
      </c>
    </row>
    <row r="5" customHeight="1" spans="1:22">
      <c r="A5" s="12" t="s">
        <v>310</v>
      </c>
      <c r="B5" s="11">
        <v>5</v>
      </c>
      <c r="C5" s="11">
        <f>0.9375</f>
        <v>0.9375</v>
      </c>
      <c r="D5" s="11">
        <v>137.5</v>
      </c>
      <c r="E5" s="13">
        <v>1</v>
      </c>
      <c r="F5" s="13">
        <f>12%+Q35</f>
        <v>0.12</v>
      </c>
      <c r="G5" s="13">
        <f>0%+0.1*F31</f>
        <v>0</v>
      </c>
      <c r="H5" s="13">
        <f>0.1*F34</f>
        <v>0</v>
      </c>
      <c r="I5" s="21" t="e">
        <f ca="1">(N:N*C:C+D:D+E:E*Q:Q)*(1+F:F)*(K:K*(L:L+H:H-1)+1-R:R-0.75*S:S)*INDEX($O$37:$O$42,MATCH($Q$39,$M$37:$M$42,))+$I$17</f>
        <v>#N/A</v>
      </c>
      <c r="J5" s="13">
        <f ca="1" t="shared" si="0"/>
        <v>0.2668</v>
      </c>
      <c r="K5" s="15">
        <f ca="1" t="shared" si="1"/>
        <v>0.34303631782102</v>
      </c>
      <c r="L5" s="13">
        <f ca="1">INDEX(V2:V17,MATCH(1:1,U2:U17,))</f>
        <v>1.8533</v>
      </c>
      <c r="M5" s="13">
        <f ca="1">INDEX(V2:V17,MATCH(1:1,U2:U17,))</f>
        <v>0.6539</v>
      </c>
      <c r="N5" s="21">
        <f ca="1">INDEX(V2:V17,MATCH(1:1,U2:U17,))+O:O*P:P</f>
        <v>14364.1922307692</v>
      </c>
      <c r="O5" s="21">
        <f ca="1">INDEX(V2:V17,MATCH(1:1,U2:U17,))</f>
        <v>7315.92307692308</v>
      </c>
      <c r="P5" s="22">
        <f>45%+D42*0.15*6/25</f>
        <v>0.486</v>
      </c>
      <c r="Q5" s="21">
        <f ca="1">INDEX(V2:V17,MATCH(1:1,U2:U17,))</f>
        <v>751</v>
      </c>
      <c r="R5" s="13">
        <f ca="1">INDEX(V2:V17,MATCH(1:1,U2:U17,))</f>
        <v>0</v>
      </c>
      <c r="S5" s="13">
        <f ca="1">INDEX(V2:V17,MATCH(1:1,U2:U17,))</f>
        <v>0</v>
      </c>
      <c r="T5" s="20">
        <f>1-Q38/16</f>
        <v>0.6875</v>
      </c>
      <c r="U5" s="11" t="str">
        <f>属性!Q9</f>
        <v>面板攻击</v>
      </c>
      <c r="V5" s="11">
        <f ca="1">属性!R9</f>
        <v>10808.6536153846</v>
      </c>
    </row>
    <row r="6" customHeight="1" spans="1:22">
      <c r="A6" s="12" t="s">
        <v>286</v>
      </c>
      <c r="B6" s="11">
        <v>5</v>
      </c>
      <c r="C6" s="11">
        <f>0.625*(1+0.6*D35)</f>
        <v>0.625</v>
      </c>
      <c r="D6" s="11">
        <f>109*(1+0.6*D35)</f>
        <v>109</v>
      </c>
      <c r="E6" s="13">
        <v>1</v>
      </c>
      <c r="F6" s="13">
        <f>0%+Q35</f>
        <v>0</v>
      </c>
      <c r="G6" s="13">
        <f>0%+0.1*F31</f>
        <v>0</v>
      </c>
      <c r="H6" s="13">
        <f>0.1*F31</f>
        <v>0</v>
      </c>
      <c r="I6" s="21" t="e">
        <f ca="1">(N:N*C:C+D:D+E:E*Q:Q)*(1+F:F)*(K:K*(L:L+H:H-1)+1-R:R-0.75*S:S)*(1+M:M)*INDEX($L$37:$L$42,MATCH($Q$39,$M$37:$M$42,))+$I$17</f>
        <v>#N/A</v>
      </c>
      <c r="J6" s="13">
        <f ca="1" t="shared" si="0"/>
        <v>0.2668</v>
      </c>
      <c r="K6" s="15">
        <f ca="1" t="shared" si="1"/>
        <v>0.34303631782102</v>
      </c>
      <c r="L6" s="13">
        <f ca="1">INDEX(V2:V17,MATCH(1:1,U2:U17,))</f>
        <v>1.8533</v>
      </c>
      <c r="M6" s="13">
        <f ca="1">INDEX(V2:V17,MATCH(1:1,U2:U17,))</f>
        <v>0.6539</v>
      </c>
      <c r="N6" s="21">
        <f ca="1">INDEX(V2:V17,MATCH(1:1,U2:U17,))+O:O*P:P</f>
        <v>14364.1922307692</v>
      </c>
      <c r="O6" s="21">
        <f ca="1">INDEX(V2:V17,MATCH(1:1,U2:U17,))</f>
        <v>7315.92307692308</v>
      </c>
      <c r="P6" s="22">
        <f>45%+D42*0.15*6/25</f>
        <v>0.486</v>
      </c>
      <c r="Q6" s="21">
        <f ca="1">INDEX(V2:V17,MATCH(1:1,U2:U17,))</f>
        <v>751</v>
      </c>
      <c r="R6" s="13">
        <f ca="1">INDEX(V2:V17,MATCH(1:1,U2:U17,))</f>
        <v>0</v>
      </c>
      <c r="S6" s="13">
        <f ca="1">INDEX(V2:V17,MATCH(1:1,U2:U17,))</f>
        <v>0</v>
      </c>
      <c r="T6" s="20">
        <f>1-Q37/16</f>
        <v>0.8125</v>
      </c>
      <c r="U6" s="11" t="str">
        <f>属性!Q10</f>
        <v>基础攻击</v>
      </c>
      <c r="V6" s="11">
        <f ca="1">属性!R10</f>
        <v>7315.92307692308</v>
      </c>
    </row>
    <row r="7" customHeight="1" spans="1:22">
      <c r="A7" s="12" t="s">
        <v>82</v>
      </c>
      <c r="B7" s="11">
        <v>15</v>
      </c>
      <c r="C7" s="11">
        <v>1.243</v>
      </c>
      <c r="D7" s="11">
        <v>211</v>
      </c>
      <c r="E7" s="13">
        <v>1</v>
      </c>
      <c r="F7" s="13" t="e">
        <f>9%+H39*0.1+Q35</f>
        <v>#VALUE!</v>
      </c>
      <c r="G7" s="13" t="e">
        <f>0%+0.1*F31+N35</f>
        <v>#REF!</v>
      </c>
      <c r="H7" s="13">
        <f>0.1*F31</f>
        <v>0</v>
      </c>
      <c r="I7" s="21" t="e">
        <f ca="1">(N:N*C:C+D:D+E:E*Q:Q)*(1+F:F)*(K:K*(L:L+H:H-1)+1-R:R-0.75*S:S)*(1+M:M)*INDEX($O$37:$O$42,MATCH($Q$39,$M$37:$M$42,))+$I$17</f>
        <v>#VALUE!</v>
      </c>
      <c r="J7" s="13" t="e">
        <f ca="1" t="shared" si="0"/>
        <v>#REF!</v>
      </c>
      <c r="K7" s="15" t="e">
        <f ca="1" t="shared" si="1"/>
        <v>#REF!</v>
      </c>
      <c r="L7" s="13">
        <f ca="1">INDEX(V2:V17,MATCH(1:1,U2:U17,))</f>
        <v>1.8533</v>
      </c>
      <c r="M7" s="13">
        <f ca="1">INDEX(V2:V17,MATCH(1:1,U2:U17,))</f>
        <v>0.6539</v>
      </c>
      <c r="N7" s="21">
        <f ca="1">INDEX(V2:V17,MATCH(1:1,U2:U17,))+O:O*P:P</f>
        <v>14364.1922307692</v>
      </c>
      <c r="O7" s="21">
        <f ca="1">INDEX(V2:V17,MATCH(1:1,U2:U17,))</f>
        <v>7315.92307692308</v>
      </c>
      <c r="P7" s="22">
        <f>45%+D42*0.15*6/25</f>
        <v>0.486</v>
      </c>
      <c r="Q7" s="21">
        <f ca="1">INDEX(V2:V17,MATCH(1:1,U2:U17,))</f>
        <v>751</v>
      </c>
      <c r="R7" s="13">
        <f ca="1">INDEX(V2:V17,MATCH(1:1,U2:U17,))</f>
        <v>0</v>
      </c>
      <c r="S7" s="13">
        <f ca="1">INDEX(V2:V17,MATCH(1:1,U2:U17,))</f>
        <v>0</v>
      </c>
      <c r="T7" s="20">
        <f>1.5-Q36/16</f>
        <v>1.25</v>
      </c>
      <c r="U7" s="11" t="str">
        <f>属性!Q11</f>
        <v>会心</v>
      </c>
      <c r="V7" s="13">
        <f ca="1">属性!R11</f>
        <v>0.2668</v>
      </c>
    </row>
    <row r="8" customHeight="1" spans="1:22">
      <c r="A8" s="12" t="s">
        <v>55</v>
      </c>
      <c r="B8" s="11">
        <v>15</v>
      </c>
      <c r="C8" s="11">
        <f>0.937604456824513*(1+1.5*F35)</f>
        <v>2.34401114206128</v>
      </c>
      <c r="D8" s="11">
        <f>136*(1+1.5*F35)</f>
        <v>340</v>
      </c>
      <c r="E8" s="13">
        <v>1</v>
      </c>
      <c r="F8" s="13">
        <f>Q35</f>
        <v>0</v>
      </c>
      <c r="G8" s="13">
        <f>0%+0.1*F31+0.1*F35</f>
        <v>0.1</v>
      </c>
      <c r="H8" s="13">
        <f>0.1*F31</f>
        <v>0</v>
      </c>
      <c r="I8" s="21" t="e">
        <f ca="1">(N:N*C:C+D:D+E:E*Q:Q)*(1+F:F)*(K:K*(L:L+H:H-1)+1-R:R-0.75*S:S)*(1+M:M)*INDEX($O$37:$O$42,MATCH($Q$39,$M$37:$M$42,))+$I$17*F35</f>
        <v>#N/A</v>
      </c>
      <c r="J8" s="13">
        <f ca="1" t="shared" si="0"/>
        <v>0.3668</v>
      </c>
      <c r="K8" s="15">
        <f ca="1" t="shared" si="1"/>
        <v>0.428257053164767</v>
      </c>
      <c r="L8" s="13">
        <f ca="1">INDEX(V2:V17,MATCH(1:1,U2:U17,))</f>
        <v>1.8533</v>
      </c>
      <c r="M8" s="13">
        <f ca="1">INDEX(V2:V17,MATCH(1:1,U2:U17,))</f>
        <v>0.6539</v>
      </c>
      <c r="N8" s="21">
        <f ca="1">INDEX(V2:V17,MATCH(1:1,U2:U17,))+O:O*P:P</f>
        <v>14364.1922307692</v>
      </c>
      <c r="O8" s="21">
        <f ca="1">INDEX(V2:V17,MATCH(1:1,U2:U17,))</f>
        <v>7315.92307692308</v>
      </c>
      <c r="P8" s="22">
        <f>45%+D42*0.15*6/25</f>
        <v>0.486</v>
      </c>
      <c r="Q8" s="21">
        <f ca="1">INDEX(V2:V17,MATCH(1:1,U2:U17,))</f>
        <v>751</v>
      </c>
      <c r="R8" s="13">
        <f ca="1">INDEX(V2:V17,MATCH(1:1,U2:U17,))</f>
        <v>0</v>
      </c>
      <c r="S8" s="13">
        <f ca="1">INDEX(V2:V17,MATCH(1:1,U2:U17,))</f>
        <v>0</v>
      </c>
      <c r="T8" s="20">
        <f>1.5-Q36/16</f>
        <v>1.25</v>
      </c>
      <c r="U8" s="11" t="str">
        <f>属性!Q12</f>
        <v>会效</v>
      </c>
      <c r="V8" s="13">
        <f ca="1">属性!R12</f>
        <v>1.8533</v>
      </c>
    </row>
    <row r="9" customHeight="1" spans="1:22">
      <c r="A9" s="12" t="s">
        <v>35</v>
      </c>
      <c r="B9" s="11">
        <v>0</v>
      </c>
      <c r="C9" s="11">
        <v>0.168802228412256</v>
      </c>
      <c r="D9" s="11">
        <v>25</v>
      </c>
      <c r="E9" s="13">
        <v>1</v>
      </c>
      <c r="F9" s="13" t="e">
        <f>7%+0.05*H40</f>
        <v>#VALUE!</v>
      </c>
      <c r="G9" s="13">
        <f>3%+0.1*F33</f>
        <v>0.13</v>
      </c>
      <c r="H9" s="13">
        <v>0</v>
      </c>
      <c r="I9" s="21" t="e">
        <f ca="1">(N:N*C:C+D:D+E:E*Q:Q)*(1+F:F)*(K:K*(L:L+H:H-1)+1-R:R-0.75*S:S)*(1+M:M)*INDEX($O$37:$O$42,MATCH($Q$39,$M$37:$M$42,))</f>
        <v>#VALUE!</v>
      </c>
      <c r="J9" s="13">
        <f ca="1" t="shared" si="0"/>
        <v>0.3968</v>
      </c>
      <c r="K9" s="15">
        <f ca="1" t="shared" ref="K9:K13" si="2">J:J+$K$31*$D$38</f>
        <v>0.462540279154423</v>
      </c>
      <c r="L9" s="13">
        <f ca="1">INDEX(V2:V17,MATCH(1:1,U2:U17,))</f>
        <v>1.8533</v>
      </c>
      <c r="M9" s="13">
        <f ca="1">INDEX(V2:V17,MATCH(1:1,U2:U17,))</f>
        <v>0.6539</v>
      </c>
      <c r="N9" s="21">
        <f ca="1">INDEX(V2:V17,MATCH(1:1,U2:U17,))+O:O*P:P</f>
        <v>15461.5806923077</v>
      </c>
      <c r="O9" s="21">
        <f ca="1">INDEX(V2:V17,MATCH(1:1,U2:U17,))</f>
        <v>7315.92307692308</v>
      </c>
      <c r="P9" s="22">
        <f>45%+D42*0.15*6/25+0.15*D31</f>
        <v>0.636</v>
      </c>
      <c r="Q9" s="21">
        <f ca="1">INDEX(V2:V17,MATCH(1:1,U2:U17,))</f>
        <v>751</v>
      </c>
      <c r="R9" s="13">
        <f ca="1">INDEX(V2:V17,MATCH(1:1,U2:U17,))</f>
        <v>0</v>
      </c>
      <c r="S9" s="13">
        <f ca="1">INDEX(V2:V17,MATCH(1:1,U2:U17,))</f>
        <v>0</v>
      </c>
      <c r="T9" s="20">
        <f>1.5-Q36/16</f>
        <v>1.25</v>
      </c>
      <c r="U9" s="11" t="str">
        <f>属性!Q13</f>
        <v>破防值</v>
      </c>
      <c r="V9" s="11">
        <f ca="1">属性!R13</f>
        <v>10033.57238</v>
      </c>
    </row>
    <row r="10" customHeight="1" spans="1:22">
      <c r="A10" s="12" t="s">
        <v>14</v>
      </c>
      <c r="B10" s="11">
        <v>-5</v>
      </c>
      <c r="C10" s="11">
        <v>1.10009285051068</v>
      </c>
      <c r="D10" s="11">
        <v>124.5</v>
      </c>
      <c r="E10" s="13">
        <v>1</v>
      </c>
      <c r="F10" s="13">
        <f>12%+Q35</f>
        <v>0.12</v>
      </c>
      <c r="G10" s="13">
        <v>0</v>
      </c>
      <c r="H10" s="13">
        <v>0</v>
      </c>
      <c r="I10" s="21" t="e">
        <f ca="1">(N:N*C:C+D:D+E:E*Q:Q)*(1+F:F)*(K:K*(L:L+H:H-1)+1-R:R-0.75*S:S)*(1+M:M)*INDEX($O$37:$O$42,MATCH($Q$39,$M$37:$M$42,))+$I$18</f>
        <v>#N/A</v>
      </c>
      <c r="J10" s="13">
        <f ca="1" t="shared" si="0"/>
        <v>0.2668</v>
      </c>
      <c r="K10" s="15">
        <f ca="1" t="shared" si="2"/>
        <v>0.332540279154423</v>
      </c>
      <c r="L10" s="13">
        <f ca="1">INDEX(V2:V17,MATCH(1:1,U2:U17,))</f>
        <v>1.8533</v>
      </c>
      <c r="M10" s="13">
        <f ca="1">INDEX(V2:V17,MATCH(1:1,U2:U17,))</f>
        <v>0.6539</v>
      </c>
      <c r="N10" s="21">
        <f ca="1">INDEX(V2:V17,MATCH(1:1,U2:U17,))+O:O*P:P</f>
        <v>15461.5806923077</v>
      </c>
      <c r="O10" s="21">
        <f ca="1">INDEX(V2:V17,MATCH(1:1,U2:U17,))</f>
        <v>7315.92307692308</v>
      </c>
      <c r="P10" s="22">
        <f>45%+D42*0.15*6/25+0.15*D31</f>
        <v>0.636</v>
      </c>
      <c r="Q10" s="21">
        <f ca="1">INDEX(V2:V17,MATCH(1:1,U2:U17,))</f>
        <v>751</v>
      </c>
      <c r="R10" s="13">
        <f ca="1">INDEX(V2:V17,MATCH(1:1,U2:U17,))</f>
        <v>0</v>
      </c>
      <c r="S10" s="13">
        <f ca="1">INDEX(V2:V17,MATCH(1:1,U2:U17,))</f>
        <v>0</v>
      </c>
      <c r="T10" s="20">
        <f>1.5-Q36/16</f>
        <v>1.25</v>
      </c>
      <c r="U10" s="11" t="str">
        <f>属性!Q14</f>
        <v>基础破防</v>
      </c>
      <c r="V10" s="11">
        <f ca="1">属性!R14</f>
        <v>7718.1326</v>
      </c>
    </row>
    <row r="11" customHeight="1" spans="1:22">
      <c r="A11" s="12" t="s">
        <v>65</v>
      </c>
      <c r="B11" s="11">
        <v>-15</v>
      </c>
      <c r="C11" s="11">
        <v>1.19363974001857</v>
      </c>
      <c r="D11" s="11">
        <v>233</v>
      </c>
      <c r="E11" s="13">
        <v>1</v>
      </c>
      <c r="F11" s="13" t="e">
        <f>12%+H40*0.05+Q35</f>
        <v>#VALUE!</v>
      </c>
      <c r="G11" s="13">
        <v>0.04</v>
      </c>
      <c r="H11" s="13">
        <v>0</v>
      </c>
      <c r="I11" s="21" t="e">
        <f ca="1">(N:N*C:C+D:D+E:E*Q:Q)*(1+F:F)*(K:K*(L:L+H:H-1)+1-R:R-0.75*S:S)*(1+M:M)*INDEX($O$37:$O$42,MATCH($Q$39,$M$37:$M$42,))+$I$18</f>
        <v>#VALUE!</v>
      </c>
      <c r="J11" s="13">
        <f ca="1" t="shared" si="0"/>
        <v>0.3068</v>
      </c>
      <c r="K11" s="15">
        <f ca="1" t="shared" si="2"/>
        <v>0.372540279154423</v>
      </c>
      <c r="L11" s="13">
        <f ca="1">INDEX(V2:V17,MATCH(1:1,U2:U17,))</f>
        <v>1.8533</v>
      </c>
      <c r="M11" s="13">
        <f ca="1">INDEX(V2:V17,MATCH(1:1,U2:U17,))</f>
        <v>0.6539</v>
      </c>
      <c r="N11" s="21">
        <f ca="1">INDEX(V2:V17,MATCH(1:1,U2:U17,))+O:O*P:P</f>
        <v>15461.5806923077</v>
      </c>
      <c r="O11" s="21">
        <f ca="1">INDEX(V2:V17,MATCH(1:1,U2:U17,))</f>
        <v>7315.92307692308</v>
      </c>
      <c r="P11" s="22">
        <f>45%+D42*0.15*6/25+0.15*D31</f>
        <v>0.636</v>
      </c>
      <c r="Q11" s="21">
        <f ca="1">INDEX(V2:V17,MATCH(1:1,U2:U17,))</f>
        <v>751</v>
      </c>
      <c r="R11" s="13">
        <f ca="1">INDEX(V2:V17,MATCH(1:1,U2:U17,))</f>
        <v>0</v>
      </c>
      <c r="S11" s="13">
        <f ca="1">INDEX(V2:V17,MATCH(1:1,U2:U17,))</f>
        <v>0</v>
      </c>
      <c r="T11" s="20">
        <f>1.5-Q36/16</f>
        <v>1.25</v>
      </c>
      <c r="U11" s="11" t="str">
        <f>属性!Q15</f>
        <v>破防</v>
      </c>
      <c r="V11" s="13">
        <f ca="1">属性!R15</f>
        <v>0.6539</v>
      </c>
    </row>
    <row r="12" customHeight="1" spans="1:22">
      <c r="A12" s="12" t="s">
        <v>73</v>
      </c>
      <c r="B12" s="11">
        <v>-15</v>
      </c>
      <c r="C12" s="11">
        <v>0.9</v>
      </c>
      <c r="D12" s="11">
        <v>157.5</v>
      </c>
      <c r="E12" s="13">
        <v>1</v>
      </c>
      <c r="F12" s="13">
        <f>0%+Q35</f>
        <v>0</v>
      </c>
      <c r="G12" s="13">
        <f>0</f>
        <v>0</v>
      </c>
      <c r="H12" s="13">
        <v>0</v>
      </c>
      <c r="I12" s="21" t="e">
        <f ca="1">(N:N*C:C+D:D+E:E*Q:Q)*(1+F:F)*(K:K*(L:L+H:H-1)+1-R:R-0.75*S:S)*(1+M:M)*INDEX($O$37:$O$42,MATCH($Q$39,$M$37:$M$42,))</f>
        <v>#N/A</v>
      </c>
      <c r="J12" s="13">
        <f ca="1" t="shared" si="0"/>
        <v>0.2668</v>
      </c>
      <c r="K12" s="15">
        <f ca="1">J:J+$K$31*$D$38</f>
        <v>0.332540279154423</v>
      </c>
      <c r="L12" s="13">
        <f ca="1">INDEX(V2:V17,MATCH(1:1,U2:U17,))</f>
        <v>1.8533</v>
      </c>
      <c r="M12" s="13">
        <f ca="1">INDEX(V2:V17,MATCH(1:1,U2:U17,))</f>
        <v>0.6539</v>
      </c>
      <c r="N12" s="21">
        <f ca="1">INDEX(V2:V17,MATCH(1:1,U2:U17,))+O:O*P:P</f>
        <v>15461.5806923077</v>
      </c>
      <c r="O12" s="21">
        <f ca="1">INDEX(V2:V17,MATCH(1:1,U2:U17,))</f>
        <v>7315.92307692308</v>
      </c>
      <c r="P12" s="22">
        <f>45%+D42*0.15*6/25+0.15*D31</f>
        <v>0.636</v>
      </c>
      <c r="Q12" s="21">
        <f ca="1">INDEX(V2:V17,MATCH(1:1,U2:U17,))</f>
        <v>751</v>
      </c>
      <c r="R12" s="13">
        <f ca="1">INDEX(V2:V17,MATCH(1:1,U2:U17,))</f>
        <v>0</v>
      </c>
      <c r="S12" s="13">
        <f ca="1">INDEX(V2:V17,MATCH(1:1,U2:U17,))</f>
        <v>0</v>
      </c>
      <c r="T12" s="20">
        <f>1.5-Q36/16</f>
        <v>1.25</v>
      </c>
      <c r="U12" s="11" t="str">
        <f>属性!Q16</f>
        <v>加速</v>
      </c>
      <c r="V12" s="11">
        <f>属性!R16</f>
        <v>828</v>
      </c>
    </row>
    <row r="13" customHeight="1" spans="1:22">
      <c r="A13" s="12" t="s">
        <v>287</v>
      </c>
      <c r="B13" s="11">
        <v>0</v>
      </c>
      <c r="C13" s="11">
        <v>1.05</v>
      </c>
      <c r="D13" s="11">
        <v>190</v>
      </c>
      <c r="E13" s="13">
        <v>1</v>
      </c>
      <c r="F13" s="13" t="e">
        <f>9%+0.2*F36+H39*0.1+Q35+40%</f>
        <v>#VALUE!</v>
      </c>
      <c r="G13" s="13">
        <f>4%+F32*0.1</f>
        <v>0.04</v>
      </c>
      <c r="H13" s="13">
        <f>F32*0.2</f>
        <v>0</v>
      </c>
      <c r="I13" s="21" t="e">
        <f ca="1">(N:N*C:C+D:D+E:E*Q:Q)*(1+F:F)*(K:K*(L:L+H:H-1)+1-R:R-0.75*S:S)*(1+M:M)*INDEX($O$37:$O$42,MATCH($Q$39,$M$37:$M$42,))+$I$17</f>
        <v>#VALUE!</v>
      </c>
      <c r="J13" s="13">
        <f ca="1" t="shared" si="0"/>
        <v>0.3068</v>
      </c>
      <c r="K13" s="15">
        <f ca="1" t="shared" si="2"/>
        <v>0.372540279154423</v>
      </c>
      <c r="L13" s="13">
        <f ca="1">INDEX(V2:V17,MATCH(1:1,U2:U17,))</f>
        <v>1.8533</v>
      </c>
      <c r="M13" s="13">
        <f ca="1">INDEX(V2:V17,MATCH(1:1,U2:U17,))</f>
        <v>0.6539</v>
      </c>
      <c r="N13" s="21">
        <f ca="1">INDEX(V2:V17,MATCH(1:1,U2:U17,))+O:O*P:P</f>
        <v>15461.5806923077</v>
      </c>
      <c r="O13" s="21">
        <f ca="1">INDEX(V2:V17,MATCH(1:1,U2:U17,))</f>
        <v>7315.92307692308</v>
      </c>
      <c r="P13" s="22">
        <f>45%+D42*0.15*6/25+0.15*D31</f>
        <v>0.636</v>
      </c>
      <c r="Q13" s="21">
        <f ca="1">INDEX(V2:V17,MATCH(1:1,U2:U17,))</f>
        <v>751</v>
      </c>
      <c r="R13" s="13">
        <f ca="1">INDEX(V2:V17,MATCH(1:1,U2:U17,))</f>
        <v>0</v>
      </c>
      <c r="S13" s="13">
        <f ca="1">INDEX(V2:V17,MATCH(1:1,U2:U17,))</f>
        <v>0</v>
      </c>
      <c r="T13" s="20">
        <f>1.5-Q36/16</f>
        <v>1.25</v>
      </c>
      <c r="U13" s="11" t="str">
        <f>属性!Q17</f>
        <v>命中</v>
      </c>
      <c r="V13" s="11">
        <f>属性!R17</f>
        <v>1.0715</v>
      </c>
    </row>
    <row r="14" customHeight="1" spans="1:22">
      <c r="A14" s="11" t="s">
        <v>25</v>
      </c>
      <c r="B14" s="11">
        <v>0</v>
      </c>
      <c r="C14" s="14">
        <f>330/1024*(1+0.5*D36)</f>
        <v>0.4833984375</v>
      </c>
      <c r="D14" s="11">
        <v>47</v>
      </c>
      <c r="E14" s="13">
        <v>0</v>
      </c>
      <c r="F14" s="13">
        <f>0%+Q35</f>
        <v>0</v>
      </c>
      <c r="G14" s="13">
        <v>0</v>
      </c>
      <c r="H14" s="13">
        <v>0</v>
      </c>
      <c r="I14" s="21" t="e">
        <f ca="1">(N:N*C:C+D:D+E:E*Q:Q)*(1+F:F)*(K:K*(L:L+H:H-1)+1-R:R-0.75*S:S)*(1+M:M)*INDEX($O$37:$O$42,MATCH($Q$39,$M$37:$M$42,))</f>
        <v>#N/A</v>
      </c>
      <c r="J14" s="13">
        <f ca="1" t="shared" si="0"/>
        <v>0.2668</v>
      </c>
      <c r="K14" s="15">
        <f ca="1">J:J+$K$31*$D$38</f>
        <v>0.332540279154423</v>
      </c>
      <c r="L14" s="13">
        <f ca="1">INDEX(V2:V17,MATCH(1:1,U2:U17,))</f>
        <v>1.8533</v>
      </c>
      <c r="M14" s="13">
        <f ca="1">INDEX(V2:V17,MATCH(1:1,U2:U17,))</f>
        <v>0.6539</v>
      </c>
      <c r="N14" s="21">
        <f ca="1">INDEX(V2:V17,MATCH(1:1,U2:U17,))+O:O*P:P</f>
        <v>15461.5806923077</v>
      </c>
      <c r="O14" s="21">
        <f ca="1">INDEX(V2:V17,MATCH(1:1,U2:U17,))</f>
        <v>7315.92307692308</v>
      </c>
      <c r="P14" s="22">
        <f>45%+D42*0.15*6/25+0.15*D31</f>
        <v>0.636</v>
      </c>
      <c r="Q14" s="21">
        <f ca="1">INDEX(V2:V17,MATCH(1:1,U2:U17,))</f>
        <v>751</v>
      </c>
      <c r="R14" s="13">
        <f ca="1">INDEX(V2:V17,MATCH(1:1,U2:U17,))</f>
        <v>0</v>
      </c>
      <c r="S14" s="13">
        <f ca="1">INDEX(V2:V17,MATCH(1:1,U2:U17,))</f>
        <v>0</v>
      </c>
      <c r="T14" s="20">
        <f>2-Q38/16</f>
        <v>1.6875</v>
      </c>
      <c r="U14" s="11" t="str">
        <f>属性!Q18</f>
        <v>无双</v>
      </c>
      <c r="V14" s="13">
        <f>属性!R18</f>
        <v>0.2319</v>
      </c>
    </row>
    <row r="15" customHeight="1" spans="1:22">
      <c r="A15" s="11" t="s">
        <v>45</v>
      </c>
      <c r="B15" s="11">
        <v>0</v>
      </c>
      <c r="C15" s="11">
        <f>0.1*T7</f>
        <v>0.125</v>
      </c>
      <c r="D15" s="11">
        <v>0</v>
      </c>
      <c r="E15" s="13">
        <v>1</v>
      </c>
      <c r="F15" s="13">
        <f>0%+Q35</f>
        <v>0</v>
      </c>
      <c r="G15" s="13">
        <v>0</v>
      </c>
      <c r="H15" s="13">
        <v>0</v>
      </c>
      <c r="I15" s="21" t="e">
        <f ca="1">(N:N*C:C+D:D+E:E*Q:Q)*(1+F:F)*(K:K*(L:L+H:H-1)+1-R:R-0.75*S:S)*(1+M:M)*INDEX($O$37:$O$42,MATCH($Q$39,$M$37:$M$42,))+$I$17</f>
        <v>#N/A</v>
      </c>
      <c r="J15" s="13">
        <f ca="1" t="shared" si="0"/>
        <v>0.2668</v>
      </c>
      <c r="K15" s="15">
        <f ca="1">J:J+(0.211855500496661*J:J^6-0.937563819411654*J:J^5+1.77483619127542*J:J^4-1.89647323402313*J:J^3+1.2737744963305*J:J^2-0.565275505039552*J:J+0.164596522595162)*$D$38</f>
        <v>0.34303631782102</v>
      </c>
      <c r="L15" s="13">
        <f ca="1">INDEX(V2:V17,MATCH(1:1,U2:U17,))</f>
        <v>1.8533</v>
      </c>
      <c r="M15" s="13">
        <f ca="1">INDEX(V2:V17,MATCH(1:1,U2:U17,))</f>
        <v>0.6539</v>
      </c>
      <c r="N15" s="21">
        <f ca="1">INDEX(V2:V17,MATCH(1:1,U2:U17,))+O:O*P:P</f>
        <v>14364.1922307692</v>
      </c>
      <c r="O15" s="21">
        <f ca="1">INDEX(V2:V17,MATCH(1:1,U2:U17,))</f>
        <v>7315.92307692308</v>
      </c>
      <c r="P15" s="22">
        <f>45%+D42*0.15*6/25</f>
        <v>0.486</v>
      </c>
      <c r="Q15" s="21">
        <f ca="1">INDEX(V2:V17,MATCH(1:1,U2:U17,))</f>
        <v>751</v>
      </c>
      <c r="R15" s="13">
        <f ca="1">INDEX(V2:V17,MATCH(1:1,U2:U17,))</f>
        <v>0</v>
      </c>
      <c r="S15" s="13">
        <f ca="1">INDEX(V2:V17,MATCH(1:1,U2:U17,))</f>
        <v>0</v>
      </c>
      <c r="T15" s="20">
        <f>1.5-Q36/16</f>
        <v>1.25</v>
      </c>
      <c r="U15" s="11" t="str">
        <f>属性!Q19</f>
        <v>武器伤害</v>
      </c>
      <c r="V15" s="27">
        <f ca="1">属性!R19</f>
        <v>751</v>
      </c>
    </row>
    <row r="16" customHeight="1" spans="1:22">
      <c r="A16" s="7" t="s">
        <v>288</v>
      </c>
      <c r="B16" s="7">
        <v>0</v>
      </c>
      <c r="C16" s="7">
        <f>0.1*T7</f>
        <v>0.125</v>
      </c>
      <c r="D16" s="7">
        <v>0</v>
      </c>
      <c r="E16" s="16">
        <v>1</v>
      </c>
      <c r="F16" s="16">
        <f>0%+Q35</f>
        <v>0</v>
      </c>
      <c r="G16" s="16">
        <v>0</v>
      </c>
      <c r="H16" s="16">
        <v>0</v>
      </c>
      <c r="I16" s="21" t="e">
        <f ca="1">(N:N*C:C+D:D+E:E*Q:Q)*(1+F:F)*(K:K*(L:L+H:H-1)+1-R:R-0.75*S:S)*(1+M:M)*INDEX($O$37:$O$42,MATCH($Q$39,$M$37:$M$42,))+$I$18</f>
        <v>#N/A</v>
      </c>
      <c r="J16" s="13">
        <f ca="1" t="shared" si="0"/>
        <v>0.2668</v>
      </c>
      <c r="K16" s="15">
        <f ca="1">J:J+$K$31*$D$38</f>
        <v>0.332540279154423</v>
      </c>
      <c r="L16" s="16">
        <f ca="1">INDEX(V2:V17,MATCH(1:1,U2:U17,))</f>
        <v>1.8533</v>
      </c>
      <c r="M16" s="16">
        <f ca="1">INDEX(V2:V17,MATCH(1:1,U2:U17,))</f>
        <v>0.6539</v>
      </c>
      <c r="N16" s="23">
        <f ca="1">INDEX(V2:V17,MATCH(1:1,U2:U17,))+O:O*P:P</f>
        <v>15461.5806923077</v>
      </c>
      <c r="O16" s="23">
        <f ca="1">INDEX(V2:V17,MATCH(1:1,U2:U17,))</f>
        <v>7315.92307692308</v>
      </c>
      <c r="P16" s="16">
        <f>45%+D42*0.15*6/25+0.15*D31</f>
        <v>0.636</v>
      </c>
      <c r="Q16" s="23">
        <f ca="1">INDEX(V2:V17,MATCH(1:1,U2:U17,))</f>
        <v>751</v>
      </c>
      <c r="R16" s="16">
        <f ca="1">INDEX(V2:V17,MATCH(1:1,U2:U17,))</f>
        <v>0</v>
      </c>
      <c r="S16" s="16">
        <f ca="1">INDEX(V2:V17,MATCH(1:1,U2:U17,))</f>
        <v>0</v>
      </c>
      <c r="T16" s="20">
        <f>1.5-Q36/16</f>
        <v>1.25</v>
      </c>
      <c r="U16" s="7" t="str">
        <f>属性!Q20</f>
        <v>偏离率</v>
      </c>
      <c r="V16" s="28">
        <f>属性!R20</f>
        <v>0</v>
      </c>
    </row>
    <row r="17" customHeight="1" spans="1:22">
      <c r="A17" s="11" t="s">
        <v>311</v>
      </c>
      <c r="B17" s="11">
        <v>0</v>
      </c>
      <c r="C17" s="11">
        <v>0.1875</v>
      </c>
      <c r="D17" s="11">
        <v>15</v>
      </c>
      <c r="E17" s="13">
        <v>1</v>
      </c>
      <c r="F17" s="13">
        <f>0%+Q35</f>
        <v>0</v>
      </c>
      <c r="G17" s="13">
        <v>0</v>
      </c>
      <c r="H17" s="13">
        <v>0</v>
      </c>
      <c r="I17" s="21" t="e">
        <f ca="1">(N:N*C:C+D:D+E:E*Q:Q)*(1+F:F)*(K:K*(L:L+H:H-1)+1-R:R-0.75*S:S)*(1+M:M)*INDEX(O37:O42,MATCH(Q39,M37:M42,))*H42</f>
        <v>#N/A</v>
      </c>
      <c r="J17" s="13">
        <f ca="1" t="shared" si="0"/>
        <v>0.2668</v>
      </c>
      <c r="K17" s="15">
        <f ca="1">J:J+(0.211855500496661*J:J^6-0.937563819411654*J:J^5+1.77483619127542*J:J^4-1.89647323402313*J:J^3+1.2737744963305*J:J^2-0.565275505039552*J:J+0.164596522595162)*$D$38</f>
        <v>0.34303631782102</v>
      </c>
      <c r="L17" s="13">
        <f ca="1">INDEX(V2:V17,MATCH(1:1,U2:U17,))</f>
        <v>1.8533</v>
      </c>
      <c r="M17" s="13">
        <f ca="1">INDEX(V2:V17,MATCH(1:1,U2:U17,))</f>
        <v>0.6539</v>
      </c>
      <c r="N17" s="21">
        <f ca="1">INDEX(V2:V17,MATCH(1:1,U2:U17,))+O:O*P:P</f>
        <v>14364.1922307692</v>
      </c>
      <c r="O17" s="21">
        <f ca="1">INDEX(V2:V17,MATCH(1:1,U2:U17,))</f>
        <v>7315.92307692308</v>
      </c>
      <c r="P17" s="22">
        <f>45%+D42*0.15*6/25</f>
        <v>0.486</v>
      </c>
      <c r="Q17" s="21">
        <f ca="1">INDEX(V2:V17,MATCH(1:1,U2:U17,))</f>
        <v>751</v>
      </c>
      <c r="R17" s="13">
        <f ca="1">INDEX(V2:V17,MATCH(1:1,U2:U17,))</f>
        <v>0</v>
      </c>
      <c r="S17" s="13">
        <f ca="1">INDEX(V2:V17,MATCH(1:1,U2:U17,))</f>
        <v>0</v>
      </c>
      <c r="T17" s="7">
        <v>0</v>
      </c>
      <c r="U17" s="11" t="str">
        <f>属性!Q21</f>
        <v>识破率</v>
      </c>
      <c r="V17" s="11">
        <f>属性!R21</f>
        <v>0</v>
      </c>
    </row>
    <row r="18" customHeight="1" spans="1:20">
      <c r="A18" s="11" t="s">
        <v>312</v>
      </c>
      <c r="B18" s="11">
        <v>0</v>
      </c>
      <c r="C18" s="11">
        <v>0.1875</v>
      </c>
      <c r="D18" s="11">
        <v>15</v>
      </c>
      <c r="E18" s="13">
        <v>1</v>
      </c>
      <c r="F18" s="13">
        <f>0%+Q35</f>
        <v>0</v>
      </c>
      <c r="G18" s="13">
        <v>0</v>
      </c>
      <c r="H18" s="13">
        <v>0</v>
      </c>
      <c r="I18" s="21" t="e">
        <f ca="1">(N:N*C:C+D:D+E:E*Q:Q)*(1+F:F)*(K:K*(L:L+H:H-1)+1-R:R-0.75*S:S)*(1+M:M)*INDEX(O37:O42,MATCH(Q39,M37:M42,))*H42</f>
        <v>#N/A</v>
      </c>
      <c r="J18" s="13">
        <f ca="1" t="shared" si="0"/>
        <v>0.2668</v>
      </c>
      <c r="K18" s="15">
        <f ca="1">J:J+$K$31*$D$38</f>
        <v>0.332540279154423</v>
      </c>
      <c r="L18" s="13">
        <f ca="1">INDEX(V2:V17,MATCH(1:1,U2:U17,))</f>
        <v>1.8533</v>
      </c>
      <c r="M18" s="13">
        <f ca="1">INDEX(V2:V17,MATCH(1:1,U2:U17,))</f>
        <v>0.6539</v>
      </c>
      <c r="N18" s="21">
        <f ca="1">INDEX(V2:V17,MATCH(1:1,U2:U17,))+O:O*P:P</f>
        <v>15461.5806923077</v>
      </c>
      <c r="O18" s="21">
        <f ca="1">INDEX(V2:V17,MATCH(1:1,U2:U17,))</f>
        <v>7315.92307692308</v>
      </c>
      <c r="P18" s="22">
        <f>45%+D42*0.15*6/25+0.15*D31</f>
        <v>0.636</v>
      </c>
      <c r="Q18" s="21">
        <f ca="1">INDEX(V2:V17,MATCH(1:1,U2:U17,))</f>
        <v>751</v>
      </c>
      <c r="R18" s="13">
        <f ca="1">INDEX(V2:V17,MATCH(1:1,U2:U17,))</f>
        <v>0</v>
      </c>
      <c r="S18" s="13">
        <f ca="1">INDEX(V2:V17,MATCH(1:1,U2:U17,))</f>
        <v>0</v>
      </c>
      <c r="T18" s="7">
        <v>0</v>
      </c>
    </row>
    <row r="19" customHeight="1" spans="1:25">
      <c r="A19" s="17" t="s">
        <v>313</v>
      </c>
      <c r="B19" s="17">
        <v>0</v>
      </c>
      <c r="C19" s="17">
        <v>0.768</v>
      </c>
      <c r="D19" s="17">
        <f>D4</f>
        <v>137.5</v>
      </c>
      <c r="E19" s="16">
        <f t="shared" ref="E19:S19" si="3">E4</f>
        <v>1</v>
      </c>
      <c r="F19" s="16">
        <f t="shared" si="3"/>
        <v>0.12</v>
      </c>
      <c r="G19" s="16">
        <f t="shared" si="3"/>
        <v>0</v>
      </c>
      <c r="H19" s="16">
        <f t="shared" si="3"/>
        <v>0</v>
      </c>
      <c r="I19" s="21" t="e">
        <f ca="1">(N:N*C:C+D:D+E:E*Q:Q)*(1+F:F)*(K:K*(L:L+H:H-1)+1-R:R-0.75*S:S)*(1+M:M)*INDEX($O$37:$O$42,MATCH($Q$39,$M$37:$M$42,))</f>
        <v>#N/A</v>
      </c>
      <c r="J19" s="13">
        <f ca="1" t="shared" si="0"/>
        <v>0.2668</v>
      </c>
      <c r="K19" s="16">
        <f ca="1">K4</f>
        <v>0.34303631782102</v>
      </c>
      <c r="L19" s="16">
        <f ca="1" t="shared" si="3"/>
        <v>1.8533</v>
      </c>
      <c r="M19" s="16">
        <f ca="1" t="shared" si="3"/>
        <v>0.6539</v>
      </c>
      <c r="N19" s="23">
        <f ca="1" t="shared" si="3"/>
        <v>14364.1922307692</v>
      </c>
      <c r="O19" s="23">
        <f ca="1" t="shared" si="3"/>
        <v>7315.92307692308</v>
      </c>
      <c r="P19" s="16">
        <f t="shared" si="3"/>
        <v>0.486</v>
      </c>
      <c r="Q19" s="23">
        <f ca="1" t="shared" si="3"/>
        <v>751</v>
      </c>
      <c r="R19" s="16">
        <f ca="1" t="shared" si="3"/>
        <v>0</v>
      </c>
      <c r="S19" s="16">
        <f ca="1" t="shared" si="3"/>
        <v>0</v>
      </c>
      <c r="T19" s="17">
        <v>0</v>
      </c>
      <c r="U19" s="17" t="s">
        <v>314</v>
      </c>
      <c r="V19" s="29">
        <f>H38</f>
        <v>0</v>
      </c>
      <c r="Y19" s="9"/>
    </row>
    <row r="20" customHeight="1" spans="1:22">
      <c r="A20" s="17" t="s">
        <v>315</v>
      </c>
      <c r="B20" s="17">
        <v>5</v>
      </c>
      <c r="C20" s="17">
        <f>C2</f>
        <v>0.656</v>
      </c>
      <c r="D20" s="17">
        <f t="shared" ref="D20:T23" si="4">D2</f>
        <v>137.5</v>
      </c>
      <c r="E20" s="16">
        <f t="shared" si="4"/>
        <v>1</v>
      </c>
      <c r="F20" s="16">
        <f t="shared" si="4"/>
        <v>0.12</v>
      </c>
      <c r="G20" s="16">
        <f>G2+4%</f>
        <v>0.04</v>
      </c>
      <c r="H20" s="16">
        <f t="shared" si="4"/>
        <v>0</v>
      </c>
      <c r="I20" s="21" t="e">
        <f ca="1" t="shared" ref="I20" si="5">(N:N*C:C+D:D+E:E*Q:Q)*(1+F:F)*(K:K*(L:L+H:H-1)+1-R:R-0.75*S:S)*(1+M:M)*INDEX($O$37:$O$42,MATCH($Q$39,$M$37:$M$42,))+$I$17</f>
        <v>#N/A</v>
      </c>
      <c r="J20" s="13">
        <f ca="1" t="shared" si="0"/>
        <v>0.3068</v>
      </c>
      <c r="K20" s="15">
        <f ca="1">J:J+(0.211855500496661*J:J^6-0.937563819411654*J:J^5+1.77483619127542*J:J^4-1.89647323402313*J:J^3+1.2737744963305*J:J^2-0.565275505039552*J:J+0.164596522595162)*$D$38</f>
        <v>0.376452197643367</v>
      </c>
      <c r="L20" s="16">
        <f ca="1" t="shared" si="4"/>
        <v>1.8533</v>
      </c>
      <c r="M20" s="16">
        <f ca="1" t="shared" si="4"/>
        <v>0.6539</v>
      </c>
      <c r="N20" s="23">
        <f ca="1" t="shared" si="4"/>
        <v>14364.1922307692</v>
      </c>
      <c r="O20" s="23">
        <f ca="1" t="shared" si="4"/>
        <v>7315.92307692308</v>
      </c>
      <c r="P20" s="16">
        <f t="shared" si="4"/>
        <v>0.486</v>
      </c>
      <c r="Q20" s="23">
        <f ca="1" t="shared" si="4"/>
        <v>751</v>
      </c>
      <c r="R20" s="16">
        <f ca="1" t="shared" si="4"/>
        <v>0</v>
      </c>
      <c r="S20" s="16">
        <f ca="1" t="shared" si="4"/>
        <v>0</v>
      </c>
      <c r="T20" s="17">
        <f t="shared" si="4"/>
        <v>0.8125</v>
      </c>
      <c r="U20" s="17"/>
      <c r="V20" s="30"/>
    </row>
    <row r="21" customHeight="1" spans="1:23">
      <c r="A21" s="17" t="s">
        <v>316</v>
      </c>
      <c r="B21" s="17">
        <v>5</v>
      </c>
      <c r="C21" s="17">
        <f t="shared" ref="C21:R23" si="6">C3</f>
        <v>0.719</v>
      </c>
      <c r="D21" s="17">
        <f t="shared" si="6"/>
        <v>137.5</v>
      </c>
      <c r="E21" s="16">
        <f t="shared" si="6"/>
        <v>1</v>
      </c>
      <c r="F21" s="16">
        <f t="shared" si="6"/>
        <v>0.12</v>
      </c>
      <c r="G21" s="16">
        <f t="shared" ref="G21:G23" si="7">G3+4%</f>
        <v>0.04</v>
      </c>
      <c r="H21" s="16">
        <f t="shared" si="6"/>
        <v>0</v>
      </c>
      <c r="I21" s="21" t="e">
        <f ca="1">(N:N*C:C+D:D+E:E*Q:Q)*(1+F:F)*(K:K*(L:L+H:H-1)+1-R:R-0.75*S:S)*(1+M:M)*INDEX($O$37:$O$42,MATCH($Q$39,$M$37:$M$42,))+$I$17</f>
        <v>#N/A</v>
      </c>
      <c r="J21" s="13">
        <f ca="1" t="shared" si="0"/>
        <v>0.3068</v>
      </c>
      <c r="K21" s="15">
        <f ca="1">J:J+(0.211855500496661*J:J^6-0.937563819411654*J:J^5+1.77483619127542*J:J^4-1.89647323402313*J:J^3+1.2737744963305*J:J^2-0.565275505039552*J:J+0.164596522595162)*$D$38</f>
        <v>0.376452197643367</v>
      </c>
      <c r="L21" s="16">
        <f ca="1" t="shared" si="6"/>
        <v>1.8533</v>
      </c>
      <c r="M21" s="16">
        <f ca="1" t="shared" si="6"/>
        <v>0.6539</v>
      </c>
      <c r="N21" s="23">
        <f ca="1" t="shared" si="6"/>
        <v>14364.1922307692</v>
      </c>
      <c r="O21" s="23">
        <f ca="1" t="shared" si="6"/>
        <v>7315.92307692308</v>
      </c>
      <c r="P21" s="16">
        <f t="shared" si="6"/>
        <v>0.486</v>
      </c>
      <c r="Q21" s="23">
        <f ca="1" t="shared" si="6"/>
        <v>751</v>
      </c>
      <c r="R21" s="16">
        <f ca="1" t="shared" si="6"/>
        <v>0</v>
      </c>
      <c r="S21" s="16">
        <f ca="1" t="shared" si="4"/>
        <v>0</v>
      </c>
      <c r="T21" s="17">
        <f t="shared" si="4"/>
        <v>0.8125</v>
      </c>
      <c r="U21" s="17"/>
      <c r="V21" s="30"/>
      <c r="W21" s="31"/>
    </row>
    <row r="22" customHeight="1" spans="1:25">
      <c r="A22" s="17" t="s">
        <v>317</v>
      </c>
      <c r="B22" s="17">
        <v>5</v>
      </c>
      <c r="C22" s="17">
        <f t="shared" si="6"/>
        <v>0.787</v>
      </c>
      <c r="D22" s="17">
        <f t="shared" si="4"/>
        <v>137.5</v>
      </c>
      <c r="E22" s="16">
        <f t="shared" si="4"/>
        <v>1</v>
      </c>
      <c r="F22" s="16">
        <f t="shared" si="4"/>
        <v>0.12</v>
      </c>
      <c r="G22" s="16">
        <f t="shared" si="7"/>
        <v>0.04</v>
      </c>
      <c r="H22" s="16">
        <f t="shared" si="4"/>
        <v>0</v>
      </c>
      <c r="I22" s="21" t="e">
        <f ca="1">(N:N*C:C+D:D+E:E*Q:Q)*(1+F:F)*(K:K*(L:L+H:H-1)+1-R:R-0.75*S:S)*(1+M:M)*INDEX($O$37:$O$42,MATCH($Q$39,$M$37:$M$42,))+$I$17+$I$28*$D$32*$V$19</f>
        <v>#N/A</v>
      </c>
      <c r="J22" s="13">
        <f ca="1" t="shared" si="0"/>
        <v>0.3068</v>
      </c>
      <c r="K22" s="15">
        <f ca="1">J:J+(0.211855500496661*J:J^6-0.937563819411654*J:J^5+1.77483619127542*J:J^4-1.89647323402313*J:J^3+1.2737744963305*J:J^2-0.565275505039552*J:J+0.164596522595162)*$D$38</f>
        <v>0.376452197643367</v>
      </c>
      <c r="L22" s="16">
        <f ca="1" t="shared" si="4"/>
        <v>1.8533</v>
      </c>
      <c r="M22" s="16">
        <f ca="1" t="shared" si="4"/>
        <v>0.6539</v>
      </c>
      <c r="N22" s="23">
        <f ca="1" t="shared" si="4"/>
        <v>14364.1922307692</v>
      </c>
      <c r="O22" s="23">
        <f ca="1" t="shared" si="4"/>
        <v>7315.92307692308</v>
      </c>
      <c r="P22" s="16">
        <f t="shared" si="4"/>
        <v>0.486</v>
      </c>
      <c r="Q22" s="23">
        <f ca="1" t="shared" si="4"/>
        <v>751</v>
      </c>
      <c r="R22" s="16">
        <f ca="1" t="shared" si="4"/>
        <v>0</v>
      </c>
      <c r="S22" s="16">
        <f ca="1" t="shared" si="4"/>
        <v>0</v>
      </c>
      <c r="T22" s="17">
        <f t="shared" si="4"/>
        <v>0.8125</v>
      </c>
      <c r="U22" s="17"/>
      <c r="V22" s="30"/>
      <c r="W22" s="31"/>
      <c r="Y22" s="33"/>
    </row>
    <row r="23" customHeight="1" spans="1:23">
      <c r="A23" s="17" t="s">
        <v>318</v>
      </c>
      <c r="B23" s="17">
        <v>5</v>
      </c>
      <c r="C23" s="17">
        <f t="shared" si="6"/>
        <v>0.9375</v>
      </c>
      <c r="D23" s="17">
        <f t="shared" si="4"/>
        <v>137.5</v>
      </c>
      <c r="E23" s="16">
        <f t="shared" si="4"/>
        <v>1</v>
      </c>
      <c r="F23" s="16">
        <f t="shared" si="4"/>
        <v>0.12</v>
      </c>
      <c r="G23" s="16">
        <f t="shared" si="7"/>
        <v>0.04</v>
      </c>
      <c r="H23" s="16">
        <f t="shared" si="4"/>
        <v>0</v>
      </c>
      <c r="I23" s="21" t="e">
        <f ca="1">(N:N*C:C+D:D+E:E*Q:Q)*(1+F:F)*(K:K*(L:L+H:H-1)+1-R:R-0.75*S:S)*(1+M:M)*INDEX($O$37:$O$42,MATCH($Q$39,$M$37:$M$42,))+$I$17</f>
        <v>#N/A</v>
      </c>
      <c r="J23" s="13">
        <f ca="1" t="shared" si="0"/>
        <v>0.3068</v>
      </c>
      <c r="K23" s="15">
        <f ca="1">J:J+(0.211855500496661*J:J^6-0.937563819411654*J:J^5+1.77483619127542*J:J^4-1.89647323402313*J:J^3+1.2737744963305*J:J^2-0.565275505039552*J:J+0.164596522595162)*$D$38</f>
        <v>0.376452197643367</v>
      </c>
      <c r="L23" s="16">
        <f ca="1" t="shared" si="4"/>
        <v>1.8533</v>
      </c>
      <c r="M23" s="16">
        <f ca="1" t="shared" si="4"/>
        <v>0.6539</v>
      </c>
      <c r="N23" s="23">
        <f ca="1" t="shared" si="4"/>
        <v>14364.1922307692</v>
      </c>
      <c r="O23" s="23">
        <f ca="1" t="shared" si="4"/>
        <v>7315.92307692308</v>
      </c>
      <c r="P23" s="16">
        <f t="shared" si="4"/>
        <v>0.486</v>
      </c>
      <c r="Q23" s="23">
        <f ca="1" t="shared" si="4"/>
        <v>751</v>
      </c>
      <c r="R23" s="16">
        <f ca="1" t="shared" si="4"/>
        <v>0</v>
      </c>
      <c r="S23" s="16">
        <f ca="1" t="shared" si="4"/>
        <v>0</v>
      </c>
      <c r="T23" s="17">
        <f t="shared" si="4"/>
        <v>0.6875</v>
      </c>
      <c r="U23" s="17"/>
      <c r="V23" s="30"/>
      <c r="W23" s="31"/>
    </row>
    <row r="24" customHeight="1" spans="1:23">
      <c r="A24" s="17" t="s">
        <v>319</v>
      </c>
      <c r="B24" s="17">
        <v>0</v>
      </c>
      <c r="C24" s="17">
        <f>110/1024</f>
        <v>0.107421875</v>
      </c>
      <c r="D24" s="17">
        <f>D14</f>
        <v>47</v>
      </c>
      <c r="E24" s="16">
        <f t="shared" ref="E24:T24" si="8">E14</f>
        <v>0</v>
      </c>
      <c r="F24" s="16">
        <f t="shared" si="8"/>
        <v>0</v>
      </c>
      <c r="G24" s="16">
        <f t="shared" si="8"/>
        <v>0</v>
      </c>
      <c r="H24" s="16">
        <f t="shared" si="8"/>
        <v>0</v>
      </c>
      <c r="I24" s="21" t="e">
        <f ca="1">(N:N*C:C+D:D+E:E*Q:Q)*(1+F:F)*(K:K*(L:L+H:H-1)+1-R:R-0.75*S:S)*(1+M:M)*INDEX($O$37:$O$42,MATCH($Q$39,$M$37:$M$42,))</f>
        <v>#N/A</v>
      </c>
      <c r="J24" s="13">
        <f ca="1" t="shared" si="0"/>
        <v>0.2668</v>
      </c>
      <c r="K24" s="16">
        <f ca="1">K14</f>
        <v>0.332540279154423</v>
      </c>
      <c r="L24" s="16">
        <f ca="1" t="shared" si="8"/>
        <v>1.8533</v>
      </c>
      <c r="M24" s="16">
        <f ca="1" t="shared" si="8"/>
        <v>0.6539</v>
      </c>
      <c r="N24" s="23">
        <f ca="1" t="shared" si="8"/>
        <v>15461.5806923077</v>
      </c>
      <c r="O24" s="23">
        <f ca="1" t="shared" si="8"/>
        <v>7315.92307692308</v>
      </c>
      <c r="P24" s="16">
        <f t="shared" si="8"/>
        <v>0.636</v>
      </c>
      <c r="Q24" s="23">
        <f ca="1" t="shared" si="8"/>
        <v>751</v>
      </c>
      <c r="R24" s="16">
        <f ca="1" t="shared" si="8"/>
        <v>0</v>
      </c>
      <c r="S24" s="16">
        <f ca="1" t="shared" si="8"/>
        <v>0</v>
      </c>
      <c r="T24" s="17">
        <f t="shared" si="8"/>
        <v>1.6875</v>
      </c>
      <c r="U24" s="17"/>
      <c r="V24" s="32"/>
      <c r="W24" s="31"/>
    </row>
    <row r="25" spans="1:23">
      <c r="A25" s="17" t="s">
        <v>320</v>
      </c>
      <c r="B25" s="17">
        <v>0</v>
      </c>
      <c r="C25" s="17">
        <f>220/1024</f>
        <v>0.21484375</v>
      </c>
      <c r="D25" s="17">
        <f>D14</f>
        <v>47</v>
      </c>
      <c r="E25" s="16">
        <f t="shared" ref="E25:T25" si="9">E14</f>
        <v>0</v>
      </c>
      <c r="F25" s="16">
        <f t="shared" si="9"/>
        <v>0</v>
      </c>
      <c r="G25" s="16">
        <f t="shared" si="9"/>
        <v>0</v>
      </c>
      <c r="H25" s="16">
        <f t="shared" si="9"/>
        <v>0</v>
      </c>
      <c r="I25" s="21" t="e">
        <f ca="1">(N:N*C:C+D:D+E:E*Q:Q)*(1+F:F)*(K:K*(L:L+H:H-1)+1-R:R-0.75*S:S)*(1+M:M)*INDEX($O$37:$O$42,MATCH($Q$39,$M$37:$M$42,))</f>
        <v>#N/A</v>
      </c>
      <c r="J25" s="13">
        <f ca="1" t="shared" si="0"/>
        <v>0.2668</v>
      </c>
      <c r="K25" s="16">
        <f ca="1">K14</f>
        <v>0.332540279154423</v>
      </c>
      <c r="L25" s="16">
        <f ca="1" t="shared" si="9"/>
        <v>1.8533</v>
      </c>
      <c r="M25" s="16">
        <f ca="1" t="shared" si="9"/>
        <v>0.6539</v>
      </c>
      <c r="N25" s="23">
        <f ca="1" t="shared" si="9"/>
        <v>15461.5806923077</v>
      </c>
      <c r="O25" s="23">
        <f ca="1" t="shared" si="9"/>
        <v>7315.92307692308</v>
      </c>
      <c r="P25" s="16">
        <f t="shared" si="9"/>
        <v>0.636</v>
      </c>
      <c r="Q25" s="23">
        <f ca="1" t="shared" si="9"/>
        <v>751</v>
      </c>
      <c r="R25" s="16">
        <f ca="1" t="shared" si="9"/>
        <v>0</v>
      </c>
      <c r="S25" s="16">
        <f ca="1" t="shared" si="9"/>
        <v>0</v>
      </c>
      <c r="T25" s="17">
        <f t="shared" si="9"/>
        <v>1.6875</v>
      </c>
      <c r="U25" s="17"/>
      <c r="V25" s="32"/>
      <c r="W25" s="31"/>
    </row>
    <row r="26" spans="1:23">
      <c r="A26" s="17" t="s">
        <v>289</v>
      </c>
      <c r="B26" s="17">
        <v>0</v>
      </c>
      <c r="C26" s="17">
        <f>C13</f>
        <v>1.05</v>
      </c>
      <c r="D26" s="17">
        <f t="shared" ref="D26:T26" si="10">D13</f>
        <v>190</v>
      </c>
      <c r="E26" s="16">
        <f t="shared" si="10"/>
        <v>1</v>
      </c>
      <c r="F26" s="16" t="e">
        <f t="shared" si="10"/>
        <v>#VALUE!</v>
      </c>
      <c r="G26" s="16">
        <f>G13+3%</f>
        <v>0.07</v>
      </c>
      <c r="H26" s="16">
        <f t="shared" si="10"/>
        <v>0</v>
      </c>
      <c r="I26" s="21" t="e">
        <f ca="1">(N:N*C:C+D:D+E:E*Q:Q)*(1+F:F)*(K:K*(L:L+H:H-1)+1-R:R-0.75*S:S)*(1+M:M)*INDEX($O$37:$O$42,MATCH($Q$39,$M$37:$M$42,))+$I$18</f>
        <v>#VALUE!</v>
      </c>
      <c r="J26" s="13">
        <f ca="1" t="shared" si="0"/>
        <v>0.3368</v>
      </c>
      <c r="K26" s="15">
        <f ca="1">J:J+$K$31*$D$38</f>
        <v>0.402540279154423</v>
      </c>
      <c r="L26" s="16">
        <f ca="1" t="shared" si="10"/>
        <v>1.8533</v>
      </c>
      <c r="M26" s="16">
        <f ca="1" t="shared" si="10"/>
        <v>0.6539</v>
      </c>
      <c r="N26" s="23">
        <f ca="1" t="shared" si="10"/>
        <v>15461.5806923077</v>
      </c>
      <c r="O26" s="23">
        <f ca="1" t="shared" si="10"/>
        <v>7315.92307692308</v>
      </c>
      <c r="P26" s="16">
        <f t="shared" si="10"/>
        <v>0.636</v>
      </c>
      <c r="Q26" s="23">
        <f ca="1" t="shared" si="10"/>
        <v>751</v>
      </c>
      <c r="R26" s="16">
        <f ca="1" t="shared" si="10"/>
        <v>0</v>
      </c>
      <c r="S26" s="16">
        <f ca="1" t="shared" si="10"/>
        <v>0</v>
      </c>
      <c r="T26" s="17">
        <f t="shared" si="10"/>
        <v>1.25</v>
      </c>
      <c r="U26" s="17"/>
      <c r="V26" s="32"/>
      <c r="W26" s="31"/>
    </row>
    <row r="27" spans="1:23">
      <c r="A27" s="17" t="s">
        <v>290</v>
      </c>
      <c r="B27" s="17">
        <v>0</v>
      </c>
      <c r="C27" s="17">
        <f>C13</f>
        <v>1.05</v>
      </c>
      <c r="D27" s="17">
        <f t="shared" ref="D27:T27" si="11">D13</f>
        <v>190</v>
      </c>
      <c r="E27" s="17">
        <f t="shared" si="11"/>
        <v>1</v>
      </c>
      <c r="F27" s="16" t="e">
        <f>F13+20%</f>
        <v>#VALUE!</v>
      </c>
      <c r="G27" s="17">
        <f t="shared" si="11"/>
        <v>0.04</v>
      </c>
      <c r="H27" s="17">
        <f t="shared" si="11"/>
        <v>0</v>
      </c>
      <c r="I27" s="21" t="e">
        <f ca="1">(N:N*C:C+D:D+E:E*Q:Q)*(1+F:F)*(K:K*(L:L+H:H-1)+1-R:R-0.75*S:S)*(1+M:M)*INDEX($O$37:$O$42,MATCH($Q$39,$M$37:$M$42,))+$I$18</f>
        <v>#VALUE!</v>
      </c>
      <c r="J27" s="16">
        <f ca="1">J13</f>
        <v>0.3068</v>
      </c>
      <c r="K27" s="16">
        <f ca="1">K13</f>
        <v>0.372540279154423</v>
      </c>
      <c r="L27" s="17">
        <f ca="1" t="shared" si="11"/>
        <v>1.8533</v>
      </c>
      <c r="M27" s="17">
        <f ca="1" t="shared" si="11"/>
        <v>0.6539</v>
      </c>
      <c r="N27" s="17">
        <f ca="1" t="shared" si="11"/>
        <v>15461.5806923077</v>
      </c>
      <c r="O27" s="17">
        <f ca="1" t="shared" si="11"/>
        <v>7315.92307692308</v>
      </c>
      <c r="P27" s="17">
        <f t="shared" si="11"/>
        <v>0.636</v>
      </c>
      <c r="Q27" s="17">
        <f ca="1" t="shared" si="11"/>
        <v>751</v>
      </c>
      <c r="R27" s="17">
        <f ca="1" t="shared" si="11"/>
        <v>0</v>
      </c>
      <c r="S27" s="17">
        <f ca="1" t="shared" si="11"/>
        <v>0</v>
      </c>
      <c r="T27" s="17">
        <f t="shared" si="11"/>
        <v>1.25</v>
      </c>
      <c r="U27" s="17"/>
      <c r="V27" s="32"/>
      <c r="W27" s="31"/>
    </row>
    <row r="28" spans="1:23">
      <c r="A28" s="17" t="s">
        <v>321</v>
      </c>
      <c r="B28" s="17">
        <f>B19</f>
        <v>0</v>
      </c>
      <c r="C28" s="17">
        <f t="shared" ref="C28" si="12">C19</f>
        <v>0.768</v>
      </c>
      <c r="D28" s="17">
        <f>D22</f>
        <v>137.5</v>
      </c>
      <c r="E28" s="17">
        <f t="shared" ref="E28:T28" si="13">E22</f>
        <v>1</v>
      </c>
      <c r="F28" s="17">
        <f t="shared" si="13"/>
        <v>0.12</v>
      </c>
      <c r="G28" s="17">
        <f t="shared" si="13"/>
        <v>0.04</v>
      </c>
      <c r="H28" s="17">
        <f t="shared" si="13"/>
        <v>0</v>
      </c>
      <c r="I28" s="21" t="e">
        <f ca="1">(N:N*C:C+D:D+E:E*Q:Q)*(1+F:F)*(K:K*(L:L+H:H-1)+1-R:R-0.75*S:S)*(1+M:M)*INDEX($O$37:$O$42,MATCH($Q$39,$M$37:$M$42,))</f>
        <v>#N/A</v>
      </c>
      <c r="J28" s="17">
        <f ca="1" t="shared" si="13"/>
        <v>0.3068</v>
      </c>
      <c r="K28" s="16">
        <f ca="1" t="shared" si="13"/>
        <v>0.376452197643367</v>
      </c>
      <c r="L28" s="17">
        <f ca="1" t="shared" si="13"/>
        <v>1.8533</v>
      </c>
      <c r="M28" s="17">
        <f ca="1" t="shared" si="13"/>
        <v>0.6539</v>
      </c>
      <c r="N28" s="17">
        <f ca="1" t="shared" si="13"/>
        <v>14364.1922307692</v>
      </c>
      <c r="O28" s="17">
        <f ca="1" t="shared" si="13"/>
        <v>7315.92307692308</v>
      </c>
      <c r="P28" s="17">
        <f t="shared" si="13"/>
        <v>0.486</v>
      </c>
      <c r="Q28" s="17">
        <f ca="1" t="shared" si="13"/>
        <v>751</v>
      </c>
      <c r="R28" s="17">
        <f ca="1" t="shared" si="13"/>
        <v>0</v>
      </c>
      <c r="S28" s="17">
        <f ca="1" t="shared" si="13"/>
        <v>0</v>
      </c>
      <c r="T28" s="17">
        <f t="shared" si="13"/>
        <v>0.8125</v>
      </c>
      <c r="U28" s="17"/>
      <c r="V28" s="32"/>
      <c r="W28" s="31"/>
    </row>
    <row r="29" spans="1:2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30"/>
      <c r="W29" s="31"/>
    </row>
    <row r="30" spans="1:23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30"/>
      <c r="W30" s="31"/>
    </row>
    <row r="31" spans="1:16">
      <c r="A31" s="11" t="str">
        <f>属性!D1</f>
        <v>第一重</v>
      </c>
      <c r="B31" s="11" t="str">
        <f>属性!E1</f>
        <v>刀魂</v>
      </c>
      <c r="C31" s="11" t="s">
        <v>13</v>
      </c>
      <c r="D31" s="11" t="b">
        <f t="shared" ref="D31:D42" si="14">C31=B31</f>
        <v>1</v>
      </c>
      <c r="E31" s="11" t="s">
        <v>292</v>
      </c>
      <c r="F31" s="11" t="b">
        <f t="shared" ref="F31:F42" si="15">E31=B31</f>
        <v>0</v>
      </c>
      <c r="G31" s="13"/>
      <c r="H31" s="13"/>
      <c r="I31" s="13" t="s">
        <v>291</v>
      </c>
      <c r="J31" s="24">
        <f ca="1">(J11+J12+6*J10+13*J9)/21</f>
        <v>0.349180952380952</v>
      </c>
      <c r="K31" s="7">
        <f ca="1">(0.450269547036277*J:J^6-1.63135022943507*J:J^5+2.53454201422095*J:J^4-2.30008535755169*J:J^3+1.39860127189957*J:J^2-0.596843023464342*J:J+0.171517229012336)*D38</f>
        <v>0.0657402791544232</v>
      </c>
      <c r="L31" s="13"/>
      <c r="M31" s="11"/>
      <c r="N31" s="11"/>
      <c r="O31" s="7" t="b">
        <f>属性!B20</f>
        <v>1</v>
      </c>
      <c r="P31" s="7" t="str">
        <f>属性!A20</f>
        <v>梅花盾</v>
      </c>
    </row>
    <row r="32" spans="1:14">
      <c r="A32" s="11" t="str">
        <f>属性!D2</f>
        <v>第二重</v>
      </c>
      <c r="B32" s="11" t="str">
        <f>属性!E2</f>
        <v>炼狱</v>
      </c>
      <c r="C32" s="11" t="s">
        <v>313</v>
      </c>
      <c r="D32" s="11" t="b">
        <f t="shared" si="14"/>
        <v>0</v>
      </c>
      <c r="E32" s="11" t="s">
        <v>322</v>
      </c>
      <c r="F32" s="11" t="b">
        <f t="shared" si="15"/>
        <v>0</v>
      </c>
      <c r="G32" s="13"/>
      <c r="H32" s="13"/>
      <c r="I32" s="11"/>
      <c r="K32" s="13"/>
      <c r="L32" s="13"/>
      <c r="M32" s="11"/>
      <c r="N32" s="11"/>
    </row>
    <row r="33" spans="1:14">
      <c r="A33" s="11" t="str">
        <f>属性!D3</f>
        <v>第三重</v>
      </c>
      <c r="B33" s="11" t="str">
        <f>属性!E3</f>
        <v>飞瀑</v>
      </c>
      <c r="C33" s="11" t="s">
        <v>24</v>
      </c>
      <c r="D33" s="11" t="b">
        <f t="shared" si="14"/>
        <v>0</v>
      </c>
      <c r="E33" s="11" t="s">
        <v>34</v>
      </c>
      <c r="F33" s="11" t="b">
        <f t="shared" si="15"/>
        <v>1</v>
      </c>
      <c r="G33" s="13"/>
      <c r="H33" s="13"/>
      <c r="I33" s="11"/>
      <c r="K33" s="13"/>
      <c r="L33" s="13"/>
      <c r="M33" s="11"/>
      <c r="N33" s="11"/>
    </row>
    <row r="34" spans="1:16">
      <c r="A34" s="11" t="str">
        <f>属性!D4</f>
        <v>第四重</v>
      </c>
      <c r="B34" s="11" t="str">
        <f>属性!E4</f>
        <v>劫生</v>
      </c>
      <c r="C34" s="11" t="s">
        <v>323</v>
      </c>
      <c r="D34" s="11" t="b">
        <f t="shared" si="14"/>
        <v>0</v>
      </c>
      <c r="E34" s="11" t="s">
        <v>324</v>
      </c>
      <c r="F34" s="11" t="b">
        <f t="shared" si="15"/>
        <v>0</v>
      </c>
      <c r="G34" s="13"/>
      <c r="H34" s="13"/>
      <c r="I34" s="11"/>
      <c r="K34" s="13"/>
      <c r="N34" s="11"/>
      <c r="P34" s="7" t="s">
        <v>194</v>
      </c>
    </row>
    <row r="35" spans="1:16">
      <c r="A35" s="11" t="str">
        <f>属性!D5</f>
        <v>第五重</v>
      </c>
      <c r="B35" s="11" t="str">
        <f>属性!E5</f>
        <v>锋鸣</v>
      </c>
      <c r="C35" s="11" t="s">
        <v>293</v>
      </c>
      <c r="D35" s="11" t="b">
        <f t="shared" si="14"/>
        <v>0</v>
      </c>
      <c r="E35" s="11" t="s">
        <v>54</v>
      </c>
      <c r="F35" s="11" t="b">
        <f t="shared" si="15"/>
        <v>1</v>
      </c>
      <c r="G35" s="13"/>
      <c r="H35" s="13"/>
      <c r="I35" s="11"/>
      <c r="K35" s="13"/>
      <c r="M35" s="7" t="e">
        <f>苍云!#REF!</f>
        <v>#REF!</v>
      </c>
      <c r="N35" s="7" t="e">
        <f>苍云!#REF!</f>
        <v>#REF!</v>
      </c>
      <c r="O35" s="7" t="e">
        <f>苍云!#REF!</f>
        <v>#REF!</v>
      </c>
      <c r="P35" s="7" t="e">
        <f>P31*0.05</f>
        <v>#VALUE!</v>
      </c>
    </row>
    <row r="36" spans="1:17">
      <c r="A36" s="11" t="str">
        <f>属性!D6</f>
        <v>第六重</v>
      </c>
      <c r="B36" s="11" t="str">
        <f>属性!E6</f>
        <v>割裂</v>
      </c>
      <c r="C36" s="11" t="s">
        <v>64</v>
      </c>
      <c r="D36" s="11" t="b">
        <f t="shared" si="14"/>
        <v>1</v>
      </c>
      <c r="E36" s="11" t="s">
        <v>294</v>
      </c>
      <c r="F36" s="11" t="b">
        <f t="shared" si="15"/>
        <v>0</v>
      </c>
      <c r="G36" s="17" t="s">
        <v>325</v>
      </c>
      <c r="H36" s="18">
        <f ca="1">V2*0.1+50</f>
        <v>224.9</v>
      </c>
      <c r="I36" s="25"/>
      <c r="J36" s="25"/>
      <c r="K36" s="25"/>
      <c r="L36" s="7" t="s">
        <v>326</v>
      </c>
      <c r="M36" s="26" t="s">
        <v>215</v>
      </c>
      <c r="N36" s="26" t="str">
        <f>属性!E29</f>
        <v>无增益</v>
      </c>
      <c r="O36" s="15" t="str">
        <f>属性!F29</f>
        <v>木桩</v>
      </c>
      <c r="P36" s="26" t="s">
        <v>295</v>
      </c>
      <c r="Q36" s="11">
        <f>IF(V12&gt;4,1)+IF(V12&gt;207,1)+IF(V12&gt;433,1)+IF(V12&gt;677,1)</f>
        <v>4</v>
      </c>
    </row>
    <row r="37" spans="1:17">
      <c r="A37" s="11" t="str">
        <f>属性!D7</f>
        <v>第七重</v>
      </c>
      <c r="B37" s="11" t="str">
        <f>属性!E7</f>
        <v>活脉</v>
      </c>
      <c r="C37" s="11" t="s">
        <v>72</v>
      </c>
      <c r="D37" s="11" t="b">
        <f t="shared" si="14"/>
        <v>1</v>
      </c>
      <c r="E37" s="11"/>
      <c r="F37" s="11" t="b">
        <f t="shared" si="15"/>
        <v>0</v>
      </c>
      <c r="G37" s="17"/>
      <c r="H37" s="19"/>
      <c r="I37" s="17"/>
      <c r="J37" s="17"/>
      <c r="K37" s="17"/>
      <c r="L37" s="22" t="e">
        <f>属性!#REF!</f>
        <v>#REF!</v>
      </c>
      <c r="M37" s="11" t="s">
        <v>327</v>
      </c>
      <c r="N37" s="13" t="e">
        <f>属性!#REF!</f>
        <v>#REF!</v>
      </c>
      <c r="O37" s="15" t="e">
        <f>属性!#REF!</f>
        <v>#REF!</v>
      </c>
      <c r="P37" s="26" t="s">
        <v>296</v>
      </c>
      <c r="Q37" s="30">
        <f>IF(V12&gt;4,1)+IF(V12&gt;317,1)+IF(V12&gt;677,1)</f>
        <v>3</v>
      </c>
    </row>
    <row r="38" spans="1:22">
      <c r="A38" s="11" t="str">
        <f>属性!D8</f>
        <v>第八重</v>
      </c>
      <c r="B38" s="11" t="str">
        <f>属性!E8</f>
        <v>恋战</v>
      </c>
      <c r="C38" s="11" t="s">
        <v>81</v>
      </c>
      <c r="D38" s="11" t="b">
        <f t="shared" si="14"/>
        <v>1</v>
      </c>
      <c r="E38" s="11" t="s">
        <v>269</v>
      </c>
      <c r="F38" s="11" t="b">
        <f t="shared" si="15"/>
        <v>0</v>
      </c>
      <c r="G38" s="17"/>
      <c r="H38" s="16"/>
      <c r="I38" s="17"/>
      <c r="J38" s="17"/>
      <c r="K38" s="17"/>
      <c r="L38" s="22">
        <f>属性!Y30</f>
        <v>0</v>
      </c>
      <c r="M38" s="11" t="s">
        <v>328</v>
      </c>
      <c r="N38" s="13">
        <f>属性!E30</f>
        <v>0.75</v>
      </c>
      <c r="O38" s="15">
        <f>属性!X30</f>
        <v>0</v>
      </c>
      <c r="P38" s="26" t="s">
        <v>297</v>
      </c>
      <c r="Q38" s="30">
        <f>IF(V12&gt;4,1)+IF(V12&gt;156,1)+IF(V12&gt;317,1)+IF(V12&gt;488,1)+IF(V12&gt;677,1)</f>
        <v>5</v>
      </c>
      <c r="V38" s="7"/>
    </row>
    <row r="39" spans="1:23">
      <c r="A39" s="11" t="str">
        <f>属性!D9</f>
        <v>第九重</v>
      </c>
      <c r="B39" s="11" t="str">
        <f>属性!E9</f>
        <v>从容</v>
      </c>
      <c r="C39" s="11" t="s">
        <v>99</v>
      </c>
      <c r="D39" s="11" t="b">
        <f t="shared" si="14"/>
        <v>0</v>
      </c>
      <c r="E39" s="11"/>
      <c r="F39" s="11" t="b">
        <f t="shared" si="15"/>
        <v>0</v>
      </c>
      <c r="G39" s="11" t="s">
        <v>298</v>
      </c>
      <c r="H39" s="11" t="str">
        <f>属性!A2</f>
        <v>大cw</v>
      </c>
      <c r="I39" s="17"/>
      <c r="J39" s="17"/>
      <c r="K39" s="17"/>
      <c r="L39" s="22">
        <f>属性!Y31</f>
        <v>0</v>
      </c>
      <c r="M39" s="11" t="s">
        <v>329</v>
      </c>
      <c r="N39" s="13">
        <f>属性!E31</f>
        <v>0.649996259286498</v>
      </c>
      <c r="O39" s="15">
        <f>属性!X31</f>
        <v>0</v>
      </c>
      <c r="P39" s="26" t="s">
        <v>92</v>
      </c>
      <c r="Q39" s="11" t="str">
        <f>苍云!C11</f>
        <v>102级</v>
      </c>
      <c r="V39" s="7"/>
      <c r="W39" s="7"/>
    </row>
    <row r="40" spans="1:17">
      <c r="A40" s="11" t="str">
        <f>属性!D10</f>
        <v>第十重</v>
      </c>
      <c r="B40" s="11" t="str">
        <f>属性!E10</f>
        <v>愤恨</v>
      </c>
      <c r="C40" s="11" t="s">
        <v>91</v>
      </c>
      <c r="D40" s="11" t="b">
        <f t="shared" si="14"/>
        <v>0</v>
      </c>
      <c r="E40" s="11"/>
      <c r="F40" s="11" t="b">
        <f t="shared" si="15"/>
        <v>0</v>
      </c>
      <c r="G40" s="11" t="s">
        <v>300</v>
      </c>
      <c r="H40" s="11" t="str">
        <f>属性!A3</f>
        <v>雷特效</v>
      </c>
      <c r="I40" s="17"/>
      <c r="J40" s="17"/>
      <c r="K40" s="17"/>
      <c r="L40" s="22">
        <f>属性!Y32</f>
        <v>0</v>
      </c>
      <c r="M40" s="11" t="s">
        <v>330</v>
      </c>
      <c r="N40" s="13">
        <f>属性!E32</f>
        <v>0.6</v>
      </c>
      <c r="O40" s="15">
        <f>属性!X32</f>
        <v>0</v>
      </c>
      <c r="P40" s="26" t="s">
        <v>100</v>
      </c>
      <c r="Q40" s="11" t="str">
        <f>MIDB(苍云!C12,SEARCHB("?",苍云!C12),2*LEN(苍云!C12)-LENB(苍云!C12))</f>
        <v>5</v>
      </c>
    </row>
    <row r="41" spans="1:17">
      <c r="A41" s="11" t="str">
        <f>属性!D11</f>
        <v>第十一重</v>
      </c>
      <c r="B41" s="11" t="str">
        <f>属性!E11</f>
        <v>蔑视</v>
      </c>
      <c r="C41" s="11" t="s">
        <v>107</v>
      </c>
      <c r="D41" s="11" t="b">
        <f t="shared" si="14"/>
        <v>1</v>
      </c>
      <c r="E41" s="11"/>
      <c r="F41" s="11" t="b">
        <f t="shared" si="15"/>
        <v>0</v>
      </c>
      <c r="G41" s="11" t="s">
        <v>301</v>
      </c>
      <c r="H41" s="11">
        <f>苍云!$L$54</f>
        <v>0</v>
      </c>
      <c r="I41" s="17"/>
      <c r="J41" s="17"/>
      <c r="K41" s="17"/>
      <c r="L41" s="22">
        <f>属性!Y33</f>
        <v>0</v>
      </c>
      <c r="M41" s="11" t="s">
        <v>331</v>
      </c>
      <c r="N41" s="13">
        <f>属性!E33</f>
        <v>0.649996259286498</v>
      </c>
      <c r="O41" s="15">
        <f>属性!X33</f>
        <v>0</v>
      </c>
      <c r="P41" s="11" t="str">
        <f>属性!F5</f>
        <v>战斗时间</v>
      </c>
      <c r="Q41" s="11">
        <f>属性!G5</f>
        <v>300</v>
      </c>
    </row>
    <row r="42" spans="1:17">
      <c r="A42" s="11" t="str">
        <f>属性!D12</f>
        <v>第十二重</v>
      </c>
      <c r="B42" s="11" t="str">
        <f>属性!E12</f>
        <v>骇日</v>
      </c>
      <c r="C42" s="11" t="s">
        <v>116</v>
      </c>
      <c r="D42" s="11" t="b">
        <f t="shared" si="14"/>
        <v>1</v>
      </c>
      <c r="E42" s="11" t="s">
        <v>332</v>
      </c>
      <c r="F42" s="11" t="b">
        <f t="shared" si="15"/>
        <v>0</v>
      </c>
      <c r="G42" s="11">
        <f>属性!D26</f>
        <v>0</v>
      </c>
      <c r="H42" s="20">
        <v>0</v>
      </c>
      <c r="I42" s="17"/>
      <c r="J42" s="17"/>
      <c r="K42" s="17"/>
      <c r="L42" s="22" t="e">
        <f>属性!#REF!</f>
        <v>#REF!</v>
      </c>
      <c r="M42" s="7" t="s">
        <v>333</v>
      </c>
      <c r="N42" s="13" t="e">
        <f>属性!#REF!</f>
        <v>#REF!</v>
      </c>
      <c r="O42" s="15" t="e">
        <f>属性!#REF!</f>
        <v>#REF!</v>
      </c>
      <c r="P42" s="17" t="s">
        <v>302</v>
      </c>
      <c r="Q42" s="11" t="e">
        <f ca="1">$I$14/$T$14</f>
        <v>#N/A</v>
      </c>
    </row>
    <row r="43" spans="7:17">
      <c r="G43" s="17"/>
      <c r="H43" s="17"/>
      <c r="I43" s="17"/>
      <c r="J43" s="17"/>
      <c r="K43" s="17"/>
      <c r="L43" s="17"/>
      <c r="M43" s="17"/>
      <c r="N43" s="17"/>
      <c r="O43" s="17"/>
      <c r="P43" s="17" t="s">
        <v>303</v>
      </c>
      <c r="Q43" s="7" t="e">
        <f ca="1">(I13-I10)*5/60*H40</f>
        <v>#VALUE!</v>
      </c>
    </row>
    <row r="51" spans="1:22">
      <c r="A51" s="11" t="s">
        <v>271</v>
      </c>
      <c r="B51" s="20" t="s">
        <v>272</v>
      </c>
      <c r="C51" s="20" t="s">
        <v>304</v>
      </c>
      <c r="D51" s="20" t="s">
        <v>281</v>
      </c>
      <c r="E51" s="20" t="s">
        <v>278</v>
      </c>
      <c r="F51" s="17"/>
      <c r="G51" s="17"/>
      <c r="H51" s="20" t="s">
        <v>271</v>
      </c>
      <c r="I51" s="20" t="s">
        <v>334</v>
      </c>
      <c r="J51" s="20" t="s">
        <v>304</v>
      </c>
      <c r="K51" s="20" t="s">
        <v>281</v>
      </c>
      <c r="L51" s="20" t="s">
        <v>278</v>
      </c>
      <c r="M51" s="20"/>
      <c r="N51" s="20"/>
      <c r="O51" s="11" t="s">
        <v>271</v>
      </c>
      <c r="P51" s="11" t="s">
        <v>334</v>
      </c>
      <c r="Q51" s="11" t="s">
        <v>304</v>
      </c>
      <c r="R51" s="11" t="s">
        <v>281</v>
      </c>
      <c r="S51" s="11" t="s">
        <v>278</v>
      </c>
      <c r="T51" s="7" t="s">
        <v>25</v>
      </c>
      <c r="V51" s="32"/>
    </row>
    <row r="52" spans="1:22">
      <c r="A52" s="11" t="s">
        <v>82</v>
      </c>
      <c r="B52" s="20">
        <f ca="1" t="shared" ref="B52:B63" si="16">IFERROR(VLOOKUP(A52,实战技能表,MATCH("怒气",$A$1:$T$1,0),0),0)</f>
        <v>15</v>
      </c>
      <c r="C52" s="20">
        <v>1</v>
      </c>
      <c r="D52" s="20">
        <f ca="1" t="shared" ref="D52:D63" si="17">IFERROR(VLOOKUP(A52,实战技能表,MATCH("时间",$A$1:$T$1,0),0),0)</f>
        <v>1.25</v>
      </c>
      <c r="E52" s="20">
        <f ca="1" t="shared" ref="E52:E63" si="18">IFERROR(VLOOKUP(A52,实战技能表,MATCH("dmg",$A$1:$T$1,0),0),0)</f>
        <v>0</v>
      </c>
      <c r="F52" s="17"/>
      <c r="G52" s="17"/>
      <c r="H52" s="20" t="s">
        <v>286</v>
      </c>
      <c r="I52" s="20">
        <f ca="1" t="shared" ref="I52:I64" si="19">IFERROR(VLOOKUP(H52,实战技能表,MATCH("怒气",$A$1:$T$1,0),0),0)</f>
        <v>5</v>
      </c>
      <c r="J52" s="20">
        <v>1</v>
      </c>
      <c r="K52" s="20">
        <f ca="1" t="shared" ref="K52:K64" si="20">IFERROR(VLOOKUP(H52,实战技能表,MATCH("时间",$A$1:$T$1,0),0),0)</f>
        <v>0.8125</v>
      </c>
      <c r="L52" s="20">
        <f ca="1">IFERROR(VLOOKUP(H52,实战技能表,MATCH("dmg",$A$1:$T$1,0),0),0)</f>
        <v>0</v>
      </c>
      <c r="M52" s="20"/>
      <c r="N52" s="20"/>
      <c r="O52" s="11" t="s">
        <v>55</v>
      </c>
      <c r="P52" s="11">
        <f ca="1" t="shared" ref="P52:P78" si="21">INDEX(B:B,MATCH(O:O,A:A,))</f>
        <v>15</v>
      </c>
      <c r="Q52" s="11">
        <v>1</v>
      </c>
      <c r="R52" s="11">
        <f ca="1" t="shared" ref="R52:R78" si="22">INDEX(T:T,MATCH(O:O,A:A,))</f>
        <v>1.25</v>
      </c>
      <c r="S52" s="11" t="e">
        <f ca="1" t="shared" ref="S52:S78" si="23">INDEX(I:I,MATCH(O:O,A:A,))</f>
        <v>#N/A</v>
      </c>
      <c r="T52" s="11">
        <v>0</v>
      </c>
      <c r="U52" s="20">
        <v>0</v>
      </c>
      <c r="V52" s="32"/>
    </row>
    <row r="53" spans="1:22">
      <c r="A53" s="11" t="s">
        <v>286</v>
      </c>
      <c r="B53" s="20">
        <f ca="1" t="shared" si="16"/>
        <v>5</v>
      </c>
      <c r="C53" s="20">
        <v>1</v>
      </c>
      <c r="D53" s="20">
        <f ca="1" t="shared" si="17"/>
        <v>0.8125</v>
      </c>
      <c r="E53" s="20">
        <f ca="1" t="shared" si="18"/>
        <v>0</v>
      </c>
      <c r="F53" s="17"/>
      <c r="G53" s="17"/>
      <c r="H53" s="20" t="s">
        <v>286</v>
      </c>
      <c r="I53" s="20">
        <f ca="1" t="shared" si="19"/>
        <v>5</v>
      </c>
      <c r="J53" s="20">
        <v>1</v>
      </c>
      <c r="K53" s="20">
        <f ca="1" t="shared" si="20"/>
        <v>0.8125</v>
      </c>
      <c r="L53" s="20">
        <f ca="1" t="shared" ref="L53:L64" si="24">IFERROR(VLOOKUP(H53,实战技能表,MATCH("dmg",$A$1:$T$1,0),0),0)</f>
        <v>0</v>
      </c>
      <c r="M53" s="20"/>
      <c r="N53" s="20"/>
      <c r="O53" s="11" t="s">
        <v>65</v>
      </c>
      <c r="P53" s="11">
        <f ca="1" t="shared" si="21"/>
        <v>-15</v>
      </c>
      <c r="Q53" s="11">
        <v>1</v>
      </c>
      <c r="R53" s="11">
        <f ca="1" t="shared" si="22"/>
        <v>1.25</v>
      </c>
      <c r="S53" s="11" t="e">
        <f ca="1" t="shared" si="23"/>
        <v>#VALUE!</v>
      </c>
      <c r="T53" s="11">
        <v>1</v>
      </c>
      <c r="U53" s="20" t="e">
        <f ca="1" t="shared" ref="U53:U65" si="25">(R53+Q53/16)*$I$24/$T$24</f>
        <v>#N/A</v>
      </c>
      <c r="V53" s="32"/>
    </row>
    <row r="54" spans="1:22">
      <c r="A54" s="11" t="s">
        <v>286</v>
      </c>
      <c r="B54" s="20">
        <f ca="1" t="shared" si="16"/>
        <v>5</v>
      </c>
      <c r="C54" s="20">
        <v>1</v>
      </c>
      <c r="D54" s="20">
        <f ca="1" t="shared" si="17"/>
        <v>0.8125</v>
      </c>
      <c r="E54" s="20">
        <f ca="1" t="shared" si="18"/>
        <v>0</v>
      </c>
      <c r="F54" s="17"/>
      <c r="G54" s="17"/>
      <c r="H54" s="20" t="s">
        <v>286</v>
      </c>
      <c r="I54" s="20">
        <f ca="1" t="shared" si="19"/>
        <v>5</v>
      </c>
      <c r="J54" s="20">
        <v>1</v>
      </c>
      <c r="K54" s="20">
        <f ca="1" t="shared" si="20"/>
        <v>0.8125</v>
      </c>
      <c r="L54" s="20">
        <f ca="1" t="shared" si="24"/>
        <v>0</v>
      </c>
      <c r="M54" s="20"/>
      <c r="N54" s="20"/>
      <c r="O54" s="11" t="s">
        <v>286</v>
      </c>
      <c r="P54" s="11">
        <f ca="1" t="shared" si="21"/>
        <v>5</v>
      </c>
      <c r="Q54" s="11">
        <v>1</v>
      </c>
      <c r="R54" s="11">
        <f ca="1" t="shared" si="22"/>
        <v>0.8125</v>
      </c>
      <c r="S54" s="11" t="e">
        <f ca="1" t="shared" si="23"/>
        <v>#N/A</v>
      </c>
      <c r="T54" s="11">
        <v>1</v>
      </c>
      <c r="U54" s="20" t="e">
        <f ca="1" t="shared" si="25"/>
        <v>#N/A</v>
      </c>
      <c r="V54" s="32"/>
    </row>
    <row r="55" spans="1:22">
      <c r="A55" s="11" t="s">
        <v>286</v>
      </c>
      <c r="B55" s="20">
        <f ca="1" t="shared" si="16"/>
        <v>5</v>
      </c>
      <c r="C55" s="20">
        <v>1</v>
      </c>
      <c r="D55" s="20">
        <f ca="1" t="shared" si="17"/>
        <v>0.8125</v>
      </c>
      <c r="E55" s="20">
        <f ca="1" t="shared" si="18"/>
        <v>0</v>
      </c>
      <c r="F55" s="17"/>
      <c r="G55" s="17"/>
      <c r="H55" s="20" t="s">
        <v>82</v>
      </c>
      <c r="I55" s="20">
        <f ca="1" t="shared" si="19"/>
        <v>15</v>
      </c>
      <c r="J55" s="20">
        <v>1</v>
      </c>
      <c r="K55" s="20">
        <f ca="1" t="shared" si="20"/>
        <v>1.25</v>
      </c>
      <c r="L55" s="20">
        <f ca="1" t="shared" si="24"/>
        <v>0</v>
      </c>
      <c r="M55" s="20"/>
      <c r="N55" s="20"/>
      <c r="O55" s="11" t="s">
        <v>286</v>
      </c>
      <c r="P55" s="11">
        <f ca="1" t="shared" si="21"/>
        <v>5</v>
      </c>
      <c r="Q55" s="11">
        <v>1</v>
      </c>
      <c r="R55" s="11">
        <f ca="1" t="shared" si="22"/>
        <v>0.8125</v>
      </c>
      <c r="S55" s="11" t="e">
        <f ca="1" t="shared" si="23"/>
        <v>#N/A</v>
      </c>
      <c r="T55" s="11">
        <v>1</v>
      </c>
      <c r="U55" s="20" t="e">
        <f ca="1" t="shared" si="25"/>
        <v>#N/A</v>
      </c>
      <c r="V55" s="32"/>
    </row>
    <row r="56" spans="1:22">
      <c r="A56" s="11" t="s">
        <v>82</v>
      </c>
      <c r="B56" s="20">
        <f ca="1" t="shared" si="16"/>
        <v>15</v>
      </c>
      <c r="C56" s="20">
        <v>1</v>
      </c>
      <c r="D56" s="20">
        <f ca="1" t="shared" si="17"/>
        <v>1.25</v>
      </c>
      <c r="E56" s="20">
        <f ca="1" t="shared" si="18"/>
        <v>0</v>
      </c>
      <c r="F56" s="17"/>
      <c r="G56" s="17"/>
      <c r="H56" s="20" t="s">
        <v>284</v>
      </c>
      <c r="I56" s="20">
        <f ca="1" t="shared" si="19"/>
        <v>5</v>
      </c>
      <c r="J56" s="20">
        <v>1</v>
      </c>
      <c r="K56" s="20">
        <f ca="1" t="shared" si="20"/>
        <v>0.8125</v>
      </c>
      <c r="L56" s="20">
        <f ca="1" t="shared" si="24"/>
        <v>0</v>
      </c>
      <c r="M56" s="20"/>
      <c r="N56" s="20"/>
      <c r="O56" s="11" t="s">
        <v>286</v>
      </c>
      <c r="P56" s="11">
        <f ca="1" t="shared" si="21"/>
        <v>5</v>
      </c>
      <c r="Q56" s="11">
        <v>1</v>
      </c>
      <c r="R56" s="11">
        <f ca="1" t="shared" si="22"/>
        <v>0.8125</v>
      </c>
      <c r="S56" s="11" t="e">
        <f ca="1" t="shared" si="23"/>
        <v>#N/A</v>
      </c>
      <c r="T56" s="11">
        <v>1</v>
      </c>
      <c r="U56" s="20" t="e">
        <f ca="1" t="shared" si="25"/>
        <v>#N/A</v>
      </c>
      <c r="V56" s="32"/>
    </row>
    <row r="57" spans="1:22">
      <c r="A57" s="11" t="s">
        <v>65</v>
      </c>
      <c r="B57" s="20">
        <f ca="1" t="shared" si="16"/>
        <v>-15</v>
      </c>
      <c r="C57" s="20">
        <v>1</v>
      </c>
      <c r="D57" s="20">
        <f ca="1" t="shared" si="17"/>
        <v>1.25</v>
      </c>
      <c r="E57" s="20">
        <f ca="1" t="shared" si="18"/>
        <v>0</v>
      </c>
      <c r="F57" s="17"/>
      <c r="G57" s="17"/>
      <c r="H57" s="20" t="s">
        <v>308</v>
      </c>
      <c r="I57" s="20">
        <f ca="1" t="shared" si="19"/>
        <v>5</v>
      </c>
      <c r="J57" s="20">
        <v>1</v>
      </c>
      <c r="K57" s="20">
        <f ca="1" t="shared" si="20"/>
        <v>0.8125</v>
      </c>
      <c r="L57" s="20">
        <f ca="1" t="shared" si="24"/>
        <v>0</v>
      </c>
      <c r="M57" s="20"/>
      <c r="N57" s="20"/>
      <c r="O57" s="11" t="s">
        <v>82</v>
      </c>
      <c r="P57" s="11">
        <f ca="1" t="shared" si="21"/>
        <v>15</v>
      </c>
      <c r="Q57" s="11">
        <v>1</v>
      </c>
      <c r="R57" s="11">
        <f ca="1" t="shared" si="22"/>
        <v>1.25</v>
      </c>
      <c r="S57" s="11" t="e">
        <f ca="1" t="shared" si="23"/>
        <v>#VALUE!</v>
      </c>
      <c r="T57" s="11">
        <v>1</v>
      </c>
      <c r="U57" s="20" t="e">
        <f ca="1" t="shared" si="25"/>
        <v>#N/A</v>
      </c>
      <c r="V57" s="32"/>
    </row>
    <row r="58" spans="1:22">
      <c r="A58" s="20" t="str">
        <f>IF($D$36=TRUE,"闪刀","劫刀")</f>
        <v>闪刀</v>
      </c>
      <c r="B58" s="20">
        <f ca="1" t="shared" si="16"/>
        <v>-15</v>
      </c>
      <c r="C58" s="20">
        <v>1</v>
      </c>
      <c r="D58" s="20">
        <f ca="1" t="shared" si="17"/>
        <v>1.25</v>
      </c>
      <c r="E58" s="20">
        <f ca="1" t="shared" si="18"/>
        <v>0</v>
      </c>
      <c r="F58" s="17"/>
      <c r="G58" s="17"/>
      <c r="H58" s="20" t="s">
        <v>309</v>
      </c>
      <c r="I58" s="20">
        <f ca="1" t="shared" si="19"/>
        <v>10</v>
      </c>
      <c r="J58" s="20">
        <v>1</v>
      </c>
      <c r="K58" s="20">
        <f ca="1" t="shared" si="20"/>
        <v>0.8125</v>
      </c>
      <c r="L58" s="20">
        <f ca="1" t="shared" si="24"/>
        <v>0</v>
      </c>
      <c r="M58" s="20"/>
      <c r="N58" s="20"/>
      <c r="O58" s="11" t="s">
        <v>284</v>
      </c>
      <c r="P58" s="11">
        <f ca="1" t="shared" si="21"/>
        <v>5</v>
      </c>
      <c r="Q58" s="11">
        <v>1</v>
      </c>
      <c r="R58" s="11">
        <f ca="1" t="shared" si="22"/>
        <v>0.8125</v>
      </c>
      <c r="S58" s="11" t="e">
        <f ca="1" t="shared" si="23"/>
        <v>#N/A</v>
      </c>
      <c r="T58" s="11">
        <v>1</v>
      </c>
      <c r="U58" s="20" t="e">
        <f ca="1" t="shared" si="25"/>
        <v>#N/A</v>
      </c>
      <c r="V58" s="32"/>
    </row>
    <row r="59" spans="1:22">
      <c r="A59" s="11" t="s">
        <v>14</v>
      </c>
      <c r="B59" s="20">
        <f ca="1" t="shared" si="16"/>
        <v>-5</v>
      </c>
      <c r="C59" s="20">
        <v>1</v>
      </c>
      <c r="D59" s="20">
        <f ca="1" t="shared" si="17"/>
        <v>1.25</v>
      </c>
      <c r="E59" s="20">
        <f ca="1" t="shared" si="18"/>
        <v>0</v>
      </c>
      <c r="F59" s="17"/>
      <c r="G59" s="17"/>
      <c r="H59" s="20" t="s">
        <v>284</v>
      </c>
      <c r="I59" s="20">
        <f ca="1" t="shared" si="19"/>
        <v>5</v>
      </c>
      <c r="J59" s="20">
        <v>1</v>
      </c>
      <c r="K59" s="20">
        <f ca="1" t="shared" si="20"/>
        <v>0.8125</v>
      </c>
      <c r="L59" s="20">
        <f ca="1" t="shared" si="24"/>
        <v>0</v>
      </c>
      <c r="M59" s="20"/>
      <c r="N59" s="20"/>
      <c r="O59" s="11" t="s">
        <v>308</v>
      </c>
      <c r="P59" s="11">
        <f ca="1" t="shared" si="21"/>
        <v>5</v>
      </c>
      <c r="Q59" s="11">
        <v>1</v>
      </c>
      <c r="R59" s="11">
        <f ca="1" t="shared" si="22"/>
        <v>0.8125</v>
      </c>
      <c r="S59" s="11" t="e">
        <f ca="1" t="shared" si="23"/>
        <v>#N/A</v>
      </c>
      <c r="T59" s="11">
        <v>1</v>
      </c>
      <c r="U59" s="20" t="e">
        <f ca="1" t="shared" si="25"/>
        <v>#N/A</v>
      </c>
      <c r="V59" s="32"/>
    </row>
    <row r="60" spans="1:22">
      <c r="A60" s="11" t="s">
        <v>14</v>
      </c>
      <c r="B60" s="20">
        <f ca="1" t="shared" si="16"/>
        <v>-5</v>
      </c>
      <c r="C60" s="20">
        <v>1</v>
      </c>
      <c r="D60" s="20">
        <f ca="1" t="shared" si="17"/>
        <v>1.25</v>
      </c>
      <c r="E60" s="20">
        <f ca="1" t="shared" si="18"/>
        <v>0</v>
      </c>
      <c r="F60" s="17"/>
      <c r="G60" s="17"/>
      <c r="H60" s="20" t="s">
        <v>308</v>
      </c>
      <c r="I60" s="20">
        <f ca="1" t="shared" si="19"/>
        <v>5</v>
      </c>
      <c r="J60" s="20">
        <v>1</v>
      </c>
      <c r="K60" s="20">
        <f ca="1" t="shared" si="20"/>
        <v>0.8125</v>
      </c>
      <c r="L60" s="20">
        <f ca="1" t="shared" si="24"/>
        <v>0</v>
      </c>
      <c r="M60" s="20"/>
      <c r="N60" s="20"/>
      <c r="O60" s="11" t="s">
        <v>309</v>
      </c>
      <c r="P60" s="11">
        <f ca="1" t="shared" si="21"/>
        <v>10</v>
      </c>
      <c r="Q60" s="11">
        <v>1</v>
      </c>
      <c r="R60" s="11">
        <f ca="1" t="shared" si="22"/>
        <v>0.8125</v>
      </c>
      <c r="S60" s="11" t="e">
        <f ca="1" t="shared" si="23"/>
        <v>#N/A</v>
      </c>
      <c r="T60" s="11">
        <v>1</v>
      </c>
      <c r="U60" s="20" t="e">
        <f ca="1" t="shared" si="25"/>
        <v>#N/A</v>
      </c>
      <c r="V60" s="32"/>
    </row>
    <row r="61" spans="1:22">
      <c r="A61" s="11" t="s">
        <v>14</v>
      </c>
      <c r="B61" s="20">
        <f ca="1" t="shared" si="16"/>
        <v>-5</v>
      </c>
      <c r="C61" s="20">
        <v>1</v>
      </c>
      <c r="D61" s="20">
        <f ca="1" t="shared" si="17"/>
        <v>1.25</v>
      </c>
      <c r="E61" s="20">
        <f ca="1" t="shared" si="18"/>
        <v>0</v>
      </c>
      <c r="F61" s="17"/>
      <c r="G61" s="17"/>
      <c r="H61" s="20" t="s">
        <v>309</v>
      </c>
      <c r="I61" s="20">
        <f ca="1" t="shared" si="19"/>
        <v>10</v>
      </c>
      <c r="J61" s="20">
        <v>1</v>
      </c>
      <c r="K61" s="20">
        <f ca="1" t="shared" si="20"/>
        <v>0.8125</v>
      </c>
      <c r="L61" s="20">
        <f ca="1" t="shared" si="24"/>
        <v>0</v>
      </c>
      <c r="M61" s="20"/>
      <c r="N61" s="20"/>
      <c r="O61" s="11" t="s">
        <v>14</v>
      </c>
      <c r="P61" s="11">
        <f ca="1" t="shared" si="21"/>
        <v>-5</v>
      </c>
      <c r="Q61" s="11">
        <v>1</v>
      </c>
      <c r="R61" s="11">
        <f ca="1" t="shared" si="22"/>
        <v>1.25</v>
      </c>
      <c r="S61" s="11" t="e">
        <f ca="1" t="shared" si="23"/>
        <v>#N/A</v>
      </c>
      <c r="T61" s="11">
        <v>1</v>
      </c>
      <c r="U61" s="20" t="e">
        <f ca="1" t="shared" si="25"/>
        <v>#N/A</v>
      </c>
      <c r="V61" s="32"/>
    </row>
    <row r="62" spans="1:22">
      <c r="A62" s="11" t="s">
        <v>14</v>
      </c>
      <c r="B62" s="20">
        <f ca="1" t="shared" si="16"/>
        <v>-5</v>
      </c>
      <c r="C62" s="20">
        <v>1</v>
      </c>
      <c r="D62" s="20">
        <f ca="1" t="shared" si="17"/>
        <v>1.25</v>
      </c>
      <c r="E62" s="20">
        <f ca="1" t="shared" si="18"/>
        <v>0</v>
      </c>
      <c r="F62" s="17"/>
      <c r="G62" s="17"/>
      <c r="H62" s="20" t="s">
        <v>286</v>
      </c>
      <c r="I62" s="20">
        <f ca="1" t="shared" si="19"/>
        <v>5</v>
      </c>
      <c r="J62" s="20">
        <v>1</v>
      </c>
      <c r="K62" s="20">
        <f ca="1" t="shared" si="20"/>
        <v>0.8125</v>
      </c>
      <c r="L62" s="20">
        <f ca="1" t="shared" si="24"/>
        <v>0</v>
      </c>
      <c r="O62" s="11" t="s">
        <v>14</v>
      </c>
      <c r="P62" s="11">
        <f ca="1" t="shared" si="21"/>
        <v>-5</v>
      </c>
      <c r="Q62" s="11">
        <v>1</v>
      </c>
      <c r="R62" s="11">
        <f ca="1" t="shared" si="22"/>
        <v>1.25</v>
      </c>
      <c r="S62" s="11" t="e">
        <f ca="1" t="shared" si="23"/>
        <v>#N/A</v>
      </c>
      <c r="T62" s="11">
        <v>1</v>
      </c>
      <c r="U62" s="20" t="e">
        <f ca="1" t="shared" si="25"/>
        <v>#N/A</v>
      </c>
      <c r="V62" s="32"/>
    </row>
    <row r="63" spans="1:22">
      <c r="A63" s="11" t="s">
        <v>14</v>
      </c>
      <c r="B63" s="20">
        <f ca="1" t="shared" si="16"/>
        <v>-5</v>
      </c>
      <c r="C63" s="20">
        <v>1</v>
      </c>
      <c r="D63" s="20">
        <f ca="1" t="shared" si="17"/>
        <v>1.25</v>
      </c>
      <c r="E63" s="20">
        <f ca="1" t="shared" si="18"/>
        <v>0</v>
      </c>
      <c r="F63" s="17"/>
      <c r="G63" s="17"/>
      <c r="H63" s="20" t="s">
        <v>286</v>
      </c>
      <c r="I63" s="20">
        <f ca="1" t="shared" si="19"/>
        <v>5</v>
      </c>
      <c r="J63" s="20">
        <v>1</v>
      </c>
      <c r="K63" s="20">
        <f ca="1" t="shared" si="20"/>
        <v>0.8125</v>
      </c>
      <c r="L63" s="20">
        <f ca="1" t="shared" si="24"/>
        <v>0</v>
      </c>
      <c r="O63" s="11" t="s">
        <v>14</v>
      </c>
      <c r="P63" s="11">
        <f ca="1" t="shared" si="21"/>
        <v>-5</v>
      </c>
      <c r="Q63" s="11">
        <v>1</v>
      </c>
      <c r="R63" s="11">
        <f ca="1" t="shared" si="22"/>
        <v>1.25</v>
      </c>
      <c r="S63" s="11" t="e">
        <f ca="1" t="shared" si="23"/>
        <v>#N/A</v>
      </c>
      <c r="T63" s="11">
        <v>1</v>
      </c>
      <c r="U63" s="20" t="e">
        <f ca="1" t="shared" si="25"/>
        <v>#N/A</v>
      </c>
      <c r="V63" s="32"/>
    </row>
    <row r="64" spans="1:27">
      <c r="A64" s="11"/>
      <c r="C64" s="11">
        <f>SUM(C57:C63)</f>
        <v>7</v>
      </c>
      <c r="D64" s="11">
        <f ca="1">SUM(D57:D63)+C64/16</f>
        <v>9.1875</v>
      </c>
      <c r="E64" s="7" t="e">
        <f ca="1">INT(D64+1)*$I$9</f>
        <v>#VALUE!</v>
      </c>
      <c r="F64" s="11" t="e">
        <f ca="1">D64*$I$16/$T$15+(D65-D64)*$I$15/$T$15</f>
        <v>#N/A</v>
      </c>
      <c r="G64" s="17"/>
      <c r="H64" s="20" t="s">
        <v>286</v>
      </c>
      <c r="I64" s="20">
        <f ca="1" t="shared" si="19"/>
        <v>5</v>
      </c>
      <c r="J64" s="20">
        <v>1</v>
      </c>
      <c r="K64" s="20">
        <f ca="1" t="shared" si="20"/>
        <v>0.8125</v>
      </c>
      <c r="L64" s="20">
        <f ca="1" t="shared" si="24"/>
        <v>0</v>
      </c>
      <c r="M64" s="17"/>
      <c r="N64" s="17"/>
      <c r="O64" s="11" t="s">
        <v>14</v>
      </c>
      <c r="P64" s="11">
        <f ca="1" t="shared" si="21"/>
        <v>-5</v>
      </c>
      <c r="Q64" s="11">
        <v>1</v>
      </c>
      <c r="R64" s="11">
        <f ca="1" t="shared" si="22"/>
        <v>1.25</v>
      </c>
      <c r="S64" s="11" t="e">
        <f ca="1" t="shared" si="23"/>
        <v>#N/A</v>
      </c>
      <c r="T64" s="11">
        <v>1</v>
      </c>
      <c r="U64" s="20" t="e">
        <f ca="1" t="shared" si="25"/>
        <v>#N/A</v>
      </c>
      <c r="V64" s="32"/>
      <c r="W64" s="32"/>
      <c r="X64" s="17"/>
      <c r="Y64" s="17"/>
      <c r="Z64" s="17"/>
      <c r="AA64" s="17"/>
    </row>
    <row r="65" spans="1:27">
      <c r="A65" s="11"/>
      <c r="B65" s="11">
        <f ca="1">SUM(B52:B63)</f>
        <v>-10</v>
      </c>
      <c r="C65" s="11">
        <f>SUM(C52:C63)</f>
        <v>12</v>
      </c>
      <c r="D65" s="11">
        <f ca="1">SUM(D52:D63)</f>
        <v>13.6875</v>
      </c>
      <c r="E65" s="11" t="e">
        <f ca="1">SUM(E52:E64)</f>
        <v>#VALUE!</v>
      </c>
      <c r="F65" s="17"/>
      <c r="G65" s="17"/>
      <c r="H65" s="20"/>
      <c r="I65" s="20"/>
      <c r="J65" s="20"/>
      <c r="K65" s="20"/>
      <c r="L65" s="20"/>
      <c r="M65" s="17"/>
      <c r="N65" s="17"/>
      <c r="O65" s="11" t="s">
        <v>14</v>
      </c>
      <c r="P65" s="11">
        <f ca="1" t="shared" si="21"/>
        <v>-5</v>
      </c>
      <c r="Q65" s="11">
        <v>1</v>
      </c>
      <c r="R65" s="11">
        <f ca="1" t="shared" si="22"/>
        <v>1.25</v>
      </c>
      <c r="S65" s="11" t="e">
        <f ca="1" t="shared" si="23"/>
        <v>#N/A</v>
      </c>
      <c r="T65" s="7">
        <v>1</v>
      </c>
      <c r="U65" s="20" t="e">
        <f ca="1" t="shared" si="25"/>
        <v>#N/A</v>
      </c>
      <c r="V65" s="32"/>
      <c r="W65" s="32"/>
      <c r="X65" s="17"/>
      <c r="Y65" s="17"/>
      <c r="Z65" s="17"/>
      <c r="AA65" s="17"/>
    </row>
    <row r="66" spans="1:27">
      <c r="A66" s="11"/>
      <c r="B66" s="11">
        <v>0</v>
      </c>
      <c r="C66" s="11">
        <f>C65*B66</f>
        <v>0</v>
      </c>
      <c r="D66" s="11">
        <f ca="1">D65+C66/16</f>
        <v>13.6875</v>
      </c>
      <c r="E66" s="11" t="e">
        <f ca="1">E65/D66</f>
        <v>#VALUE!</v>
      </c>
      <c r="F66" s="11" t="e">
        <f ca="1">F64/D66</f>
        <v>#N/A</v>
      </c>
      <c r="G66" s="11" t="e">
        <f ca="1">(E66+F66+$Q$42+$Q$43)*(1+$P$35)</f>
        <v>#VALUE!</v>
      </c>
      <c r="H66" s="20" t="s">
        <v>14</v>
      </c>
      <c r="I66" s="20">
        <f ca="1" t="shared" ref="I66:I85" si="26">IFERROR(VLOOKUP(H66,实战技能表,MATCH("怒气",$A$1:$T$1,0),0),0)</f>
        <v>-5</v>
      </c>
      <c r="J66" s="20">
        <v>1</v>
      </c>
      <c r="K66" s="20">
        <f ca="1" t="shared" ref="K66:K85" si="27">IFERROR(VLOOKUP(H66,实战技能表,MATCH("时间",$A$1:$T$1,0),0),0)</f>
        <v>1.25</v>
      </c>
      <c r="L66" s="20">
        <f ca="1" t="shared" ref="L66:L85" si="28">IFERROR(VLOOKUP(H66,实战技能表,MATCH("dmg",$A$1:$T$1,0),0),0)</f>
        <v>0</v>
      </c>
      <c r="M66" s="17"/>
      <c r="N66" s="17"/>
      <c r="O66" s="11" t="s">
        <v>65</v>
      </c>
      <c r="P66" s="11">
        <f ca="1" t="shared" si="21"/>
        <v>-15</v>
      </c>
      <c r="Q66" s="11">
        <v>1</v>
      </c>
      <c r="R66" s="11">
        <f ca="1" t="shared" si="22"/>
        <v>1.25</v>
      </c>
      <c r="S66" s="11" t="e">
        <f ca="1" t="shared" si="23"/>
        <v>#VALUE!</v>
      </c>
      <c r="T66" s="11">
        <v>2</v>
      </c>
      <c r="U66" s="20" t="e">
        <f ca="1" t="shared" ref="U66:U76" si="29">(R66+Q66/16)*$I$25/$T$25</f>
        <v>#N/A</v>
      </c>
      <c r="V66" s="32"/>
      <c r="W66" s="32"/>
      <c r="X66" s="17"/>
      <c r="Y66" s="17"/>
      <c r="Z66" s="17"/>
      <c r="AA66" s="17"/>
    </row>
    <row r="67" spans="1:27">
      <c r="A67" s="11"/>
      <c r="B67" s="11">
        <v>1</v>
      </c>
      <c r="C67" s="11">
        <f>C65*B67</f>
        <v>12</v>
      </c>
      <c r="D67" s="11">
        <f ca="1">D65+C67/16</f>
        <v>14.4375</v>
      </c>
      <c r="E67" s="11" t="e">
        <f ca="1">E65/D67</f>
        <v>#VALUE!</v>
      </c>
      <c r="F67" s="11" t="e">
        <f ca="1">F64/D67</f>
        <v>#N/A</v>
      </c>
      <c r="G67" s="11" t="e">
        <f ca="1">(E67+F67+$Q$42+$Q$43)*(1+$P$35)</f>
        <v>#VALUE!</v>
      </c>
      <c r="H67" s="20" t="s">
        <v>14</v>
      </c>
      <c r="I67" s="20">
        <f ca="1" t="shared" si="26"/>
        <v>-5</v>
      </c>
      <c r="J67" s="20">
        <v>1</v>
      </c>
      <c r="K67" s="20">
        <f ca="1" t="shared" si="27"/>
        <v>1.25</v>
      </c>
      <c r="L67" s="20">
        <f ca="1" t="shared" si="28"/>
        <v>0</v>
      </c>
      <c r="M67" s="17"/>
      <c r="N67" s="17"/>
      <c r="O67" s="11" t="s">
        <v>82</v>
      </c>
      <c r="P67" s="11">
        <f ca="1" t="shared" si="21"/>
        <v>15</v>
      </c>
      <c r="Q67" s="7">
        <v>1</v>
      </c>
      <c r="R67" s="11">
        <f ca="1" t="shared" si="22"/>
        <v>1.25</v>
      </c>
      <c r="S67" s="11" t="e">
        <f ca="1" t="shared" si="23"/>
        <v>#VALUE!</v>
      </c>
      <c r="T67" s="11">
        <v>2</v>
      </c>
      <c r="U67" s="20" t="e">
        <f ca="1" t="shared" si="29"/>
        <v>#N/A</v>
      </c>
      <c r="V67" s="32"/>
      <c r="W67" s="32"/>
      <c r="X67" s="17"/>
      <c r="Y67" s="17"/>
      <c r="Z67" s="17"/>
      <c r="AA67" s="17"/>
    </row>
    <row r="68" spans="1:27">
      <c r="A68" s="11"/>
      <c r="B68" s="11">
        <v>2</v>
      </c>
      <c r="C68" s="11">
        <f>C65*B68</f>
        <v>24</v>
      </c>
      <c r="D68" s="11">
        <f ca="1">D65+C68/16</f>
        <v>15.1875</v>
      </c>
      <c r="E68" s="11" t="e">
        <f ca="1">E65/D68</f>
        <v>#VALUE!</v>
      </c>
      <c r="F68" s="20" t="e">
        <f ca="1">F64/D68</f>
        <v>#N/A</v>
      </c>
      <c r="G68" s="11" t="e">
        <f ca="1">(E68+F68+$Q$42+$Q$43)*(1+$P$35)</f>
        <v>#VALUE!</v>
      </c>
      <c r="H68" s="20" t="s">
        <v>14</v>
      </c>
      <c r="I68" s="20">
        <f ca="1" t="shared" si="26"/>
        <v>-5</v>
      </c>
      <c r="J68" s="20">
        <v>1</v>
      </c>
      <c r="K68" s="20">
        <f ca="1" t="shared" si="27"/>
        <v>1.25</v>
      </c>
      <c r="L68" s="20">
        <f ca="1" t="shared" si="28"/>
        <v>0</v>
      </c>
      <c r="M68" s="17"/>
      <c r="N68" s="17"/>
      <c r="O68" s="7" t="s">
        <v>286</v>
      </c>
      <c r="P68" s="11">
        <f ca="1" t="shared" si="21"/>
        <v>5</v>
      </c>
      <c r="Q68" s="7">
        <v>1</v>
      </c>
      <c r="R68" s="11">
        <f ca="1" t="shared" si="22"/>
        <v>0.8125</v>
      </c>
      <c r="S68" s="11" t="e">
        <f ca="1" t="shared" si="23"/>
        <v>#N/A</v>
      </c>
      <c r="T68" s="11">
        <v>2</v>
      </c>
      <c r="U68" s="20" t="e">
        <f ca="1" t="shared" si="29"/>
        <v>#N/A</v>
      </c>
      <c r="V68" s="32"/>
      <c r="W68" s="32"/>
      <c r="X68" s="17"/>
      <c r="Y68" s="17"/>
      <c r="Z68" s="17"/>
      <c r="AA68" s="17"/>
    </row>
    <row r="69" spans="1:27">
      <c r="A69" s="11"/>
      <c r="B69" s="11">
        <v>3</v>
      </c>
      <c r="C69" s="11">
        <f>C65*B69</f>
        <v>36</v>
      </c>
      <c r="D69" s="11">
        <f ca="1">D65+C69/16</f>
        <v>15.9375</v>
      </c>
      <c r="E69" s="11" t="e">
        <f ca="1">E65/D69</f>
        <v>#VALUE!</v>
      </c>
      <c r="F69" s="20" t="e">
        <f ca="1">F64/D69</f>
        <v>#N/A</v>
      </c>
      <c r="G69" s="11" t="e">
        <f ca="1">(E69+F69+$Q$42+$Q$43)*(1+$P$35)</f>
        <v>#VALUE!</v>
      </c>
      <c r="H69" s="11" t="s">
        <v>65</v>
      </c>
      <c r="I69" s="20">
        <f ca="1" t="shared" si="26"/>
        <v>-15</v>
      </c>
      <c r="J69" s="20">
        <v>1</v>
      </c>
      <c r="K69" s="20">
        <f ca="1" t="shared" si="27"/>
        <v>1.25</v>
      </c>
      <c r="L69" s="20">
        <f ca="1" t="shared" si="28"/>
        <v>0</v>
      </c>
      <c r="M69" s="17"/>
      <c r="N69" s="17"/>
      <c r="O69" s="11" t="s">
        <v>286</v>
      </c>
      <c r="P69" s="11">
        <f ca="1" t="shared" si="21"/>
        <v>5</v>
      </c>
      <c r="Q69" s="7">
        <v>1</v>
      </c>
      <c r="R69" s="11">
        <f ca="1" t="shared" si="22"/>
        <v>0.8125</v>
      </c>
      <c r="S69" s="11" t="e">
        <f ca="1" t="shared" si="23"/>
        <v>#N/A</v>
      </c>
      <c r="T69" s="11">
        <v>2</v>
      </c>
      <c r="U69" s="20" t="e">
        <f ca="1" t="shared" si="29"/>
        <v>#N/A</v>
      </c>
      <c r="V69" s="32"/>
      <c r="W69" s="32"/>
      <c r="X69" s="17"/>
      <c r="Y69" s="17"/>
      <c r="Z69" s="17"/>
      <c r="AA69" s="17"/>
    </row>
    <row r="70" spans="1:27">
      <c r="A70" s="11"/>
      <c r="B70" s="11">
        <v>4</v>
      </c>
      <c r="C70" s="11">
        <f>C65*B70</f>
        <v>48</v>
      </c>
      <c r="D70" s="11">
        <f ca="1">D65+C70/16</f>
        <v>16.6875</v>
      </c>
      <c r="E70" s="11" t="e">
        <f ca="1">E65/D70</f>
        <v>#VALUE!</v>
      </c>
      <c r="F70" s="20" t="e">
        <f ca="1">F64/D70</f>
        <v>#N/A</v>
      </c>
      <c r="G70" s="11" t="e">
        <f ca="1">(E70+F70+$Q$42+$Q$43)*(1+$P$35)</f>
        <v>#VALUE!</v>
      </c>
      <c r="H70" s="11" t="s">
        <v>73</v>
      </c>
      <c r="I70" s="20">
        <f ca="1" t="shared" si="26"/>
        <v>-15</v>
      </c>
      <c r="J70" s="20">
        <v>1</v>
      </c>
      <c r="K70" s="20">
        <f ca="1" t="shared" si="27"/>
        <v>1.25</v>
      </c>
      <c r="L70" s="20">
        <f ca="1" t="shared" si="28"/>
        <v>0</v>
      </c>
      <c r="M70" s="17"/>
      <c r="N70" s="17"/>
      <c r="O70" s="11" t="s">
        <v>286</v>
      </c>
      <c r="P70" s="11">
        <f ca="1" t="shared" si="21"/>
        <v>5</v>
      </c>
      <c r="Q70" s="7">
        <v>1</v>
      </c>
      <c r="R70" s="11">
        <f ca="1" t="shared" si="22"/>
        <v>0.8125</v>
      </c>
      <c r="S70" s="11" t="e">
        <f ca="1" t="shared" si="23"/>
        <v>#N/A</v>
      </c>
      <c r="T70" s="11">
        <v>2</v>
      </c>
      <c r="U70" s="20" t="e">
        <f ca="1" t="shared" si="29"/>
        <v>#N/A</v>
      </c>
      <c r="V70" s="32"/>
      <c r="W70" s="32"/>
      <c r="X70" s="17"/>
      <c r="Y70" s="17"/>
      <c r="Z70" s="17"/>
      <c r="AA70" s="17"/>
    </row>
    <row r="71" spans="1:27">
      <c r="A71" s="17"/>
      <c r="B71" s="17"/>
      <c r="C71" s="17"/>
      <c r="D71" s="17"/>
      <c r="E71" s="17"/>
      <c r="F71" s="17"/>
      <c r="G71" s="17"/>
      <c r="H71" s="20" t="s">
        <v>14</v>
      </c>
      <c r="I71" s="20">
        <f ca="1" t="shared" si="26"/>
        <v>-5</v>
      </c>
      <c r="J71" s="20">
        <v>1</v>
      </c>
      <c r="K71" s="20">
        <f ca="1" t="shared" si="27"/>
        <v>1.25</v>
      </c>
      <c r="L71" s="20">
        <f ca="1" t="shared" si="28"/>
        <v>0</v>
      </c>
      <c r="M71" s="20"/>
      <c r="N71" s="20"/>
      <c r="O71" s="11" t="s">
        <v>284</v>
      </c>
      <c r="P71" s="11">
        <f ca="1" t="shared" si="21"/>
        <v>5</v>
      </c>
      <c r="Q71" s="7">
        <v>1</v>
      </c>
      <c r="R71" s="11">
        <f ca="1" t="shared" si="22"/>
        <v>0.8125</v>
      </c>
      <c r="S71" s="11" t="e">
        <f ca="1" t="shared" si="23"/>
        <v>#N/A</v>
      </c>
      <c r="T71" s="11">
        <v>2</v>
      </c>
      <c r="U71" s="20" t="e">
        <f ca="1" t="shared" si="29"/>
        <v>#N/A</v>
      </c>
      <c r="V71" s="32"/>
      <c r="W71" s="32"/>
      <c r="X71" s="17"/>
      <c r="Y71" s="17"/>
      <c r="Z71" s="17"/>
      <c r="AA71" s="17"/>
    </row>
    <row r="72" spans="1:27">
      <c r="A72" s="17"/>
      <c r="B72" s="17"/>
      <c r="C72" s="17"/>
      <c r="D72" s="17"/>
      <c r="E72" s="17"/>
      <c r="F72" s="17"/>
      <c r="G72" s="17"/>
      <c r="H72" s="20" t="s">
        <v>14</v>
      </c>
      <c r="I72" s="20">
        <f ca="1" t="shared" si="26"/>
        <v>-5</v>
      </c>
      <c r="J72" s="20">
        <v>1</v>
      </c>
      <c r="K72" s="20">
        <f ca="1" t="shared" si="27"/>
        <v>1.25</v>
      </c>
      <c r="L72" s="20">
        <f ca="1" t="shared" si="28"/>
        <v>0</v>
      </c>
      <c r="M72" s="20"/>
      <c r="N72" s="20"/>
      <c r="O72" s="11" t="s">
        <v>308</v>
      </c>
      <c r="P72" s="11">
        <f ca="1" t="shared" si="21"/>
        <v>5</v>
      </c>
      <c r="Q72" s="7">
        <v>1</v>
      </c>
      <c r="R72" s="11">
        <f ca="1" t="shared" si="22"/>
        <v>0.8125</v>
      </c>
      <c r="S72" s="11" t="e">
        <f ca="1" t="shared" si="23"/>
        <v>#N/A</v>
      </c>
      <c r="T72" s="11">
        <v>2</v>
      </c>
      <c r="U72" s="20" t="e">
        <f ca="1" t="shared" si="29"/>
        <v>#N/A</v>
      </c>
      <c r="V72" s="32"/>
      <c r="W72" s="32"/>
      <c r="X72" s="32"/>
      <c r="Y72" s="17"/>
      <c r="Z72" s="17"/>
      <c r="AA72" s="17"/>
    </row>
    <row r="73" spans="1:27">
      <c r="A73" s="20" t="s">
        <v>271</v>
      </c>
      <c r="B73" s="20" t="s">
        <v>272</v>
      </c>
      <c r="C73" s="20" t="s">
        <v>304</v>
      </c>
      <c r="D73" s="20" t="s">
        <v>281</v>
      </c>
      <c r="E73" s="20" t="s">
        <v>278</v>
      </c>
      <c r="F73" s="17"/>
      <c r="G73" s="17"/>
      <c r="H73" s="20" t="s">
        <v>14</v>
      </c>
      <c r="I73" s="20">
        <f ca="1" t="shared" si="26"/>
        <v>-5</v>
      </c>
      <c r="J73" s="20">
        <v>1</v>
      </c>
      <c r="K73" s="20">
        <f ca="1" t="shared" si="27"/>
        <v>1.25</v>
      </c>
      <c r="L73" s="20">
        <f ca="1" t="shared" si="28"/>
        <v>0</v>
      </c>
      <c r="M73" s="20"/>
      <c r="N73" s="20"/>
      <c r="O73" s="11" t="s">
        <v>309</v>
      </c>
      <c r="P73" s="11">
        <f ca="1" t="shared" si="21"/>
        <v>10</v>
      </c>
      <c r="Q73" s="7">
        <v>1</v>
      </c>
      <c r="R73" s="11">
        <f ca="1" t="shared" si="22"/>
        <v>0.8125</v>
      </c>
      <c r="S73" s="11" t="e">
        <f ca="1" t="shared" si="23"/>
        <v>#N/A</v>
      </c>
      <c r="T73" s="11">
        <v>2</v>
      </c>
      <c r="U73" s="20" t="e">
        <f ca="1" t="shared" si="29"/>
        <v>#N/A</v>
      </c>
      <c r="V73" s="32"/>
      <c r="W73" s="34"/>
      <c r="X73" s="17"/>
      <c r="Y73" s="17"/>
      <c r="Z73" s="17"/>
      <c r="AA73" s="17"/>
    </row>
    <row r="74" spans="1:27">
      <c r="A74" s="20" t="s">
        <v>82</v>
      </c>
      <c r="B74" s="20">
        <f ca="1" t="shared" ref="B74:B85" si="30">IFERROR(VLOOKUP(A74,实战技能表,MATCH("怒气",$A$1:$T$1,0),0),0)</f>
        <v>15</v>
      </c>
      <c r="C74" s="20">
        <v>1</v>
      </c>
      <c r="D74" s="20">
        <f ca="1" t="shared" ref="D74:D85" si="31">IFERROR(VLOOKUP(A74,实战技能表,MATCH("时间",$A$1:$T$1,0),0),0)</f>
        <v>1.25</v>
      </c>
      <c r="E74" s="20">
        <f ca="1" t="shared" ref="E74:E85" si="32">IFERROR(VLOOKUP(A74,实战技能表,MATCH("dmg",$A$1:$T$1,0),0),0)</f>
        <v>0</v>
      </c>
      <c r="F74" s="17"/>
      <c r="G74" s="17"/>
      <c r="H74" s="20" t="s">
        <v>286</v>
      </c>
      <c r="I74" s="20">
        <f ca="1" t="shared" si="26"/>
        <v>5</v>
      </c>
      <c r="J74" s="20">
        <v>1</v>
      </c>
      <c r="K74" s="20">
        <f ca="1" t="shared" si="27"/>
        <v>0.8125</v>
      </c>
      <c r="L74" s="20">
        <f ca="1" t="shared" si="28"/>
        <v>0</v>
      </c>
      <c r="M74" s="20"/>
      <c r="N74" s="20"/>
      <c r="O74" s="11" t="s">
        <v>14</v>
      </c>
      <c r="P74" s="11">
        <f ca="1" t="shared" si="21"/>
        <v>-5</v>
      </c>
      <c r="Q74" s="7">
        <v>1</v>
      </c>
      <c r="R74" s="11">
        <f ca="1" t="shared" si="22"/>
        <v>1.25</v>
      </c>
      <c r="S74" s="11" t="e">
        <f ca="1" t="shared" si="23"/>
        <v>#N/A</v>
      </c>
      <c r="T74" s="11">
        <v>2</v>
      </c>
      <c r="U74" s="20" t="e">
        <f ca="1" t="shared" si="29"/>
        <v>#N/A</v>
      </c>
      <c r="V74" s="32"/>
      <c r="W74" s="34"/>
      <c r="X74" s="17"/>
      <c r="Y74" s="17"/>
      <c r="Z74" s="17"/>
      <c r="AA74" s="17"/>
    </row>
    <row r="75" spans="1:27">
      <c r="A75" s="20" t="s">
        <v>286</v>
      </c>
      <c r="B75" s="20">
        <f ca="1" t="shared" si="30"/>
        <v>5</v>
      </c>
      <c r="C75" s="20">
        <v>1</v>
      </c>
      <c r="D75" s="20">
        <f ca="1" t="shared" si="31"/>
        <v>0.8125</v>
      </c>
      <c r="E75" s="20">
        <f ca="1" t="shared" si="32"/>
        <v>0</v>
      </c>
      <c r="F75" s="17"/>
      <c r="G75" s="17"/>
      <c r="H75" s="20" t="s">
        <v>286</v>
      </c>
      <c r="I75" s="20">
        <f ca="1" t="shared" si="26"/>
        <v>5</v>
      </c>
      <c r="J75" s="20">
        <v>1</v>
      </c>
      <c r="K75" s="20">
        <f ca="1" t="shared" si="27"/>
        <v>0.8125</v>
      </c>
      <c r="L75" s="20">
        <f ca="1" t="shared" si="28"/>
        <v>0</v>
      </c>
      <c r="M75" s="20"/>
      <c r="N75" s="20"/>
      <c r="O75" s="11" t="s">
        <v>14</v>
      </c>
      <c r="P75" s="11">
        <f ca="1" t="shared" si="21"/>
        <v>-5</v>
      </c>
      <c r="Q75" s="7">
        <v>1</v>
      </c>
      <c r="R75" s="11">
        <f ca="1" t="shared" si="22"/>
        <v>1.25</v>
      </c>
      <c r="S75" s="11" t="e">
        <f ca="1" t="shared" si="23"/>
        <v>#N/A</v>
      </c>
      <c r="T75" s="11">
        <v>2</v>
      </c>
      <c r="U75" s="20" t="e">
        <f ca="1" t="shared" si="29"/>
        <v>#N/A</v>
      </c>
      <c r="V75" s="32"/>
      <c r="W75" s="34"/>
      <c r="X75" s="17"/>
      <c r="Y75" s="17"/>
      <c r="Z75" s="17"/>
      <c r="AA75" s="17"/>
    </row>
    <row r="76" spans="1:27">
      <c r="A76" s="20" t="s">
        <v>286</v>
      </c>
      <c r="B76" s="20">
        <f ca="1" t="shared" si="30"/>
        <v>5</v>
      </c>
      <c r="C76" s="20">
        <v>1</v>
      </c>
      <c r="D76" s="20">
        <f ca="1" t="shared" si="31"/>
        <v>0.8125</v>
      </c>
      <c r="E76" s="20">
        <f ca="1" t="shared" si="32"/>
        <v>0</v>
      </c>
      <c r="F76" s="17"/>
      <c r="G76" s="17"/>
      <c r="H76" s="20" t="s">
        <v>286</v>
      </c>
      <c r="I76" s="20">
        <f ca="1" t="shared" si="26"/>
        <v>5</v>
      </c>
      <c r="J76" s="20">
        <v>1</v>
      </c>
      <c r="K76" s="20">
        <f ca="1" t="shared" si="27"/>
        <v>0.8125</v>
      </c>
      <c r="L76" s="20">
        <f ca="1" t="shared" si="28"/>
        <v>0</v>
      </c>
      <c r="M76" s="20"/>
      <c r="N76" s="20"/>
      <c r="O76" s="11" t="s">
        <v>14</v>
      </c>
      <c r="P76" s="11">
        <f ca="1" t="shared" si="21"/>
        <v>-5</v>
      </c>
      <c r="Q76" s="7">
        <v>1</v>
      </c>
      <c r="R76" s="11">
        <f ca="1" t="shared" si="22"/>
        <v>1.25</v>
      </c>
      <c r="S76" s="11" t="e">
        <f ca="1" t="shared" si="23"/>
        <v>#N/A</v>
      </c>
      <c r="T76" s="11">
        <v>2</v>
      </c>
      <c r="U76" s="20" t="e">
        <f ca="1" t="shared" si="29"/>
        <v>#N/A</v>
      </c>
      <c r="V76" s="32"/>
      <c r="W76" s="34"/>
      <c r="X76" s="17"/>
      <c r="Y76" s="17"/>
      <c r="Z76" s="17"/>
      <c r="AA76" s="17"/>
    </row>
    <row r="77" spans="1:27">
      <c r="A77" s="20" t="s">
        <v>286</v>
      </c>
      <c r="B77" s="20">
        <f ca="1" t="shared" si="30"/>
        <v>5</v>
      </c>
      <c r="C77" s="20">
        <v>1</v>
      </c>
      <c r="D77" s="20">
        <f ca="1" t="shared" si="31"/>
        <v>0.8125</v>
      </c>
      <c r="E77" s="20">
        <f ca="1" t="shared" si="32"/>
        <v>0</v>
      </c>
      <c r="F77" s="17"/>
      <c r="G77" s="17"/>
      <c r="H77" s="20" t="s">
        <v>14</v>
      </c>
      <c r="I77" s="20">
        <f ca="1" t="shared" si="26"/>
        <v>-5</v>
      </c>
      <c r="J77" s="20">
        <v>1</v>
      </c>
      <c r="K77" s="20">
        <f ca="1" t="shared" si="27"/>
        <v>1.25</v>
      </c>
      <c r="L77" s="20">
        <f ca="1" t="shared" si="28"/>
        <v>0</v>
      </c>
      <c r="M77" s="20"/>
      <c r="N77" s="20"/>
      <c r="O77" s="11" t="s">
        <v>65</v>
      </c>
      <c r="P77" s="11">
        <f ca="1" t="shared" si="21"/>
        <v>-15</v>
      </c>
      <c r="Q77" s="7">
        <v>1</v>
      </c>
      <c r="R77" s="11">
        <f ca="1" t="shared" si="22"/>
        <v>1.25</v>
      </c>
      <c r="S77" s="11" t="e">
        <f ca="1" t="shared" si="23"/>
        <v>#VALUE!</v>
      </c>
      <c r="T77" s="11">
        <v>3</v>
      </c>
      <c r="U77" s="20" t="e">
        <f ca="1">(R77+Q77/16)*$I$14/1.5/$T$14</f>
        <v>#N/A</v>
      </c>
      <c r="V77" s="32"/>
      <c r="W77" s="34"/>
      <c r="X77" s="17"/>
      <c r="Y77" s="17"/>
      <c r="Z77" s="17"/>
      <c r="AA77" s="17"/>
    </row>
    <row r="78" spans="1:27">
      <c r="A78" s="20" t="s">
        <v>55</v>
      </c>
      <c r="B78" s="20">
        <f ca="1" t="shared" si="30"/>
        <v>15</v>
      </c>
      <c r="C78" s="20">
        <v>1</v>
      </c>
      <c r="D78" s="20">
        <f ca="1" t="shared" si="31"/>
        <v>1.25</v>
      </c>
      <c r="E78" s="20">
        <f ca="1" t="shared" si="32"/>
        <v>0</v>
      </c>
      <c r="F78" s="17"/>
      <c r="G78" s="17"/>
      <c r="H78" s="20" t="s">
        <v>14</v>
      </c>
      <c r="I78" s="20">
        <f ca="1" t="shared" si="26"/>
        <v>-5</v>
      </c>
      <c r="J78" s="20">
        <v>1</v>
      </c>
      <c r="K78" s="20">
        <f ca="1" t="shared" si="27"/>
        <v>1.25</v>
      </c>
      <c r="L78" s="20">
        <f ca="1" t="shared" si="28"/>
        <v>0</v>
      </c>
      <c r="M78" s="20"/>
      <c r="N78" s="20"/>
      <c r="O78" s="11" t="s">
        <v>73</v>
      </c>
      <c r="P78" s="17">
        <f ca="1" t="shared" si="21"/>
        <v>-15</v>
      </c>
      <c r="Q78" s="17">
        <v>1</v>
      </c>
      <c r="R78" s="17">
        <f ca="1" t="shared" si="22"/>
        <v>1.25</v>
      </c>
      <c r="S78" s="17" t="e">
        <f ca="1" t="shared" si="23"/>
        <v>#N/A</v>
      </c>
      <c r="T78" s="17">
        <v>3</v>
      </c>
      <c r="U78" s="20" t="e">
        <f ca="1">(R78+Q78/16)*$I$14/$T$14</f>
        <v>#N/A</v>
      </c>
      <c r="V78" s="32"/>
      <c r="W78" s="34"/>
      <c r="X78" s="17"/>
      <c r="Y78" s="17"/>
      <c r="Z78" s="17"/>
      <c r="AA78" s="17"/>
    </row>
    <row r="79" spans="1:27">
      <c r="A79" s="20" t="s">
        <v>65</v>
      </c>
      <c r="B79" s="20">
        <f ca="1" t="shared" si="30"/>
        <v>-15</v>
      </c>
      <c r="C79" s="20">
        <v>1</v>
      </c>
      <c r="D79" s="20">
        <f ca="1" t="shared" si="31"/>
        <v>1.25</v>
      </c>
      <c r="E79" s="20">
        <f ca="1" t="shared" si="32"/>
        <v>0</v>
      </c>
      <c r="F79" s="17"/>
      <c r="G79" s="17"/>
      <c r="H79" s="20" t="s">
        <v>14</v>
      </c>
      <c r="I79" s="20">
        <f ca="1" t="shared" si="26"/>
        <v>-5</v>
      </c>
      <c r="J79" s="20">
        <v>1</v>
      </c>
      <c r="K79" s="20">
        <f ca="1" t="shared" si="27"/>
        <v>1.25</v>
      </c>
      <c r="L79" s="20">
        <f ca="1" t="shared" si="28"/>
        <v>0</v>
      </c>
      <c r="M79" s="20"/>
      <c r="N79" s="20"/>
      <c r="O79" s="17"/>
      <c r="Q79" s="11">
        <f>SUM(Q53,Q61,Q62,Q63,Q64,Q65,Q66,Q78,Q74,Q75,Q76,Q77)</f>
        <v>12</v>
      </c>
      <c r="R79" s="11">
        <f ca="1">SUM(R53,R61,R62,R63,R64,R65,R66,R78,R74,R75,R76,R77)</f>
        <v>15</v>
      </c>
      <c r="S79" s="7" t="e">
        <f ca="1">INT(R79+2)*$I$9</f>
        <v>#VALUE!</v>
      </c>
      <c r="T79" s="11" t="e">
        <f ca="1">R79*$I$16/$T$15+(R80-R79)*$I$15/$T$15</f>
        <v>#N/A</v>
      </c>
      <c r="U79" s="20" t="e">
        <f ca="1">SUM(U52:U78)</f>
        <v>#N/A</v>
      </c>
      <c r="V79" s="32"/>
      <c r="W79" s="34"/>
      <c r="X79" s="17"/>
      <c r="Y79" s="17"/>
      <c r="Z79" s="17"/>
      <c r="AA79" s="17"/>
    </row>
    <row r="80" spans="1:27">
      <c r="A80" s="20" t="s">
        <v>73</v>
      </c>
      <c r="B80" s="20">
        <f ca="1" t="shared" si="30"/>
        <v>-15</v>
      </c>
      <c r="C80" s="20">
        <v>1</v>
      </c>
      <c r="D80" s="20">
        <f ca="1" t="shared" si="31"/>
        <v>1.25</v>
      </c>
      <c r="E80" s="20">
        <f ca="1" t="shared" si="32"/>
        <v>0</v>
      </c>
      <c r="F80" s="17"/>
      <c r="G80" s="17"/>
      <c r="H80" s="20" t="s">
        <v>14</v>
      </c>
      <c r="I80" s="20">
        <f ca="1" t="shared" si="26"/>
        <v>-5</v>
      </c>
      <c r="J80" s="20">
        <v>1</v>
      </c>
      <c r="K80" s="20">
        <f ca="1" t="shared" si="27"/>
        <v>1.25</v>
      </c>
      <c r="L80" s="20">
        <f ca="1" t="shared" si="28"/>
        <v>0</v>
      </c>
      <c r="M80" s="20"/>
      <c r="N80" s="20"/>
      <c r="O80" s="11"/>
      <c r="P80" s="11">
        <f ca="1">SUM(P52:P79)</f>
        <v>15</v>
      </c>
      <c r="Q80" s="11">
        <f>SUM(Q52:Q78)</f>
        <v>27</v>
      </c>
      <c r="R80" s="11">
        <f ca="1">SUM(R52:R78)</f>
        <v>28.5</v>
      </c>
      <c r="S80" s="11" t="e">
        <f ca="1">SUM(S52:S79)</f>
        <v>#N/A</v>
      </c>
      <c r="T80" s="11"/>
      <c r="U80" s="20" t="e">
        <f ca="1">U79/R80</f>
        <v>#N/A</v>
      </c>
      <c r="V80" s="32"/>
      <c r="W80" s="34"/>
      <c r="X80" s="17"/>
      <c r="Y80" s="17"/>
      <c r="Z80" s="17"/>
      <c r="AA80" s="17"/>
    </row>
    <row r="81" spans="1:27">
      <c r="A81" s="20" t="s">
        <v>14</v>
      </c>
      <c r="B81" s="20">
        <f ca="1" t="shared" si="30"/>
        <v>-5</v>
      </c>
      <c r="C81" s="20">
        <v>1</v>
      </c>
      <c r="D81" s="20">
        <f ca="1" t="shared" si="31"/>
        <v>1.25</v>
      </c>
      <c r="E81" s="20">
        <f ca="1" t="shared" si="32"/>
        <v>0</v>
      </c>
      <c r="F81" s="17"/>
      <c r="G81" s="17"/>
      <c r="H81" s="20" t="s">
        <v>14</v>
      </c>
      <c r="I81" s="20">
        <f ca="1" t="shared" si="26"/>
        <v>-5</v>
      </c>
      <c r="J81" s="20">
        <v>1</v>
      </c>
      <c r="K81" s="20">
        <f ca="1" t="shared" si="27"/>
        <v>1.25</v>
      </c>
      <c r="L81" s="20">
        <f ca="1" t="shared" si="28"/>
        <v>0</v>
      </c>
      <c r="M81" s="20"/>
      <c r="N81" s="20"/>
      <c r="O81" s="11"/>
      <c r="P81" s="11">
        <v>0</v>
      </c>
      <c r="Q81" s="11">
        <f>Q80*P81</f>
        <v>0</v>
      </c>
      <c r="R81" s="11">
        <f ca="1">R80+Q81/16</f>
        <v>28.5</v>
      </c>
      <c r="S81" s="11" t="e">
        <f ca="1">S80/R81</f>
        <v>#N/A</v>
      </c>
      <c r="T81" s="11" t="e">
        <f ca="1">T79/R81</f>
        <v>#N/A</v>
      </c>
      <c r="U81" s="11" t="e">
        <f ca="1">(S81+T81+$U$80+$Q$43)*(1+$P$35)</f>
        <v>#N/A</v>
      </c>
      <c r="V81" s="32"/>
      <c r="W81" s="34"/>
      <c r="X81" s="17"/>
      <c r="Y81" s="17"/>
      <c r="Z81" s="17"/>
      <c r="AA81" s="17"/>
    </row>
    <row r="82" spans="1:27">
      <c r="A82" s="20" t="s">
        <v>14</v>
      </c>
      <c r="B82" s="20">
        <f ca="1" t="shared" si="30"/>
        <v>-5</v>
      </c>
      <c r="C82" s="20">
        <v>1</v>
      </c>
      <c r="D82" s="20">
        <f ca="1" t="shared" si="31"/>
        <v>1.25</v>
      </c>
      <c r="E82" s="20">
        <f ca="1" t="shared" si="32"/>
        <v>0</v>
      </c>
      <c r="F82" s="17"/>
      <c r="G82" s="17"/>
      <c r="H82" s="20" t="s">
        <v>14</v>
      </c>
      <c r="I82" s="20">
        <f ca="1" t="shared" si="26"/>
        <v>-5</v>
      </c>
      <c r="J82" s="20">
        <v>1</v>
      </c>
      <c r="K82" s="20">
        <f ca="1" t="shared" si="27"/>
        <v>1.25</v>
      </c>
      <c r="L82" s="20">
        <f ca="1" t="shared" si="28"/>
        <v>0</v>
      </c>
      <c r="M82" s="17"/>
      <c r="N82" s="17"/>
      <c r="O82" s="11"/>
      <c r="P82" s="11">
        <v>1</v>
      </c>
      <c r="Q82" s="11">
        <f>Q80*P82</f>
        <v>27</v>
      </c>
      <c r="R82" s="11">
        <f ca="1">R80+Q82/16</f>
        <v>30.1875</v>
      </c>
      <c r="S82" s="11" t="e">
        <f ca="1">S80/R82</f>
        <v>#N/A</v>
      </c>
      <c r="T82" s="11" t="e">
        <f ca="1">T79/R82</f>
        <v>#N/A</v>
      </c>
      <c r="U82" s="11" t="e">
        <f ca="1">(S82+T82+$U$80+$Q$43)*(1+$P$35)</f>
        <v>#N/A</v>
      </c>
      <c r="V82" s="32"/>
      <c r="W82" s="34"/>
      <c r="X82" s="17"/>
      <c r="Y82" s="17"/>
      <c r="Z82" s="17"/>
      <c r="AA82" s="17"/>
    </row>
    <row r="83" spans="1:27">
      <c r="A83" s="20" t="s">
        <v>14</v>
      </c>
      <c r="B83" s="20">
        <f ca="1" t="shared" si="30"/>
        <v>-5</v>
      </c>
      <c r="C83" s="20">
        <v>1</v>
      </c>
      <c r="D83" s="20">
        <f ca="1" t="shared" si="31"/>
        <v>1.25</v>
      </c>
      <c r="E83" s="20">
        <f ca="1" t="shared" si="32"/>
        <v>0</v>
      </c>
      <c r="F83" s="20"/>
      <c r="G83" s="20"/>
      <c r="H83" s="20" t="s">
        <v>14</v>
      </c>
      <c r="I83" s="20">
        <f ca="1" t="shared" si="26"/>
        <v>-5</v>
      </c>
      <c r="J83" s="20">
        <v>1</v>
      </c>
      <c r="K83" s="20">
        <f ca="1" t="shared" si="27"/>
        <v>1.25</v>
      </c>
      <c r="L83" s="20">
        <f ca="1" t="shared" si="28"/>
        <v>0</v>
      </c>
      <c r="M83" s="17"/>
      <c r="N83" s="17"/>
      <c r="O83" s="11"/>
      <c r="P83" s="11">
        <v>2</v>
      </c>
      <c r="Q83" s="11">
        <f>Q80*P83</f>
        <v>54</v>
      </c>
      <c r="R83" s="11">
        <f ca="1">R80+Q83/16</f>
        <v>31.875</v>
      </c>
      <c r="S83" s="11" t="e">
        <f ca="1">S80/R83</f>
        <v>#N/A</v>
      </c>
      <c r="T83" s="20" t="e">
        <f ca="1">T79/R83</f>
        <v>#N/A</v>
      </c>
      <c r="U83" s="11" t="e">
        <f ca="1">(S83+T83+$U$80+$Q$43)*(1+$P$35)</f>
        <v>#N/A</v>
      </c>
      <c r="V83" s="32"/>
      <c r="W83" s="34"/>
      <c r="X83" s="17"/>
      <c r="Y83" s="17"/>
      <c r="Z83" s="17"/>
      <c r="AA83" s="17"/>
    </row>
    <row r="84" spans="1:27">
      <c r="A84" s="20" t="s">
        <v>14</v>
      </c>
      <c r="B84" s="20">
        <f ca="1" t="shared" si="30"/>
        <v>-5</v>
      </c>
      <c r="C84" s="20">
        <v>1</v>
      </c>
      <c r="D84" s="20">
        <f ca="1" t="shared" si="31"/>
        <v>1.25</v>
      </c>
      <c r="E84" s="20">
        <f ca="1" t="shared" si="32"/>
        <v>0</v>
      </c>
      <c r="F84" s="20"/>
      <c r="G84" s="20"/>
      <c r="H84" s="11" t="s">
        <v>65</v>
      </c>
      <c r="I84" s="20">
        <f ca="1" t="shared" si="26"/>
        <v>-15</v>
      </c>
      <c r="J84" s="20">
        <v>1</v>
      </c>
      <c r="K84" s="20">
        <f ca="1" t="shared" si="27"/>
        <v>1.25</v>
      </c>
      <c r="L84" s="20">
        <f ca="1" t="shared" si="28"/>
        <v>0</v>
      </c>
      <c r="M84" s="17"/>
      <c r="N84" s="17"/>
      <c r="O84" s="11"/>
      <c r="P84" s="11">
        <v>3</v>
      </c>
      <c r="Q84" s="11">
        <f>Q80*P84</f>
        <v>81</v>
      </c>
      <c r="R84" s="11">
        <f ca="1">R80+Q84/16</f>
        <v>33.5625</v>
      </c>
      <c r="S84" s="11" t="e">
        <f ca="1">S80/R84</f>
        <v>#N/A</v>
      </c>
      <c r="T84" s="20" t="e">
        <f ca="1">T79/R84</f>
        <v>#N/A</v>
      </c>
      <c r="U84" s="11" t="e">
        <f ca="1">(S84+T84+$U$80+$Q$43)*(1+$P$35)</f>
        <v>#N/A</v>
      </c>
      <c r="V84" s="32"/>
      <c r="W84" s="34"/>
      <c r="X84" s="17"/>
      <c r="Y84" s="17"/>
      <c r="Z84" s="17"/>
      <c r="AA84" s="17"/>
    </row>
    <row r="85" spans="1:27">
      <c r="A85" s="20" t="s">
        <v>14</v>
      </c>
      <c r="B85" s="20">
        <f ca="1" t="shared" si="30"/>
        <v>-5</v>
      </c>
      <c r="C85" s="20">
        <v>1</v>
      </c>
      <c r="D85" s="20">
        <f ca="1" t="shared" si="31"/>
        <v>1.25</v>
      </c>
      <c r="E85" s="20">
        <f ca="1" t="shared" si="32"/>
        <v>0</v>
      </c>
      <c r="F85" s="20"/>
      <c r="G85" s="20"/>
      <c r="H85" s="11" t="s">
        <v>73</v>
      </c>
      <c r="I85" s="20">
        <f ca="1" t="shared" si="26"/>
        <v>-15</v>
      </c>
      <c r="J85" s="20">
        <v>1</v>
      </c>
      <c r="K85" s="20">
        <f ca="1" t="shared" si="27"/>
        <v>1.25</v>
      </c>
      <c r="L85" s="20">
        <f ca="1" t="shared" si="28"/>
        <v>0</v>
      </c>
      <c r="M85" s="17"/>
      <c r="N85" s="17"/>
      <c r="O85" s="11"/>
      <c r="P85" s="11">
        <v>4</v>
      </c>
      <c r="Q85" s="11">
        <f>Q80*P85</f>
        <v>108</v>
      </c>
      <c r="R85" s="11">
        <f ca="1">R80+Q85/16</f>
        <v>35.25</v>
      </c>
      <c r="S85" s="11" t="e">
        <f ca="1">S80/R85</f>
        <v>#N/A</v>
      </c>
      <c r="T85" s="20" t="e">
        <f ca="1">T79/R85</f>
        <v>#N/A</v>
      </c>
      <c r="U85" s="11" t="e">
        <f ca="1">(S85+T85+$U$80+$Q$43)*(1+$P$35)</f>
        <v>#N/A</v>
      </c>
      <c r="V85" s="32"/>
      <c r="W85" s="34"/>
      <c r="X85" s="17"/>
      <c r="Y85" s="17"/>
      <c r="Z85" s="17"/>
      <c r="AA85" s="17"/>
    </row>
    <row r="86" spans="1:27">
      <c r="A86" s="11"/>
      <c r="C86" s="11">
        <f>SUM(C79:C85)</f>
        <v>7</v>
      </c>
      <c r="D86" s="11">
        <f ca="1">SUM(D79:D85)+C86/16</f>
        <v>9.1875</v>
      </c>
      <c r="E86" s="7" t="e">
        <f ca="1">INT(D86+1)*$I$9</f>
        <v>#VALUE!</v>
      </c>
      <c r="F86" s="11" t="e">
        <f ca="1">D86*$I$16/$T$15+(D87-D86)*$I$15/$T$15</f>
        <v>#N/A</v>
      </c>
      <c r="G86" s="11"/>
      <c r="H86" s="20"/>
      <c r="J86" s="11">
        <f>SUM(J77:J85,J66:J73)</f>
        <v>17</v>
      </c>
      <c r="K86" s="11">
        <f ca="1">SUM(K77:K85,K66:K73)+J86/16</f>
        <v>22.3125</v>
      </c>
      <c r="L86" s="7" t="e">
        <f ca="1">INT(K86+2)*$I$9</f>
        <v>#VALUE!</v>
      </c>
      <c r="M86" s="11" t="e">
        <f ca="1">K86*$I$16/$T$15+(K87-K86)*$I$15/$T$15</f>
        <v>#N/A</v>
      </c>
      <c r="N86" s="11"/>
      <c r="O86" s="17"/>
      <c r="P86" s="17"/>
      <c r="Q86" s="17"/>
      <c r="R86" s="17"/>
      <c r="S86" s="17"/>
      <c r="T86" s="17"/>
      <c r="U86" s="20"/>
      <c r="V86" s="32"/>
      <c r="W86" s="34"/>
      <c r="X86" s="17"/>
      <c r="Y86" s="17"/>
      <c r="Z86" s="17"/>
      <c r="AA86" s="17"/>
    </row>
    <row r="87" spans="2:27">
      <c r="B87" s="11">
        <f ca="1">SUM(B74:B85)</f>
        <v>-10</v>
      </c>
      <c r="C87" s="11">
        <f>SUM(C74:C85)</f>
        <v>12</v>
      </c>
      <c r="D87" s="11">
        <f ca="1">SUM(D74:D85)</f>
        <v>13.6875</v>
      </c>
      <c r="E87" s="11" t="e">
        <f ca="1">SUM(E74:E86)</f>
        <v>#VALUE!</v>
      </c>
      <c r="F87" s="11"/>
      <c r="G87" s="11"/>
      <c r="H87" s="20"/>
      <c r="I87" s="11">
        <f ca="1">SUM(I52:I85)</f>
        <v>-25</v>
      </c>
      <c r="J87" s="11">
        <f>SUM(J52:J85)</f>
        <v>33</v>
      </c>
      <c r="K87" s="11">
        <f ca="1">SUM(K52:K85)</f>
        <v>34.6875</v>
      </c>
      <c r="L87" s="11" t="e">
        <f ca="1">SUM(L52:L86)</f>
        <v>#VALUE!</v>
      </c>
      <c r="M87" s="17"/>
      <c r="N87" s="11"/>
      <c r="O87" s="20"/>
      <c r="P87" s="17"/>
      <c r="Q87" s="17"/>
      <c r="R87" s="17"/>
      <c r="S87" s="17"/>
      <c r="T87" s="17"/>
      <c r="U87" s="20"/>
      <c r="V87" s="32"/>
      <c r="W87" s="34"/>
      <c r="X87" s="17"/>
      <c r="Y87" s="17"/>
      <c r="Z87" s="17"/>
      <c r="AA87" s="17"/>
    </row>
    <row r="88" spans="1:27">
      <c r="A88" s="11"/>
      <c r="B88" s="11">
        <v>0</v>
      </c>
      <c r="C88" s="11">
        <f>C87*B88</f>
        <v>0</v>
      </c>
      <c r="D88" s="11">
        <f ca="1">D87+C88/16</f>
        <v>13.6875</v>
      </c>
      <c r="E88" s="11" t="e">
        <f ca="1">E87/D88</f>
        <v>#VALUE!</v>
      </c>
      <c r="F88" s="11" t="e">
        <f ca="1">F86/D88</f>
        <v>#N/A</v>
      </c>
      <c r="G88" s="11" t="e">
        <f ca="1">(E88+F88+$Q$42+$Q$43)*(1+$P$35)</f>
        <v>#VALUE!</v>
      </c>
      <c r="H88" s="20"/>
      <c r="I88" s="11">
        <v>0</v>
      </c>
      <c r="J88" s="11">
        <f>J87*I88</f>
        <v>0</v>
      </c>
      <c r="K88" s="11">
        <f ca="1">K87+J88/16</f>
        <v>34.6875</v>
      </c>
      <c r="L88" s="11" t="e">
        <f ca="1">L87/K88</f>
        <v>#VALUE!</v>
      </c>
      <c r="M88" s="11" t="e">
        <f ca="1">M86/K88</f>
        <v>#N/A</v>
      </c>
      <c r="N88" s="11" t="e">
        <f ca="1">(L88+M88+$Q$42+$Q$43)*(1+$P$35)</f>
        <v>#VALUE!</v>
      </c>
      <c r="O88" s="20"/>
      <c r="P88" s="17"/>
      <c r="Q88" s="17"/>
      <c r="R88" s="17"/>
      <c r="S88" s="17"/>
      <c r="T88" s="17"/>
      <c r="U88" s="20"/>
      <c r="V88" s="32"/>
      <c r="W88" s="34"/>
      <c r="X88" s="17"/>
      <c r="Y88" s="17"/>
      <c r="Z88" s="17"/>
      <c r="AA88" s="17"/>
    </row>
    <row r="89" spans="1:27">
      <c r="A89" s="11"/>
      <c r="B89" s="11">
        <v>1</v>
      </c>
      <c r="C89" s="11">
        <f>C87*B89</f>
        <v>12</v>
      </c>
      <c r="D89" s="11">
        <f ca="1">D87+C89/16</f>
        <v>14.4375</v>
      </c>
      <c r="E89" s="11" t="e">
        <f ca="1">E87/D89</f>
        <v>#VALUE!</v>
      </c>
      <c r="F89" s="11" t="e">
        <f ca="1">F86/D89</f>
        <v>#N/A</v>
      </c>
      <c r="G89" s="11" t="e">
        <f ca="1">(E89+F89+$Q$42+$Q$43)*(1+$P$35)</f>
        <v>#VALUE!</v>
      </c>
      <c r="H89" s="20"/>
      <c r="I89" s="11">
        <v>1</v>
      </c>
      <c r="J89" s="11">
        <f>J87*I89</f>
        <v>33</v>
      </c>
      <c r="K89" s="11">
        <f ca="1">K87+J89/16</f>
        <v>36.75</v>
      </c>
      <c r="L89" s="11" t="e">
        <f ca="1">L87/K89</f>
        <v>#VALUE!</v>
      </c>
      <c r="M89" s="11" t="e">
        <f ca="1">M86/K89</f>
        <v>#N/A</v>
      </c>
      <c r="N89" s="11" t="e">
        <f ca="1">(L89+M89+$Q$42+$Q$43)*(1+$P$35)</f>
        <v>#VALUE!</v>
      </c>
      <c r="O89" s="20"/>
      <c r="P89" s="17"/>
      <c r="Q89" s="17"/>
      <c r="R89" s="17"/>
      <c r="S89" s="17"/>
      <c r="T89" s="17"/>
      <c r="U89" s="20"/>
      <c r="V89" s="32"/>
      <c r="W89" s="34"/>
      <c r="X89" s="17"/>
      <c r="Y89" s="17"/>
      <c r="Z89" s="17"/>
      <c r="AA89" s="17"/>
    </row>
    <row r="90" spans="1:27">
      <c r="A90" s="11"/>
      <c r="B90" s="11">
        <v>2</v>
      </c>
      <c r="C90" s="11">
        <f>C87*B90</f>
        <v>24</v>
      </c>
      <c r="D90" s="11">
        <f ca="1">D87+C90/16</f>
        <v>15.1875</v>
      </c>
      <c r="E90" s="11" t="e">
        <f ca="1">E87/D90</f>
        <v>#VALUE!</v>
      </c>
      <c r="F90" s="20" t="e">
        <f ca="1">F86/D90</f>
        <v>#N/A</v>
      </c>
      <c r="G90" s="11" t="e">
        <f ca="1">(E90+F90+$Q$42+$Q$43)*(1+$P$35)</f>
        <v>#VALUE!</v>
      </c>
      <c r="H90" s="20"/>
      <c r="I90" s="11">
        <v>2</v>
      </c>
      <c r="J90" s="11">
        <f>J87*I90</f>
        <v>66</v>
      </c>
      <c r="K90" s="11">
        <f ca="1">K87+J90/16</f>
        <v>38.8125</v>
      </c>
      <c r="L90" s="11" t="e">
        <f ca="1">L87/K90</f>
        <v>#VALUE!</v>
      </c>
      <c r="M90" s="20" t="e">
        <f ca="1">M86/K90</f>
        <v>#N/A</v>
      </c>
      <c r="N90" s="11" t="e">
        <f ca="1">(L90+M90+$Q$42+$Q$43)*(1+$P$35)</f>
        <v>#VALUE!</v>
      </c>
      <c r="O90" s="20"/>
      <c r="P90" s="17"/>
      <c r="Q90" s="17"/>
      <c r="R90" s="17"/>
      <c r="S90" s="17"/>
      <c r="T90" s="17"/>
      <c r="U90" s="20"/>
      <c r="V90" s="32"/>
      <c r="W90" s="34"/>
      <c r="X90" s="17"/>
      <c r="Y90" s="17"/>
      <c r="Z90" s="17"/>
      <c r="AA90" s="17"/>
    </row>
    <row r="91" spans="1:27">
      <c r="A91" s="11"/>
      <c r="B91" s="11">
        <v>3</v>
      </c>
      <c r="C91" s="11">
        <f>C87*B91</f>
        <v>36</v>
      </c>
      <c r="D91" s="11">
        <f ca="1">D87+C91/16</f>
        <v>15.9375</v>
      </c>
      <c r="E91" s="11" t="e">
        <f ca="1">E87/D91</f>
        <v>#VALUE!</v>
      </c>
      <c r="F91" s="20" t="e">
        <f ca="1">F86/D91</f>
        <v>#N/A</v>
      </c>
      <c r="G91" s="11" t="e">
        <f ca="1">(E91+F91+$Q$42+$Q$43)*(1+$P$35)</f>
        <v>#VALUE!</v>
      </c>
      <c r="H91" s="20"/>
      <c r="I91" s="11">
        <v>3</v>
      </c>
      <c r="J91" s="11">
        <f>J87*I91</f>
        <v>99</v>
      </c>
      <c r="K91" s="11">
        <f ca="1">K87+J91/16</f>
        <v>40.875</v>
      </c>
      <c r="L91" s="11" t="e">
        <f ca="1">L87/K91</f>
        <v>#VALUE!</v>
      </c>
      <c r="M91" s="20" t="e">
        <f ca="1">M86/K91</f>
        <v>#N/A</v>
      </c>
      <c r="N91" s="11" t="e">
        <f ca="1">(L91+M91+$Q$42+$Q$43)*(1+$P$35)</f>
        <v>#VALUE!</v>
      </c>
      <c r="O91" s="20"/>
      <c r="P91" s="17"/>
      <c r="Q91" s="17"/>
      <c r="R91" s="17"/>
      <c r="S91" s="17"/>
      <c r="T91" s="17"/>
      <c r="U91" s="20"/>
      <c r="V91" s="32"/>
      <c r="W91" s="34"/>
      <c r="X91" s="17"/>
      <c r="Y91" s="17"/>
      <c r="Z91" s="17"/>
      <c r="AA91" s="17"/>
    </row>
    <row r="92" spans="1:27">
      <c r="A92" s="11"/>
      <c r="B92" s="11">
        <v>4</v>
      </c>
      <c r="C92" s="11">
        <f>C87*B92</f>
        <v>48</v>
      </c>
      <c r="D92" s="11">
        <f ca="1">D87+C92/16</f>
        <v>16.6875</v>
      </c>
      <c r="E92" s="11" t="e">
        <f ca="1">E87/D92</f>
        <v>#VALUE!</v>
      </c>
      <c r="F92" s="20" t="e">
        <f ca="1">F86/D92</f>
        <v>#N/A</v>
      </c>
      <c r="G92" s="11" t="e">
        <f ca="1">(E92+F92+$Q$42+$Q$43)*(1+$P$35)</f>
        <v>#VALUE!</v>
      </c>
      <c r="H92" s="20"/>
      <c r="I92" s="11">
        <v>4</v>
      </c>
      <c r="J92" s="11">
        <f>J87*I92</f>
        <v>132</v>
      </c>
      <c r="K92" s="11">
        <f ca="1">K87+J92/16</f>
        <v>42.9375</v>
      </c>
      <c r="L92" s="11" t="e">
        <f ca="1">L87/K92</f>
        <v>#VALUE!</v>
      </c>
      <c r="M92" s="20" t="e">
        <f ca="1">M86/K92</f>
        <v>#N/A</v>
      </c>
      <c r="N92" s="11" t="e">
        <f ca="1">(L92+M92+$Q$42+$Q$43)*(1+$P$35)</f>
        <v>#VALUE!</v>
      </c>
      <c r="O92" s="20"/>
      <c r="P92" s="17"/>
      <c r="Q92" s="17"/>
      <c r="R92" s="17"/>
      <c r="S92" s="17"/>
      <c r="T92" s="17"/>
      <c r="U92" s="20"/>
      <c r="V92" s="32"/>
      <c r="W92" s="34"/>
      <c r="X92" s="17"/>
      <c r="Y92" s="17"/>
      <c r="Z92" s="17"/>
      <c r="AA92" s="17"/>
    </row>
    <row r="93" spans="1:27">
      <c r="A93" s="17"/>
      <c r="B93" s="17"/>
      <c r="C93" s="17"/>
      <c r="D93" s="17"/>
      <c r="E93" s="17"/>
      <c r="F93" s="17"/>
      <c r="G93" s="17"/>
      <c r="H93" s="11"/>
      <c r="I93" s="11"/>
      <c r="J93" s="11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32"/>
      <c r="W93" s="34"/>
      <c r="X93" s="17"/>
      <c r="Y93" s="17"/>
      <c r="Z93" s="17"/>
      <c r="AA93" s="17"/>
    </row>
    <row r="94" spans="1:27">
      <c r="A94" s="17"/>
      <c r="B94" s="17"/>
      <c r="C94" s="17"/>
      <c r="D94" s="17"/>
      <c r="E94" s="17"/>
      <c r="F94" s="17"/>
      <c r="G94" s="17"/>
      <c r="H94" s="11"/>
      <c r="I94" s="11"/>
      <c r="J94" s="11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32"/>
      <c r="W94" s="34"/>
      <c r="X94" s="17"/>
      <c r="Y94" s="17"/>
      <c r="Z94" s="17"/>
      <c r="AA94" s="17"/>
    </row>
    <row r="95" spans="1:27">
      <c r="A95" s="20" t="s">
        <v>271</v>
      </c>
      <c r="B95" s="20" t="s">
        <v>334</v>
      </c>
      <c r="C95" s="20" t="s">
        <v>304</v>
      </c>
      <c r="D95" s="20" t="s">
        <v>281</v>
      </c>
      <c r="E95" s="20" t="s">
        <v>278</v>
      </c>
      <c r="F95" s="20"/>
      <c r="G95" s="20"/>
      <c r="H95" s="20" t="s">
        <v>271</v>
      </c>
      <c r="I95" s="20" t="s">
        <v>334</v>
      </c>
      <c r="J95" s="20" t="s">
        <v>304</v>
      </c>
      <c r="K95" s="20" t="s">
        <v>281</v>
      </c>
      <c r="L95" s="20" t="s">
        <v>278</v>
      </c>
      <c r="M95" s="20"/>
      <c r="N95" s="20"/>
      <c r="O95" s="20" t="s">
        <v>271</v>
      </c>
      <c r="P95" s="20" t="s">
        <v>334</v>
      </c>
      <c r="Q95" s="20" t="s">
        <v>304</v>
      </c>
      <c r="R95" s="20" t="s">
        <v>281</v>
      </c>
      <c r="S95" s="20" t="s">
        <v>278</v>
      </c>
      <c r="T95" s="20"/>
      <c r="U95" s="20"/>
      <c r="V95" s="32"/>
      <c r="W95" s="34"/>
      <c r="X95" s="17"/>
      <c r="Y95" s="17"/>
      <c r="Z95" s="17"/>
      <c r="AA95" s="17"/>
    </row>
    <row r="96" spans="1:27">
      <c r="A96" s="20" t="s">
        <v>82</v>
      </c>
      <c r="B96" s="20">
        <f ca="1" t="shared" ref="B96:B110" si="33">IFERROR(VLOOKUP(A96,实战技能表,MATCH("怒气",$A$1:$T$1,0),0),0)</f>
        <v>15</v>
      </c>
      <c r="C96" s="20">
        <v>1</v>
      </c>
      <c r="D96" s="20">
        <f ca="1" t="shared" ref="D96:D110" si="34">IFERROR(VLOOKUP(A96,实战技能表,MATCH("时间",$A$1:$T$1,0),0),0)</f>
        <v>1.25</v>
      </c>
      <c r="E96" s="20">
        <f ca="1" t="shared" ref="E96:E110" si="35">IFERROR(VLOOKUP(A96,实战技能表,MATCH("dmg",$A$1:$T$1,0),0),0)</f>
        <v>0</v>
      </c>
      <c r="F96" s="20"/>
      <c r="G96" s="20"/>
      <c r="H96" s="20" t="s">
        <v>82</v>
      </c>
      <c r="I96" s="20">
        <f ca="1" t="shared" ref="I96:I111" si="36">IFERROR(VLOOKUP(H96,实战技能表,MATCH("怒气",$A$1:$T$1,0),0),0)</f>
        <v>15</v>
      </c>
      <c r="J96" s="20">
        <v>1</v>
      </c>
      <c r="K96" s="20">
        <f ca="1" t="shared" ref="K96:K111" si="37">IFERROR(VLOOKUP(H96,实战技能表,MATCH("时间",$A$1:$T$1,0),0),0)</f>
        <v>1.25</v>
      </c>
      <c r="L96" s="20">
        <f ca="1" t="shared" ref="L96:L111" si="38">IFERROR(VLOOKUP(H96,实战技能表,MATCH("dmg",$A$1:$T$1,0),0),0)</f>
        <v>0</v>
      </c>
      <c r="M96" s="20"/>
      <c r="N96" s="20"/>
      <c r="O96" s="20" t="s">
        <v>82</v>
      </c>
      <c r="P96" s="20">
        <f ca="1" t="shared" ref="P96:P112" si="39">IFERROR(VLOOKUP(O96,实战技能表,MATCH("怒气",$A$1:$T$1,0),0),0)</f>
        <v>15</v>
      </c>
      <c r="Q96" s="20">
        <v>1</v>
      </c>
      <c r="R96" s="20">
        <f ca="1" t="shared" ref="R96:R112" si="40">IFERROR(VLOOKUP(O96,实战技能表,MATCH("时间",$A$1:$T$1,0),0),0)</f>
        <v>1.25</v>
      </c>
      <c r="S96" s="20">
        <f ca="1" t="shared" ref="S96:S112" si="41">IFERROR(VLOOKUP(O96,实战技能表,MATCH("dmg",$A$1:$T$1,0),0),0)</f>
        <v>0</v>
      </c>
      <c r="T96" s="20"/>
      <c r="U96" s="20"/>
      <c r="V96" s="32"/>
      <c r="W96" s="34"/>
      <c r="X96" s="17"/>
      <c r="Y96" s="17"/>
      <c r="Z96" s="17"/>
      <c r="AA96" s="17"/>
    </row>
    <row r="97" spans="1:27">
      <c r="A97" s="20" t="s">
        <v>286</v>
      </c>
      <c r="B97" s="20">
        <f ca="1" t="shared" si="33"/>
        <v>5</v>
      </c>
      <c r="C97" s="20">
        <v>1</v>
      </c>
      <c r="D97" s="20">
        <f ca="1" t="shared" si="34"/>
        <v>0.8125</v>
      </c>
      <c r="E97" s="20">
        <f ca="1" t="shared" si="35"/>
        <v>0</v>
      </c>
      <c r="F97" s="20"/>
      <c r="G97" s="20"/>
      <c r="H97" s="20" t="s">
        <v>286</v>
      </c>
      <c r="I97" s="20">
        <f ca="1" t="shared" si="36"/>
        <v>5</v>
      </c>
      <c r="J97" s="20">
        <v>1</v>
      </c>
      <c r="K97" s="20">
        <f ca="1" t="shared" si="37"/>
        <v>0.8125</v>
      </c>
      <c r="L97" s="20">
        <f ca="1" t="shared" si="38"/>
        <v>0</v>
      </c>
      <c r="M97" s="20"/>
      <c r="N97" s="20"/>
      <c r="O97" s="20" t="s">
        <v>286</v>
      </c>
      <c r="P97" s="20">
        <f ca="1" t="shared" si="39"/>
        <v>5</v>
      </c>
      <c r="Q97" s="20">
        <v>1</v>
      </c>
      <c r="R97" s="20">
        <f ca="1" t="shared" si="40"/>
        <v>0.8125</v>
      </c>
      <c r="S97" s="20">
        <f ca="1" t="shared" si="41"/>
        <v>0</v>
      </c>
      <c r="T97" s="20"/>
      <c r="U97" s="20"/>
      <c r="V97" s="32"/>
      <c r="W97" s="34"/>
      <c r="X97" s="17"/>
      <c r="Y97" s="17"/>
      <c r="Z97" s="17"/>
      <c r="AA97" s="17"/>
    </row>
    <row r="98" spans="1:27">
      <c r="A98" s="20" t="s">
        <v>286</v>
      </c>
      <c r="B98" s="20">
        <f ca="1" t="shared" si="33"/>
        <v>5</v>
      </c>
      <c r="C98" s="20">
        <v>1</v>
      </c>
      <c r="D98" s="20">
        <f ca="1" t="shared" si="34"/>
        <v>0.8125</v>
      </c>
      <c r="E98" s="20">
        <f ca="1" t="shared" si="35"/>
        <v>0</v>
      </c>
      <c r="F98" s="20"/>
      <c r="G98" s="20"/>
      <c r="H98" s="20" t="s">
        <v>286</v>
      </c>
      <c r="I98" s="20">
        <f ca="1" t="shared" si="36"/>
        <v>5</v>
      </c>
      <c r="J98" s="20">
        <v>1</v>
      </c>
      <c r="K98" s="20">
        <f ca="1" t="shared" si="37"/>
        <v>0.8125</v>
      </c>
      <c r="L98" s="20">
        <f ca="1" t="shared" si="38"/>
        <v>0</v>
      </c>
      <c r="M98" s="20"/>
      <c r="N98" s="20"/>
      <c r="O98" s="20" t="s">
        <v>286</v>
      </c>
      <c r="P98" s="20">
        <f ca="1" t="shared" si="39"/>
        <v>5</v>
      </c>
      <c r="Q98" s="20">
        <v>1</v>
      </c>
      <c r="R98" s="20">
        <f ca="1" t="shared" si="40"/>
        <v>0.8125</v>
      </c>
      <c r="S98" s="20">
        <f ca="1" t="shared" si="41"/>
        <v>0</v>
      </c>
      <c r="T98" s="20"/>
      <c r="U98" s="20"/>
      <c r="V98" s="32"/>
      <c r="W98" s="34"/>
      <c r="X98" s="17"/>
      <c r="Y98" s="17"/>
      <c r="Z98" s="17"/>
      <c r="AA98" s="17"/>
    </row>
    <row r="99" spans="1:27">
      <c r="A99" s="20" t="s">
        <v>286</v>
      </c>
      <c r="B99" s="20">
        <f ca="1" t="shared" si="33"/>
        <v>5</v>
      </c>
      <c r="C99" s="20">
        <v>1</v>
      </c>
      <c r="D99" s="20">
        <f ca="1" t="shared" si="34"/>
        <v>0.8125</v>
      </c>
      <c r="E99" s="20">
        <f ca="1" t="shared" si="35"/>
        <v>0</v>
      </c>
      <c r="F99" s="20"/>
      <c r="G99" s="20"/>
      <c r="H99" s="20" t="s">
        <v>286</v>
      </c>
      <c r="I99" s="20">
        <f ca="1" t="shared" si="36"/>
        <v>5</v>
      </c>
      <c r="J99" s="20">
        <v>1</v>
      </c>
      <c r="K99" s="20">
        <f ca="1" t="shared" si="37"/>
        <v>0.8125</v>
      </c>
      <c r="L99" s="20">
        <f ca="1" t="shared" si="38"/>
        <v>0</v>
      </c>
      <c r="M99" s="20"/>
      <c r="N99" s="20"/>
      <c r="O99" s="20" t="s">
        <v>286</v>
      </c>
      <c r="P99" s="20">
        <f ca="1" t="shared" si="39"/>
        <v>5</v>
      </c>
      <c r="Q99" s="20">
        <v>1</v>
      </c>
      <c r="R99" s="20">
        <f ca="1" t="shared" si="40"/>
        <v>0.8125</v>
      </c>
      <c r="S99" s="20">
        <f ca="1" t="shared" si="41"/>
        <v>0</v>
      </c>
      <c r="T99" s="20"/>
      <c r="U99" s="20"/>
      <c r="V99" s="32"/>
      <c r="W99" s="34"/>
      <c r="X99" s="17"/>
      <c r="Y99" s="17"/>
      <c r="Z99" s="17"/>
      <c r="AA99" s="17"/>
    </row>
    <row r="100" spans="1:27">
      <c r="A100" s="20" t="s">
        <v>284</v>
      </c>
      <c r="B100" s="20">
        <f ca="1" t="shared" si="33"/>
        <v>5</v>
      </c>
      <c r="C100" s="20">
        <v>1</v>
      </c>
      <c r="D100" s="20">
        <f ca="1" t="shared" si="34"/>
        <v>0.8125</v>
      </c>
      <c r="E100" s="20">
        <f ca="1" t="shared" si="35"/>
        <v>0</v>
      </c>
      <c r="F100" s="20"/>
      <c r="G100" s="20"/>
      <c r="H100" s="20" t="s">
        <v>82</v>
      </c>
      <c r="I100" s="20">
        <f ca="1" t="shared" si="36"/>
        <v>15</v>
      </c>
      <c r="J100" s="20">
        <v>1</v>
      </c>
      <c r="K100" s="20">
        <f ca="1" t="shared" si="37"/>
        <v>1.25</v>
      </c>
      <c r="L100" s="20">
        <f ca="1" t="shared" si="38"/>
        <v>0</v>
      </c>
      <c r="M100" s="20"/>
      <c r="N100" s="20"/>
      <c r="O100" s="20" t="s">
        <v>284</v>
      </c>
      <c r="P100" s="20">
        <f ca="1" t="shared" si="39"/>
        <v>5</v>
      </c>
      <c r="Q100" s="20">
        <v>1</v>
      </c>
      <c r="R100" s="20">
        <f ca="1" t="shared" si="40"/>
        <v>0.8125</v>
      </c>
      <c r="S100" s="20">
        <f ca="1" t="shared" si="41"/>
        <v>0</v>
      </c>
      <c r="T100" s="20"/>
      <c r="U100" s="20"/>
      <c r="V100" s="32"/>
      <c r="W100" s="34"/>
      <c r="X100" s="17"/>
      <c r="Y100" s="17"/>
      <c r="Z100" s="17"/>
      <c r="AA100" s="17"/>
    </row>
    <row r="101" spans="1:27">
      <c r="A101" s="20" t="s">
        <v>308</v>
      </c>
      <c r="B101" s="20">
        <f ca="1" t="shared" si="33"/>
        <v>5</v>
      </c>
      <c r="C101" s="20">
        <v>1</v>
      </c>
      <c r="D101" s="20">
        <f ca="1" t="shared" si="34"/>
        <v>0.8125</v>
      </c>
      <c r="E101" s="20">
        <f ca="1" t="shared" si="35"/>
        <v>0</v>
      </c>
      <c r="F101" s="20"/>
      <c r="G101" s="20"/>
      <c r="H101" s="20" t="s">
        <v>55</v>
      </c>
      <c r="I101" s="20">
        <f ca="1" t="shared" si="36"/>
        <v>15</v>
      </c>
      <c r="J101" s="20">
        <v>1</v>
      </c>
      <c r="K101" s="20">
        <f ca="1" t="shared" si="37"/>
        <v>1.25</v>
      </c>
      <c r="L101" s="20">
        <f ca="1" t="shared" si="38"/>
        <v>0</v>
      </c>
      <c r="M101" s="20"/>
      <c r="N101" s="20"/>
      <c r="O101" s="20" t="s">
        <v>308</v>
      </c>
      <c r="P101" s="20">
        <f ca="1" t="shared" si="39"/>
        <v>5</v>
      </c>
      <c r="Q101" s="20">
        <v>1</v>
      </c>
      <c r="R101" s="20">
        <f ca="1" t="shared" si="40"/>
        <v>0.8125</v>
      </c>
      <c r="S101" s="20">
        <f ca="1" t="shared" si="41"/>
        <v>0</v>
      </c>
      <c r="T101" s="20"/>
      <c r="U101" s="20"/>
      <c r="V101" s="32"/>
      <c r="W101" s="34"/>
      <c r="X101" s="17"/>
      <c r="Y101" s="17"/>
      <c r="Z101" s="17"/>
      <c r="AA101" s="17"/>
    </row>
    <row r="102" spans="1:27">
      <c r="A102" s="20" t="s">
        <v>309</v>
      </c>
      <c r="B102" s="20">
        <f ca="1" t="shared" si="33"/>
        <v>10</v>
      </c>
      <c r="C102" s="20">
        <v>1</v>
      </c>
      <c r="D102" s="20">
        <f ca="1" t="shared" si="34"/>
        <v>0.8125</v>
      </c>
      <c r="E102" s="20">
        <f ca="1" t="shared" si="35"/>
        <v>0</v>
      </c>
      <c r="F102" s="20"/>
      <c r="G102" s="20"/>
      <c r="H102" s="20" t="s">
        <v>65</v>
      </c>
      <c r="I102" s="20">
        <f ca="1" t="shared" si="36"/>
        <v>-15</v>
      </c>
      <c r="J102" s="20">
        <v>1</v>
      </c>
      <c r="K102" s="20">
        <f ca="1" t="shared" si="37"/>
        <v>1.25</v>
      </c>
      <c r="L102" s="20">
        <f ca="1" t="shared" si="38"/>
        <v>0</v>
      </c>
      <c r="M102" s="20"/>
      <c r="N102" s="20"/>
      <c r="O102" s="20" t="s">
        <v>309</v>
      </c>
      <c r="P102" s="20">
        <f ca="1" t="shared" si="39"/>
        <v>10</v>
      </c>
      <c r="Q102" s="20">
        <v>1</v>
      </c>
      <c r="R102" s="20">
        <f ca="1" t="shared" si="40"/>
        <v>0.8125</v>
      </c>
      <c r="S102" s="20">
        <f ca="1" t="shared" si="41"/>
        <v>0</v>
      </c>
      <c r="T102" s="20"/>
      <c r="U102" s="20"/>
      <c r="V102" s="32"/>
      <c r="W102" s="34"/>
      <c r="X102" s="17"/>
      <c r="Y102" s="17"/>
      <c r="Z102" s="17"/>
      <c r="AA102" s="17"/>
    </row>
    <row r="103" spans="1:27">
      <c r="A103" s="20" t="s">
        <v>65</v>
      </c>
      <c r="B103" s="20">
        <f ca="1" t="shared" si="33"/>
        <v>-15</v>
      </c>
      <c r="C103" s="20">
        <v>1</v>
      </c>
      <c r="D103" s="20">
        <f ca="1" t="shared" si="34"/>
        <v>1.25</v>
      </c>
      <c r="E103" s="20">
        <f ca="1" t="shared" si="35"/>
        <v>0</v>
      </c>
      <c r="F103" s="20"/>
      <c r="G103" s="20"/>
      <c r="H103" s="20" t="s">
        <v>73</v>
      </c>
      <c r="I103" s="20">
        <f ca="1" t="shared" si="36"/>
        <v>-15</v>
      </c>
      <c r="J103" s="20">
        <v>1</v>
      </c>
      <c r="K103" s="20">
        <f ca="1" t="shared" si="37"/>
        <v>1.25</v>
      </c>
      <c r="L103" s="20">
        <f ca="1" t="shared" si="38"/>
        <v>0</v>
      </c>
      <c r="M103" s="20"/>
      <c r="N103" s="20"/>
      <c r="O103" s="20" t="s">
        <v>65</v>
      </c>
      <c r="P103" s="20">
        <f ca="1" t="shared" si="39"/>
        <v>-15</v>
      </c>
      <c r="Q103" s="20">
        <v>1</v>
      </c>
      <c r="R103" s="20">
        <f ca="1" t="shared" si="40"/>
        <v>1.25</v>
      </c>
      <c r="S103" s="20">
        <f ca="1" t="shared" si="41"/>
        <v>0</v>
      </c>
      <c r="T103" s="20"/>
      <c r="U103" s="20"/>
      <c r="V103" s="32"/>
      <c r="W103" s="34"/>
      <c r="X103" s="17"/>
      <c r="Y103" s="17"/>
      <c r="Z103" s="17"/>
      <c r="AA103" s="17"/>
    </row>
    <row r="104" spans="1:27">
      <c r="A104" s="20" t="str">
        <f>IF($D$36=TRUE,"闪刀","劫刀")</f>
        <v>闪刀</v>
      </c>
      <c r="B104" s="20">
        <f ca="1" t="shared" si="33"/>
        <v>-15</v>
      </c>
      <c r="C104" s="20">
        <v>1</v>
      </c>
      <c r="D104" s="20">
        <f ca="1" t="shared" si="34"/>
        <v>1.25</v>
      </c>
      <c r="E104" s="20">
        <f ca="1" t="shared" si="35"/>
        <v>0</v>
      </c>
      <c r="F104" s="20"/>
      <c r="G104" s="20"/>
      <c r="H104" s="20" t="s">
        <v>14</v>
      </c>
      <c r="I104" s="20">
        <f ca="1" t="shared" si="36"/>
        <v>-5</v>
      </c>
      <c r="J104" s="20">
        <v>1</v>
      </c>
      <c r="K104" s="20">
        <f ca="1" t="shared" si="37"/>
        <v>1.25</v>
      </c>
      <c r="L104" s="20">
        <f ca="1" t="shared" si="38"/>
        <v>0</v>
      </c>
      <c r="M104" s="20"/>
      <c r="N104" s="20"/>
      <c r="O104" s="20" t="s">
        <v>73</v>
      </c>
      <c r="P104" s="20">
        <f ca="1" t="shared" si="39"/>
        <v>-15</v>
      </c>
      <c r="Q104" s="20">
        <v>1</v>
      </c>
      <c r="R104" s="20">
        <f ca="1" t="shared" si="40"/>
        <v>1.25</v>
      </c>
      <c r="S104" s="20">
        <f ca="1" t="shared" si="41"/>
        <v>0</v>
      </c>
      <c r="T104" s="20"/>
      <c r="U104" s="20"/>
      <c r="V104" s="32"/>
      <c r="W104" s="34"/>
      <c r="X104" s="17"/>
      <c r="Y104" s="17"/>
      <c r="Z104" s="17"/>
      <c r="AA104" s="17"/>
    </row>
    <row r="105" spans="1:27">
      <c r="A105" s="20" t="s">
        <v>14</v>
      </c>
      <c r="B105" s="20">
        <f ca="1" t="shared" si="33"/>
        <v>-5</v>
      </c>
      <c r="C105" s="20">
        <v>1</v>
      </c>
      <c r="D105" s="20">
        <f ca="1" t="shared" si="34"/>
        <v>1.25</v>
      </c>
      <c r="E105" s="20">
        <f ca="1" t="shared" si="35"/>
        <v>0</v>
      </c>
      <c r="F105" s="20"/>
      <c r="G105" s="20"/>
      <c r="H105" s="20" t="s">
        <v>14</v>
      </c>
      <c r="I105" s="20">
        <f ca="1" t="shared" si="36"/>
        <v>-5</v>
      </c>
      <c r="J105" s="20">
        <v>1</v>
      </c>
      <c r="K105" s="20">
        <f ca="1" t="shared" si="37"/>
        <v>1.25</v>
      </c>
      <c r="L105" s="20">
        <f ca="1" t="shared" si="38"/>
        <v>0</v>
      </c>
      <c r="M105" s="20"/>
      <c r="N105" s="20"/>
      <c r="O105" s="20" t="s">
        <v>14</v>
      </c>
      <c r="P105" s="20">
        <f ca="1" t="shared" si="39"/>
        <v>-5</v>
      </c>
      <c r="Q105" s="20">
        <v>1</v>
      </c>
      <c r="R105" s="20">
        <f ca="1" t="shared" si="40"/>
        <v>1.25</v>
      </c>
      <c r="S105" s="20">
        <f ca="1" t="shared" si="41"/>
        <v>0</v>
      </c>
      <c r="T105" s="20"/>
      <c r="U105" s="20"/>
      <c r="V105" s="32"/>
      <c r="W105" s="34"/>
      <c r="X105" s="17"/>
      <c r="Y105" s="17"/>
      <c r="Z105" s="17"/>
      <c r="AA105" s="17"/>
    </row>
    <row r="106" ht="15.6" spans="1:38">
      <c r="A106" s="20" t="s">
        <v>14</v>
      </c>
      <c r="B106" s="20">
        <f ca="1" t="shared" si="33"/>
        <v>-5</v>
      </c>
      <c r="C106" s="20">
        <v>1</v>
      </c>
      <c r="D106" s="20">
        <f ca="1" t="shared" si="34"/>
        <v>1.25</v>
      </c>
      <c r="E106" s="20">
        <f ca="1" t="shared" si="35"/>
        <v>0</v>
      </c>
      <c r="F106" s="20"/>
      <c r="G106" s="20"/>
      <c r="H106" s="20" t="s">
        <v>14</v>
      </c>
      <c r="I106" s="20">
        <f ca="1" t="shared" si="36"/>
        <v>-5</v>
      </c>
      <c r="J106" s="20">
        <v>1</v>
      </c>
      <c r="K106" s="20">
        <f ca="1" t="shared" si="37"/>
        <v>1.25</v>
      </c>
      <c r="L106" s="20">
        <f ca="1" t="shared" si="38"/>
        <v>0</v>
      </c>
      <c r="M106" s="20"/>
      <c r="N106" s="20"/>
      <c r="O106" s="20" t="s">
        <v>14</v>
      </c>
      <c r="P106" s="20">
        <f ca="1" t="shared" si="39"/>
        <v>-5</v>
      </c>
      <c r="Q106" s="20">
        <v>1</v>
      </c>
      <c r="R106" s="20">
        <f ca="1" t="shared" si="40"/>
        <v>1.25</v>
      </c>
      <c r="S106" s="20">
        <f ca="1" t="shared" si="41"/>
        <v>0</v>
      </c>
      <c r="T106" s="20"/>
      <c r="U106" s="20"/>
      <c r="V106" s="32"/>
      <c r="W106" s="34"/>
      <c r="X106" s="17"/>
      <c r="Y106" s="35" t="s">
        <v>335</v>
      </c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</row>
    <row r="107" spans="1:38">
      <c r="A107" s="20" t="s">
        <v>14</v>
      </c>
      <c r="B107" s="20">
        <f ca="1" t="shared" si="33"/>
        <v>-5</v>
      </c>
      <c r="C107" s="20">
        <v>1</v>
      </c>
      <c r="D107" s="20">
        <f ca="1" t="shared" si="34"/>
        <v>1.25</v>
      </c>
      <c r="E107" s="20">
        <f ca="1" t="shared" si="35"/>
        <v>0</v>
      </c>
      <c r="F107" s="20"/>
      <c r="G107" s="20"/>
      <c r="H107" s="20" t="s">
        <v>14</v>
      </c>
      <c r="I107" s="20">
        <f ca="1" t="shared" si="36"/>
        <v>-5</v>
      </c>
      <c r="J107" s="20">
        <v>1</v>
      </c>
      <c r="K107" s="20">
        <f ca="1" t="shared" si="37"/>
        <v>1.25</v>
      </c>
      <c r="L107" s="20">
        <f ca="1" t="shared" si="38"/>
        <v>0</v>
      </c>
      <c r="M107" s="20"/>
      <c r="N107" s="20"/>
      <c r="O107" s="20" t="s">
        <v>14</v>
      </c>
      <c r="P107" s="20">
        <f ca="1" t="shared" si="39"/>
        <v>-5</v>
      </c>
      <c r="Q107" s="20">
        <v>1</v>
      </c>
      <c r="R107" s="20">
        <f ca="1" t="shared" si="40"/>
        <v>1.25</v>
      </c>
      <c r="S107" s="20">
        <f ca="1" t="shared" si="41"/>
        <v>0</v>
      </c>
      <c r="T107" s="20"/>
      <c r="U107" s="20"/>
      <c r="V107" s="32"/>
      <c r="W107" s="34"/>
      <c r="X107" s="17"/>
      <c r="Y107" s="18" t="s">
        <v>336</v>
      </c>
      <c r="Z107" s="7">
        <f ca="1">D66</f>
        <v>13.6875</v>
      </c>
      <c r="AB107" s="18" t="s">
        <v>337</v>
      </c>
      <c r="AC107" s="7">
        <f ca="1">D88</f>
        <v>13.6875</v>
      </c>
      <c r="AE107" s="18" t="s">
        <v>338</v>
      </c>
      <c r="AF107" s="7">
        <f ca="1">K88</f>
        <v>34.6875</v>
      </c>
      <c r="AH107" s="18" t="s">
        <v>339</v>
      </c>
      <c r="AI107" s="7">
        <f ca="1">D113</f>
        <v>16.125</v>
      </c>
      <c r="AK107" s="7" t="s">
        <v>340</v>
      </c>
      <c r="AL107" s="7" t="e">
        <f ca="1" t="array" ref="AL107:AL120">Z107:Z120*Y121+AC107:AC120*AB121+AF107:AF120*AE121+AI107:AI120*AH121</f>
        <v>#VALUE!</v>
      </c>
    </row>
    <row r="108" spans="1:38">
      <c r="A108" s="20" t="s">
        <v>14</v>
      </c>
      <c r="B108" s="20">
        <f ca="1" t="shared" si="33"/>
        <v>-5</v>
      </c>
      <c r="C108" s="20">
        <v>1</v>
      </c>
      <c r="D108" s="20">
        <f ca="1" t="shared" si="34"/>
        <v>1.25</v>
      </c>
      <c r="E108" s="20">
        <f ca="1" t="shared" si="35"/>
        <v>0</v>
      </c>
      <c r="F108" s="11"/>
      <c r="H108" s="20" t="s">
        <v>14</v>
      </c>
      <c r="I108" s="20">
        <f ca="1" t="shared" si="36"/>
        <v>-5</v>
      </c>
      <c r="J108" s="20">
        <v>1</v>
      </c>
      <c r="K108" s="20">
        <f ca="1" t="shared" si="37"/>
        <v>1.25</v>
      </c>
      <c r="L108" s="20">
        <f ca="1" t="shared" si="38"/>
        <v>0</v>
      </c>
      <c r="M108" s="11"/>
      <c r="O108" s="20" t="s">
        <v>14</v>
      </c>
      <c r="P108" s="20">
        <f ca="1" t="shared" si="39"/>
        <v>-5</v>
      </c>
      <c r="Q108" s="20">
        <v>1</v>
      </c>
      <c r="R108" s="20">
        <f ca="1" t="shared" si="40"/>
        <v>1.25</v>
      </c>
      <c r="S108" s="20">
        <f ca="1" t="shared" si="41"/>
        <v>0</v>
      </c>
      <c r="T108" s="11"/>
      <c r="V108" s="32"/>
      <c r="W108" s="34"/>
      <c r="X108" s="17"/>
      <c r="Y108" s="34" t="s">
        <v>82</v>
      </c>
      <c r="Z108" s="17">
        <f ca="1" t="shared" ref="Z108:Z116" si="42">IFERROR(VLOOKUP(Y108,实战技能表,MATCH("dmg",$A$1:$T$1,0),0),0)*COUNTIF($A$52:$A$63,Y108)</f>
        <v>0</v>
      </c>
      <c r="AB108" s="34" t="s">
        <v>82</v>
      </c>
      <c r="AC108" s="17">
        <f ca="1" t="shared" ref="AC108:AC116" si="43">IFERROR(VLOOKUP(AB108,实战技能表,MATCH("dmg",$A$1:$T$1,0),0),0)*COUNTIF($A$74:$A$85,AB108)</f>
        <v>0</v>
      </c>
      <c r="AE108" s="34" t="s">
        <v>82</v>
      </c>
      <c r="AF108" s="17">
        <f ca="1" t="shared" ref="AF108:AF116" si="44">IFERROR(VLOOKUP(AE108,实战技能表,MATCH("dmg",$A$1:$T$1,0),0),0)*COUNTIF($H$52:$H$85,AE108)</f>
        <v>0</v>
      </c>
      <c r="AH108" s="34" t="s">
        <v>82</v>
      </c>
      <c r="AI108" s="17">
        <f ca="1" t="shared" ref="AI108:AI116" si="45">IFERROR(VLOOKUP(AH108,实战技能表,MATCH("dmg",$A$1:$T$1,0),0),0)*COUNTIF($A$96:$A$110,AH108)</f>
        <v>0</v>
      </c>
      <c r="AK108" s="34" t="s">
        <v>82</v>
      </c>
      <c r="AL108" s="7" t="e">
        <v>#VALUE!</v>
      </c>
    </row>
    <row r="109" spans="1:38">
      <c r="A109" s="20" t="s">
        <v>14</v>
      </c>
      <c r="B109" s="20">
        <f ca="1" t="shared" si="33"/>
        <v>-5</v>
      </c>
      <c r="C109" s="20">
        <v>1</v>
      </c>
      <c r="D109" s="20">
        <f ca="1" t="shared" si="34"/>
        <v>1.25</v>
      </c>
      <c r="E109" s="20">
        <f ca="1" t="shared" si="35"/>
        <v>0</v>
      </c>
      <c r="G109" s="11"/>
      <c r="H109" s="20" t="s">
        <v>14</v>
      </c>
      <c r="I109" s="20">
        <f ca="1" t="shared" si="36"/>
        <v>-5</v>
      </c>
      <c r="J109" s="20">
        <v>1</v>
      </c>
      <c r="K109" s="20">
        <f ca="1" t="shared" si="37"/>
        <v>1.25</v>
      </c>
      <c r="L109" s="20">
        <f ca="1" t="shared" si="38"/>
        <v>0</v>
      </c>
      <c r="N109" s="11"/>
      <c r="O109" s="20" t="s">
        <v>14</v>
      </c>
      <c r="P109" s="20">
        <f ca="1" t="shared" si="39"/>
        <v>-5</v>
      </c>
      <c r="Q109" s="20">
        <v>1</v>
      </c>
      <c r="R109" s="20">
        <f ca="1" t="shared" si="40"/>
        <v>1.25</v>
      </c>
      <c r="S109" s="20">
        <f ca="1" t="shared" si="41"/>
        <v>0</v>
      </c>
      <c r="U109" s="11"/>
      <c r="V109" s="32"/>
      <c r="W109" s="34"/>
      <c r="X109" s="17"/>
      <c r="Y109" s="32" t="s">
        <v>286</v>
      </c>
      <c r="Z109" s="17">
        <f ca="1" t="shared" si="42"/>
        <v>0</v>
      </c>
      <c r="AB109" s="32" t="s">
        <v>286</v>
      </c>
      <c r="AC109" s="17">
        <f ca="1" t="shared" si="43"/>
        <v>0</v>
      </c>
      <c r="AE109" s="32" t="s">
        <v>286</v>
      </c>
      <c r="AF109" s="17">
        <f ca="1" t="shared" si="44"/>
        <v>0</v>
      </c>
      <c r="AH109" s="32" t="s">
        <v>286</v>
      </c>
      <c r="AI109" s="17">
        <f ca="1" t="shared" si="45"/>
        <v>0</v>
      </c>
      <c r="AK109" s="32" t="s">
        <v>286</v>
      </c>
      <c r="AL109" s="7" t="e">
        <v>#VALUE!</v>
      </c>
    </row>
    <row r="110" spans="1:38">
      <c r="A110" s="20" t="s">
        <v>14</v>
      </c>
      <c r="B110" s="20">
        <f ca="1" t="shared" si="33"/>
        <v>-5</v>
      </c>
      <c r="C110" s="20">
        <v>1</v>
      </c>
      <c r="D110" s="20">
        <f ca="1" t="shared" si="34"/>
        <v>1.25</v>
      </c>
      <c r="E110" s="20">
        <f ca="1" t="shared" si="35"/>
        <v>0</v>
      </c>
      <c r="F110" s="11"/>
      <c r="G110" s="11"/>
      <c r="H110" s="20" t="s">
        <v>14</v>
      </c>
      <c r="I110" s="20">
        <f ca="1" t="shared" si="36"/>
        <v>-5</v>
      </c>
      <c r="J110" s="20">
        <v>1</v>
      </c>
      <c r="K110" s="20">
        <f ca="1" t="shared" si="37"/>
        <v>1.25</v>
      </c>
      <c r="L110" s="20">
        <f ca="1" t="shared" si="38"/>
        <v>0</v>
      </c>
      <c r="M110" s="11"/>
      <c r="N110" s="11"/>
      <c r="O110" s="20" t="s">
        <v>14</v>
      </c>
      <c r="P110" s="20">
        <f ca="1" t="shared" si="39"/>
        <v>-5</v>
      </c>
      <c r="Q110" s="20">
        <v>1</v>
      </c>
      <c r="R110" s="20">
        <f ca="1" t="shared" si="40"/>
        <v>1.25</v>
      </c>
      <c r="S110" s="20">
        <f ca="1" t="shared" si="41"/>
        <v>0</v>
      </c>
      <c r="T110" s="11"/>
      <c r="U110" s="11"/>
      <c r="V110" s="32"/>
      <c r="W110" s="34"/>
      <c r="X110" s="17"/>
      <c r="Y110" s="18" t="s">
        <v>55</v>
      </c>
      <c r="Z110" s="17">
        <f ca="1" t="shared" si="42"/>
        <v>0</v>
      </c>
      <c r="AB110" s="18" t="s">
        <v>55</v>
      </c>
      <c r="AC110" s="17">
        <f ca="1" t="shared" si="43"/>
        <v>0</v>
      </c>
      <c r="AE110" s="18" t="s">
        <v>55</v>
      </c>
      <c r="AF110" s="17">
        <f ca="1" t="shared" si="44"/>
        <v>0</v>
      </c>
      <c r="AH110" s="18" t="s">
        <v>55</v>
      </c>
      <c r="AI110" s="17">
        <f ca="1" t="shared" si="45"/>
        <v>0</v>
      </c>
      <c r="AK110" s="18" t="s">
        <v>55</v>
      </c>
      <c r="AL110" s="7" t="e">
        <v>#VALUE!</v>
      </c>
    </row>
    <row r="111" spans="1:38">
      <c r="A111" s="20"/>
      <c r="C111" s="11">
        <f>SUM(C103:C110)</f>
        <v>8</v>
      </c>
      <c r="D111" s="11">
        <f ca="1">SUM(D103:D110)+C111/16</f>
        <v>10.5</v>
      </c>
      <c r="E111" s="7" t="e">
        <f ca="1">INT(D111+1)*$I$9</f>
        <v>#VALUE!</v>
      </c>
      <c r="F111" s="11" t="e">
        <f ca="1">D111*$I$16/$T$15+(D112-D111)*$I$15/$T$15</f>
        <v>#N/A</v>
      </c>
      <c r="G111" s="11"/>
      <c r="H111" s="20" t="s">
        <v>14</v>
      </c>
      <c r="I111" s="20">
        <f ca="1" t="shared" si="36"/>
        <v>-5</v>
      </c>
      <c r="J111" s="20">
        <v>1</v>
      </c>
      <c r="K111" s="20">
        <f ca="1" t="shared" si="37"/>
        <v>1.25</v>
      </c>
      <c r="L111" s="20">
        <f ca="1" t="shared" si="38"/>
        <v>0</v>
      </c>
      <c r="M111" s="17"/>
      <c r="N111" s="17"/>
      <c r="O111" s="20" t="s">
        <v>14</v>
      </c>
      <c r="P111" s="20">
        <f ca="1" t="shared" si="39"/>
        <v>-5</v>
      </c>
      <c r="Q111" s="20">
        <v>1</v>
      </c>
      <c r="R111" s="20">
        <f ca="1" t="shared" si="40"/>
        <v>1.25</v>
      </c>
      <c r="S111" s="20">
        <f ca="1" t="shared" si="41"/>
        <v>0</v>
      </c>
      <c r="T111" s="17"/>
      <c r="U111" s="17"/>
      <c r="V111" s="32"/>
      <c r="W111" s="34"/>
      <c r="X111" s="17"/>
      <c r="Y111" s="11" t="s">
        <v>284</v>
      </c>
      <c r="Z111" s="17">
        <f ca="1" t="shared" si="42"/>
        <v>0</v>
      </c>
      <c r="AB111" s="11" t="s">
        <v>284</v>
      </c>
      <c r="AC111" s="17">
        <f ca="1" t="shared" si="43"/>
        <v>0</v>
      </c>
      <c r="AE111" s="11" t="s">
        <v>284</v>
      </c>
      <c r="AF111" s="17">
        <f ca="1" t="shared" si="44"/>
        <v>0</v>
      </c>
      <c r="AH111" s="11" t="s">
        <v>284</v>
      </c>
      <c r="AI111" s="17">
        <f ca="1" t="shared" si="45"/>
        <v>0</v>
      </c>
      <c r="AK111" s="11" t="s">
        <v>284</v>
      </c>
      <c r="AL111" s="7" t="e">
        <v>#VALUE!</v>
      </c>
    </row>
    <row r="112" spans="1:38">
      <c r="A112" s="20"/>
      <c r="B112" s="11">
        <f ca="1">SUM(B96:B110)</f>
        <v>-10</v>
      </c>
      <c r="C112" s="11">
        <f>SUM(C96:C110)</f>
        <v>15</v>
      </c>
      <c r="D112" s="11">
        <f ca="1">SUM(D96:D110)</f>
        <v>16.125</v>
      </c>
      <c r="E112" s="11" t="e">
        <f ca="1">SUM(E96:E111)</f>
        <v>#VALUE!</v>
      </c>
      <c r="F112" s="17"/>
      <c r="G112" s="11"/>
      <c r="H112" s="20"/>
      <c r="J112" s="11">
        <f>SUM(J102:J111)</f>
        <v>10</v>
      </c>
      <c r="K112" s="11">
        <f ca="1">SUM(K102:K111)+J112/16</f>
        <v>13.125</v>
      </c>
      <c r="L112" s="7" t="e">
        <f ca="1">INT(K112+1)*$I$9</f>
        <v>#VALUE!</v>
      </c>
      <c r="M112" s="11" t="e">
        <f ca="1">K112*$I$16/$T$15+(K113-K112)*$I$15/$T$15</f>
        <v>#N/A</v>
      </c>
      <c r="N112" s="11"/>
      <c r="O112" s="20" t="s">
        <v>14</v>
      </c>
      <c r="P112" s="20">
        <f ca="1" t="shared" si="39"/>
        <v>-5</v>
      </c>
      <c r="Q112" s="20">
        <v>1</v>
      </c>
      <c r="R112" s="20">
        <f ca="1" t="shared" si="40"/>
        <v>1.25</v>
      </c>
      <c r="S112" s="20">
        <f ca="1" t="shared" si="41"/>
        <v>0</v>
      </c>
      <c r="T112" s="17"/>
      <c r="U112" s="17"/>
      <c r="V112" s="32"/>
      <c r="W112" s="34"/>
      <c r="X112" s="17"/>
      <c r="Y112" s="11" t="s">
        <v>308</v>
      </c>
      <c r="Z112" s="17">
        <f ca="1" t="shared" si="42"/>
        <v>0</v>
      </c>
      <c r="AB112" s="11" t="s">
        <v>308</v>
      </c>
      <c r="AC112" s="17">
        <f ca="1" t="shared" si="43"/>
        <v>0</v>
      </c>
      <c r="AE112" s="11" t="s">
        <v>308</v>
      </c>
      <c r="AF112" s="17">
        <f ca="1" t="shared" si="44"/>
        <v>0</v>
      </c>
      <c r="AH112" s="11" t="s">
        <v>308</v>
      </c>
      <c r="AI112" s="17">
        <f ca="1" t="shared" si="45"/>
        <v>0</v>
      </c>
      <c r="AK112" s="11" t="s">
        <v>308</v>
      </c>
      <c r="AL112" s="7" t="e">
        <v>#VALUE!</v>
      </c>
    </row>
    <row r="113" spans="1:38">
      <c r="A113" s="20"/>
      <c r="B113" s="11">
        <v>0</v>
      </c>
      <c r="C113" s="11">
        <f>C112*B113</f>
        <v>0</v>
      </c>
      <c r="D113" s="11">
        <f ca="1">D112+C113/16</f>
        <v>16.125</v>
      </c>
      <c r="E113" s="11" t="e">
        <f ca="1">E112/D113</f>
        <v>#VALUE!</v>
      </c>
      <c r="F113" s="11" t="e">
        <f ca="1">F111/D113</f>
        <v>#N/A</v>
      </c>
      <c r="G113" s="11" t="e">
        <f ca="1">(E113+F113+$Q$42+$Q$43)*(1+$P$35)</f>
        <v>#VALUE!</v>
      </c>
      <c r="H113" s="20"/>
      <c r="I113" s="11">
        <f ca="1">SUM(I96:I111)</f>
        <v>-10</v>
      </c>
      <c r="J113" s="11">
        <f>SUM(J96:J111)</f>
        <v>16</v>
      </c>
      <c r="K113" s="11">
        <f ca="1">SUM(K96:K111)</f>
        <v>18.6875</v>
      </c>
      <c r="L113" s="11" t="e">
        <f ca="1">SUM(L96:L112)</f>
        <v>#VALUE!</v>
      </c>
      <c r="M113" s="17"/>
      <c r="N113" s="11"/>
      <c r="O113" s="20"/>
      <c r="Q113" s="11">
        <f>SUM(Q103:Q112)</f>
        <v>10</v>
      </c>
      <c r="R113" s="11">
        <f ca="1">SUM(R103:R112)+Q113/16</f>
        <v>13.125</v>
      </c>
      <c r="S113" s="7" t="e">
        <f ca="1">INT(R113+1)*$I$9</f>
        <v>#VALUE!</v>
      </c>
      <c r="T113" s="11" t="e">
        <f ca="1">R113*$I$16/$T$15+(R114-R113)*$I$15/$T$15</f>
        <v>#N/A</v>
      </c>
      <c r="U113" s="11"/>
      <c r="V113" s="32"/>
      <c r="W113" s="34"/>
      <c r="X113" s="17"/>
      <c r="Y113" s="11" t="s">
        <v>309</v>
      </c>
      <c r="Z113" s="17">
        <f ca="1" t="shared" si="42"/>
        <v>0</v>
      </c>
      <c r="AB113" s="11" t="s">
        <v>309</v>
      </c>
      <c r="AC113" s="17">
        <f ca="1" t="shared" si="43"/>
        <v>0</v>
      </c>
      <c r="AE113" s="11" t="s">
        <v>309</v>
      </c>
      <c r="AF113" s="17">
        <f ca="1" t="shared" si="44"/>
        <v>0</v>
      </c>
      <c r="AH113" s="11" t="s">
        <v>309</v>
      </c>
      <c r="AI113" s="17">
        <f ca="1" t="shared" si="45"/>
        <v>0</v>
      </c>
      <c r="AK113" s="11" t="s">
        <v>309</v>
      </c>
      <c r="AL113" s="7" t="e">
        <v>#VALUE!</v>
      </c>
    </row>
    <row r="114" spans="1:38">
      <c r="A114" s="20"/>
      <c r="B114" s="11">
        <v>1</v>
      </c>
      <c r="C114" s="11">
        <f>C112*B114</f>
        <v>15</v>
      </c>
      <c r="D114" s="11">
        <f ca="1">D112+C114/16</f>
        <v>17.0625</v>
      </c>
      <c r="E114" s="11" t="e">
        <f ca="1">E112/D114</f>
        <v>#VALUE!</v>
      </c>
      <c r="F114" s="11" t="e">
        <f ca="1">F111/D114</f>
        <v>#N/A</v>
      </c>
      <c r="G114" s="11" t="e">
        <f ca="1">(E114+F114+$Q$42+$Q$43)*(1+$P$35)</f>
        <v>#VALUE!</v>
      </c>
      <c r="H114" s="20"/>
      <c r="I114" s="11">
        <v>0</v>
      </c>
      <c r="J114" s="11">
        <f>J113*I114</f>
        <v>0</v>
      </c>
      <c r="K114" s="11">
        <f ca="1">K113+J114/16</f>
        <v>18.6875</v>
      </c>
      <c r="L114" s="11" t="e">
        <f ca="1">L113/K114</f>
        <v>#VALUE!</v>
      </c>
      <c r="M114" s="11" t="e">
        <f ca="1">M112/K114</f>
        <v>#N/A</v>
      </c>
      <c r="N114" s="11" t="e">
        <f ca="1">(L114+M114+$Q$42+$Q$43)*(1+$P$35)</f>
        <v>#VALUE!</v>
      </c>
      <c r="O114" s="20"/>
      <c r="P114" s="11">
        <f ca="1">SUM(P96:P112)</f>
        <v>-20</v>
      </c>
      <c r="Q114" s="11">
        <f>SUM(Q96:Q112)</f>
        <v>17</v>
      </c>
      <c r="R114" s="11">
        <f ca="1">SUM(R96:R112)</f>
        <v>18.625</v>
      </c>
      <c r="S114" s="11" t="e">
        <f ca="1">SUM(S96:S113)</f>
        <v>#VALUE!</v>
      </c>
      <c r="T114" s="17"/>
      <c r="U114" s="11"/>
      <c r="V114" s="32"/>
      <c r="W114" s="34"/>
      <c r="X114" s="17"/>
      <c r="Y114" s="32" t="s">
        <v>65</v>
      </c>
      <c r="Z114" s="17">
        <f ca="1" t="shared" si="42"/>
        <v>0</v>
      </c>
      <c r="AB114" s="32" t="s">
        <v>65</v>
      </c>
      <c r="AC114" s="17">
        <f ca="1" t="shared" si="43"/>
        <v>0</v>
      </c>
      <c r="AE114" s="32" t="s">
        <v>65</v>
      </c>
      <c r="AF114" s="17">
        <f ca="1" t="shared" si="44"/>
        <v>0</v>
      </c>
      <c r="AH114" s="32" t="s">
        <v>65</v>
      </c>
      <c r="AI114" s="17">
        <f ca="1" t="shared" si="45"/>
        <v>0</v>
      </c>
      <c r="AK114" s="32" t="s">
        <v>65</v>
      </c>
      <c r="AL114" s="7" t="e">
        <v>#VALUE!</v>
      </c>
    </row>
    <row r="115" spans="1:38">
      <c r="A115" s="20"/>
      <c r="B115" s="11">
        <v>2</v>
      </c>
      <c r="C115" s="11">
        <f>C112*B115</f>
        <v>30</v>
      </c>
      <c r="D115" s="11">
        <f ca="1">D112+C115/16</f>
        <v>18</v>
      </c>
      <c r="E115" s="11" t="e">
        <f ca="1">E112/D115</f>
        <v>#VALUE!</v>
      </c>
      <c r="F115" s="20" t="e">
        <f ca="1">F111/D115</f>
        <v>#N/A</v>
      </c>
      <c r="G115" s="11" t="e">
        <f ca="1">(E115+F115+$Q$42+$Q$43)*(1+$P$35)</f>
        <v>#VALUE!</v>
      </c>
      <c r="H115" s="20"/>
      <c r="I115" s="11">
        <v>1</v>
      </c>
      <c r="J115" s="11">
        <f>J113*I115</f>
        <v>16</v>
      </c>
      <c r="K115" s="11">
        <f ca="1">K113+J115/16</f>
        <v>19.6875</v>
      </c>
      <c r="L115" s="11" t="e">
        <f ca="1">L113/K115</f>
        <v>#VALUE!</v>
      </c>
      <c r="M115" s="11" t="e">
        <f ca="1">M112/K115</f>
        <v>#N/A</v>
      </c>
      <c r="N115" s="11" t="e">
        <f ca="1">(L115+M115+$Q$42+$Q$43)*(1+$P$35)</f>
        <v>#VALUE!</v>
      </c>
      <c r="O115" s="20"/>
      <c r="P115" s="11">
        <v>0</v>
      </c>
      <c r="Q115" s="11">
        <f>Q114*P115</f>
        <v>0</v>
      </c>
      <c r="R115" s="11">
        <f ca="1">R114+Q115/16</f>
        <v>18.625</v>
      </c>
      <c r="S115" s="11" t="e">
        <f ca="1">S114/R115</f>
        <v>#VALUE!</v>
      </c>
      <c r="T115" s="11" t="e">
        <f ca="1">T113/R115</f>
        <v>#N/A</v>
      </c>
      <c r="U115" s="11" t="e">
        <f ca="1">(S115+T115+$Q$42+$Q$43)*(1+$P$35)</f>
        <v>#VALUE!</v>
      </c>
      <c r="V115" s="32"/>
      <c r="W115" s="34"/>
      <c r="X115" s="17"/>
      <c r="Y115" s="32" t="s">
        <v>73</v>
      </c>
      <c r="Z115" s="17">
        <f ca="1" t="shared" si="42"/>
        <v>0</v>
      </c>
      <c r="AB115" s="32" t="s">
        <v>73</v>
      </c>
      <c r="AC115" s="17">
        <f ca="1" t="shared" si="43"/>
        <v>0</v>
      </c>
      <c r="AE115" s="32" t="s">
        <v>73</v>
      </c>
      <c r="AF115" s="17">
        <f ca="1" t="shared" si="44"/>
        <v>0</v>
      </c>
      <c r="AH115" s="32" t="s">
        <v>73</v>
      </c>
      <c r="AI115" s="17">
        <f ca="1" t="shared" si="45"/>
        <v>0</v>
      </c>
      <c r="AK115" s="32" t="s">
        <v>73</v>
      </c>
      <c r="AL115" s="7" t="e">
        <v>#VALUE!</v>
      </c>
    </row>
    <row r="116" spans="1:38">
      <c r="A116" s="20"/>
      <c r="B116" s="11">
        <v>3</v>
      </c>
      <c r="C116" s="11">
        <f>C112*B116</f>
        <v>45</v>
      </c>
      <c r="D116" s="11">
        <f ca="1">D112+C116/16</f>
        <v>18.9375</v>
      </c>
      <c r="E116" s="11" t="e">
        <f ca="1">E112/D116</f>
        <v>#VALUE!</v>
      </c>
      <c r="F116" s="20" t="e">
        <f ca="1">F111/D116</f>
        <v>#N/A</v>
      </c>
      <c r="G116" s="11" t="e">
        <f ca="1">(E116+F116+$Q$42+$Q$43)*(1+$P$35)</f>
        <v>#VALUE!</v>
      </c>
      <c r="H116" s="20"/>
      <c r="I116" s="11">
        <v>2</v>
      </c>
      <c r="J116" s="11">
        <f>J113*I116</f>
        <v>32</v>
      </c>
      <c r="K116" s="11">
        <f ca="1">K113+J116/16</f>
        <v>20.6875</v>
      </c>
      <c r="L116" s="11" t="e">
        <f ca="1">L113/K116</f>
        <v>#VALUE!</v>
      </c>
      <c r="M116" s="20" t="e">
        <f ca="1">M112/K116</f>
        <v>#N/A</v>
      </c>
      <c r="N116" s="11" t="e">
        <f ca="1">(L116+M116+$Q$42+$Q$43)*(1+$P$35)</f>
        <v>#VALUE!</v>
      </c>
      <c r="O116" s="20"/>
      <c r="P116" s="11">
        <v>1</v>
      </c>
      <c r="Q116" s="11">
        <f>Q114*P116</f>
        <v>17</v>
      </c>
      <c r="R116" s="11">
        <f ca="1">R114+Q116/16</f>
        <v>19.6875</v>
      </c>
      <c r="S116" s="11" t="e">
        <f ca="1">S114/R116</f>
        <v>#VALUE!</v>
      </c>
      <c r="T116" s="11" t="e">
        <f ca="1">T113/R116</f>
        <v>#N/A</v>
      </c>
      <c r="U116" s="11" t="e">
        <f ca="1">(S116+T116+$Q$42+$Q$43)*(1+$P$35)</f>
        <v>#VALUE!</v>
      </c>
      <c r="V116" s="32"/>
      <c r="W116" s="34"/>
      <c r="X116" s="17"/>
      <c r="Y116" s="32" t="s">
        <v>14</v>
      </c>
      <c r="Z116" s="17">
        <f ca="1" t="shared" si="42"/>
        <v>0</v>
      </c>
      <c r="AB116" s="32" t="s">
        <v>14</v>
      </c>
      <c r="AC116" s="17">
        <f ca="1" t="shared" si="43"/>
        <v>0</v>
      </c>
      <c r="AE116" s="32" t="s">
        <v>14</v>
      </c>
      <c r="AF116" s="17">
        <f ca="1" t="shared" si="44"/>
        <v>0</v>
      </c>
      <c r="AH116" s="32" t="s">
        <v>14</v>
      </c>
      <c r="AI116" s="17">
        <f ca="1" t="shared" si="45"/>
        <v>0</v>
      </c>
      <c r="AK116" s="32" t="s">
        <v>14</v>
      </c>
      <c r="AL116" s="7" t="e">
        <v>#VALUE!</v>
      </c>
    </row>
    <row r="117" spans="1:38">
      <c r="A117" s="20"/>
      <c r="B117" s="11">
        <v>4</v>
      </c>
      <c r="C117" s="11">
        <f>C112*B117</f>
        <v>60</v>
      </c>
      <c r="D117" s="11">
        <f ca="1">D112+C117/16</f>
        <v>19.875</v>
      </c>
      <c r="E117" s="11" t="e">
        <f ca="1">E112/D117</f>
        <v>#VALUE!</v>
      </c>
      <c r="F117" s="20" t="e">
        <f ca="1">F111/D117</f>
        <v>#N/A</v>
      </c>
      <c r="G117" s="11" t="e">
        <f ca="1">(E117+F117+$Q$42+$Q$43)*(1+$P$35)</f>
        <v>#VALUE!</v>
      </c>
      <c r="H117" s="20"/>
      <c r="I117" s="11">
        <v>3</v>
      </c>
      <c r="J117" s="11">
        <f>J113*I117</f>
        <v>48</v>
      </c>
      <c r="K117" s="11">
        <f ca="1">K113+J117/16</f>
        <v>21.6875</v>
      </c>
      <c r="L117" s="11" t="e">
        <f ca="1">L113/K117</f>
        <v>#VALUE!</v>
      </c>
      <c r="M117" s="20" t="e">
        <f ca="1">M112/K117</f>
        <v>#N/A</v>
      </c>
      <c r="N117" s="11" t="e">
        <f ca="1">(L117+M117+$Q$42+$Q$43)*(1+$P$35)</f>
        <v>#VALUE!</v>
      </c>
      <c r="O117" s="20"/>
      <c r="P117" s="11">
        <v>2</v>
      </c>
      <c r="Q117" s="11">
        <f>Q114*P117</f>
        <v>34</v>
      </c>
      <c r="R117" s="11">
        <f ca="1">R114+Q117/16</f>
        <v>20.75</v>
      </c>
      <c r="S117" s="11" t="e">
        <f ca="1">S114/R117</f>
        <v>#VALUE!</v>
      </c>
      <c r="T117" s="20" t="e">
        <f ca="1">T113/R117</f>
        <v>#N/A</v>
      </c>
      <c r="U117" s="11" t="e">
        <f ca="1">(S117+T117+$Q$42+$Q$43)*(1+$P$35)</f>
        <v>#VALUE!</v>
      </c>
      <c r="V117" s="32"/>
      <c r="W117" s="34"/>
      <c r="X117" s="17"/>
      <c r="Y117" s="32" t="s">
        <v>35</v>
      </c>
      <c r="Z117" s="17" t="e">
        <f ca="1">E64</f>
        <v>#VALUE!</v>
      </c>
      <c r="AB117" s="32" t="s">
        <v>35</v>
      </c>
      <c r="AC117" s="17" t="e">
        <f ca="1">E86</f>
        <v>#VALUE!</v>
      </c>
      <c r="AE117" s="32" t="s">
        <v>35</v>
      </c>
      <c r="AF117" s="17" t="e">
        <f ca="1">L86</f>
        <v>#VALUE!</v>
      </c>
      <c r="AH117" s="32" t="s">
        <v>35</v>
      </c>
      <c r="AI117" s="17" t="e">
        <f ca="1">E111</f>
        <v>#VALUE!</v>
      </c>
      <c r="AK117" s="32" t="s">
        <v>35</v>
      </c>
      <c r="AL117" s="7" t="e">
        <v>#VALUE!</v>
      </c>
    </row>
    <row r="118" spans="1:38">
      <c r="A118" s="17"/>
      <c r="B118" s="17"/>
      <c r="C118" s="17"/>
      <c r="D118" s="17"/>
      <c r="E118" s="17"/>
      <c r="F118" s="17"/>
      <c r="G118" s="17"/>
      <c r="H118" s="17"/>
      <c r="I118" s="11">
        <v>4</v>
      </c>
      <c r="J118" s="11">
        <f>J113*I118</f>
        <v>64</v>
      </c>
      <c r="K118" s="11">
        <f ca="1">K113+J118/16</f>
        <v>22.6875</v>
      </c>
      <c r="L118" s="11" t="e">
        <f ca="1">L113/K118</f>
        <v>#VALUE!</v>
      </c>
      <c r="M118" s="20" t="e">
        <f ca="1">M112/K118</f>
        <v>#N/A</v>
      </c>
      <c r="N118" s="11" t="e">
        <f ca="1">(L118+M118+$Q$42+$Q$43)*(1+$P$35)</f>
        <v>#VALUE!</v>
      </c>
      <c r="O118" s="17"/>
      <c r="P118" s="11">
        <v>3</v>
      </c>
      <c r="Q118" s="11">
        <f>Q114*P118</f>
        <v>51</v>
      </c>
      <c r="R118" s="11">
        <f ca="1">R114+Q118/16</f>
        <v>21.8125</v>
      </c>
      <c r="S118" s="11" t="e">
        <f ca="1">S114/R118</f>
        <v>#VALUE!</v>
      </c>
      <c r="T118" s="20" t="e">
        <f ca="1">T113/R118</f>
        <v>#N/A</v>
      </c>
      <c r="U118" s="11" t="e">
        <f ca="1">(S118+T118+$Q$42+$Q$43)*(1+$P$35)</f>
        <v>#VALUE!</v>
      </c>
      <c r="V118" s="32"/>
      <c r="W118" s="34"/>
      <c r="X118" s="17"/>
      <c r="Y118" s="32" t="s">
        <v>45</v>
      </c>
      <c r="Z118" s="17" t="e">
        <f ca="1">F64</f>
        <v>#N/A</v>
      </c>
      <c r="AB118" s="32" t="s">
        <v>45</v>
      </c>
      <c r="AC118" s="17" t="e">
        <f ca="1">F86</f>
        <v>#N/A</v>
      </c>
      <c r="AE118" s="32" t="s">
        <v>45</v>
      </c>
      <c r="AF118" s="17" t="e">
        <f ca="1">M86</f>
        <v>#N/A</v>
      </c>
      <c r="AH118" s="32" t="s">
        <v>45</v>
      </c>
      <c r="AI118" s="17" t="e">
        <f ca="1">F111</f>
        <v>#N/A</v>
      </c>
      <c r="AK118" s="32" t="s">
        <v>45</v>
      </c>
      <c r="AL118" s="7" t="e">
        <v>#N/A</v>
      </c>
    </row>
    <row r="119" spans="1:38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1">
        <v>4</v>
      </c>
      <c r="Q119" s="11">
        <f>Q114*P119</f>
        <v>68</v>
      </c>
      <c r="R119" s="11">
        <f ca="1">R114+Q119/16</f>
        <v>22.875</v>
      </c>
      <c r="S119" s="11" t="e">
        <f ca="1">S114/R119</f>
        <v>#VALUE!</v>
      </c>
      <c r="T119" s="20" t="e">
        <f ca="1">T113/R119</f>
        <v>#N/A</v>
      </c>
      <c r="U119" s="11" t="e">
        <f ca="1">(S119+T119+$Q$42+$Q$43)*(1+$P$35)</f>
        <v>#VALUE!</v>
      </c>
      <c r="V119" s="32"/>
      <c r="W119" s="34"/>
      <c r="X119" s="17"/>
      <c r="Y119" s="32" t="s">
        <v>25</v>
      </c>
      <c r="Z119" s="17" t="e">
        <f ca="1">$Q$42*Z107</f>
        <v>#N/A</v>
      </c>
      <c r="AB119" s="32" t="s">
        <v>25</v>
      </c>
      <c r="AC119" s="17" t="e">
        <f ca="1">$Q$42*AC107</f>
        <v>#N/A</v>
      </c>
      <c r="AE119" s="32" t="s">
        <v>25</v>
      </c>
      <c r="AF119" s="17" t="e">
        <f ca="1">$Q$42*AF107</f>
        <v>#N/A</v>
      </c>
      <c r="AH119" s="32" t="s">
        <v>25</v>
      </c>
      <c r="AI119" s="17" t="e">
        <f ca="1">$Q$42*AI107</f>
        <v>#N/A</v>
      </c>
      <c r="AK119" s="32" t="s">
        <v>25</v>
      </c>
      <c r="AL119" s="7" t="e">
        <v>#N/A</v>
      </c>
    </row>
    <row r="120" spans="1:38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20"/>
      <c r="R120" s="20"/>
      <c r="S120" s="20"/>
      <c r="T120" s="20"/>
      <c r="U120" s="20"/>
      <c r="V120" s="32"/>
      <c r="W120" s="34"/>
      <c r="X120" s="17"/>
      <c r="Y120" s="7" t="s">
        <v>341</v>
      </c>
      <c r="Z120" s="7" t="e">
        <f ca="1">SUM(Z108:Z119)</f>
        <v>#VALUE!</v>
      </c>
      <c r="AB120" s="7" t="s">
        <v>341</v>
      </c>
      <c r="AC120" s="7" t="e">
        <f ca="1">SUM(AC108:AC119)</f>
        <v>#VALUE!</v>
      </c>
      <c r="AE120" s="7" t="s">
        <v>341</v>
      </c>
      <c r="AF120" s="7" t="e">
        <f ca="1">SUM(AF108:AF119)</f>
        <v>#VALUE!</v>
      </c>
      <c r="AH120" s="7" t="s">
        <v>341</v>
      </c>
      <c r="AI120" s="7" t="e">
        <f ca="1">SUM(AI108:AI119)</f>
        <v>#VALUE!</v>
      </c>
      <c r="AK120" s="7" t="s">
        <v>341</v>
      </c>
      <c r="AL120" s="7" t="e">
        <v>#VALUE!</v>
      </c>
    </row>
    <row r="121" spans="1:34">
      <c r="A121" s="17" t="s">
        <v>342</v>
      </c>
      <c r="B121" s="17" t="e">
        <f ca="1">INDIRECT(ADDRESS(126+MATCH(B122,$B$128:$B$154,0),1))</f>
        <v>#VALUE!</v>
      </c>
      <c r="C121" s="17"/>
      <c r="D121" s="20" t="s">
        <v>343</v>
      </c>
      <c r="E121" s="20"/>
      <c r="F121" s="20"/>
      <c r="G121" s="20" t="s">
        <v>344</v>
      </c>
      <c r="H121" s="20"/>
      <c r="I121" s="20"/>
      <c r="J121" s="17" t="s">
        <v>345</v>
      </c>
      <c r="K121" s="17"/>
      <c r="L121" s="17"/>
      <c r="M121" s="17" t="s">
        <v>346</v>
      </c>
      <c r="N121" s="17"/>
      <c r="O121" s="17"/>
      <c r="P121" s="17"/>
      <c r="Q121" s="17"/>
      <c r="R121" s="20"/>
      <c r="S121" s="17"/>
      <c r="T121" s="17"/>
      <c r="U121" s="17"/>
      <c r="V121" s="17" t="s">
        <v>347</v>
      </c>
      <c r="W121" s="17"/>
      <c r="X121" s="17" t="e">
        <f ca="1">B121</f>
        <v>#VALUE!</v>
      </c>
      <c r="Y121" s="7" t="e">
        <f ca="1">VLOOKUP($X$121,$A$128:$N$154,COLUMN()-COLUMN($X$121)+3)</f>
        <v>#VALUE!</v>
      </c>
      <c r="AB121" s="7" t="e">
        <f ca="1">VLOOKUP($X$121,$A$128:$N$154,COLUMN()-COLUMN($X$121)+3)</f>
        <v>#VALUE!</v>
      </c>
      <c r="AE121" s="7" t="e">
        <f ca="1" t="shared" ref="AE121:AH121" si="46">VLOOKUP($X$121,$A$128:$N$154,COLUMN()-COLUMN($X$121)+3)</f>
        <v>#VALUE!</v>
      </c>
      <c r="AH121" s="7" t="e">
        <f ca="1" t="shared" si="46"/>
        <v>#VALUE!</v>
      </c>
    </row>
    <row r="122" spans="1:28">
      <c r="A122" s="17">
        <v>0</v>
      </c>
      <c r="B122" s="17" t="e">
        <f ca="1" t="shared" ref="B122:B126" si="47">B129</f>
        <v>#VALUE!</v>
      </c>
      <c r="C122" s="17">
        <v>0</v>
      </c>
      <c r="D122" s="17">
        <f ca="1">D66</f>
        <v>13.6875</v>
      </c>
      <c r="E122" s="17" t="e">
        <f ca="1">G66</f>
        <v>#VALUE!</v>
      </c>
      <c r="F122" s="17"/>
      <c r="G122" s="17">
        <f ca="1">D88</f>
        <v>13.6875</v>
      </c>
      <c r="H122" s="17" t="e">
        <f ca="1">G88</f>
        <v>#VALUE!</v>
      </c>
      <c r="I122" s="17"/>
      <c r="J122" s="17">
        <f ca="1">K88</f>
        <v>34.6875</v>
      </c>
      <c r="K122" s="17" t="e">
        <f ca="1">N88</f>
        <v>#VALUE!</v>
      </c>
      <c r="L122" s="17"/>
      <c r="M122" s="17">
        <f ca="1">D113</f>
        <v>16.125</v>
      </c>
      <c r="N122" s="17" t="e">
        <f ca="1">G113</f>
        <v>#VALUE!</v>
      </c>
      <c r="O122" s="17"/>
      <c r="P122" s="17"/>
      <c r="Q122" s="17"/>
      <c r="R122" s="20"/>
      <c r="S122" s="17"/>
      <c r="T122" s="17"/>
      <c r="U122" s="17"/>
      <c r="V122" s="17">
        <f ca="1">R81</f>
        <v>28.5</v>
      </c>
      <c r="W122" s="17" t="e">
        <f ca="1">U81</f>
        <v>#N/A</v>
      </c>
      <c r="X122" s="17"/>
      <c r="Y122" s="17" t="s">
        <v>348</v>
      </c>
      <c r="Z122" s="17">
        <f ca="1">R81</f>
        <v>28.5</v>
      </c>
      <c r="AA122" s="7" t="e">
        <f ca="1">($Q$41-$Z$122)/$AL$107</f>
        <v>#VALUE!</v>
      </c>
      <c r="AB122" s="7" t="s">
        <v>349</v>
      </c>
    </row>
    <row r="123" spans="1:38">
      <c r="A123" s="17">
        <v>1</v>
      </c>
      <c r="B123" s="17" t="e">
        <f ca="1" t="shared" si="47"/>
        <v>#VALUE!</v>
      </c>
      <c r="C123" s="17">
        <v>1</v>
      </c>
      <c r="D123" s="17">
        <f ca="1">D67</f>
        <v>14.4375</v>
      </c>
      <c r="E123" s="17" t="e">
        <f ca="1">G67</f>
        <v>#VALUE!</v>
      </c>
      <c r="F123" s="17"/>
      <c r="G123" s="17">
        <f ca="1">D89</f>
        <v>14.4375</v>
      </c>
      <c r="H123" s="17" t="e">
        <f ca="1">G89</f>
        <v>#VALUE!</v>
      </c>
      <c r="I123" s="17"/>
      <c r="J123" s="17">
        <f ca="1">K89</f>
        <v>36.75</v>
      </c>
      <c r="K123" s="17" t="e">
        <f ca="1">N89</f>
        <v>#VALUE!</v>
      </c>
      <c r="L123" s="17"/>
      <c r="M123" s="17">
        <f ca="1">D114</f>
        <v>17.0625</v>
      </c>
      <c r="N123" s="17" t="e">
        <f ca="1">G114</f>
        <v>#VALUE!</v>
      </c>
      <c r="O123" s="17"/>
      <c r="P123" s="17"/>
      <c r="Q123" s="17"/>
      <c r="R123" s="20"/>
      <c r="S123" s="17"/>
      <c r="T123" s="17"/>
      <c r="U123" s="17"/>
      <c r="V123" s="17">
        <f ca="1">R82</f>
        <v>30.1875</v>
      </c>
      <c r="W123" s="17" t="e">
        <f ca="1">U82</f>
        <v>#N/A</v>
      </c>
      <c r="X123" s="17"/>
      <c r="Y123" s="34" t="s">
        <v>82</v>
      </c>
      <c r="Z123" s="17">
        <f ca="1">IFERROR(VLOOKUP(Y123,实战技能表,MATCH("dmg",$A$1:$T$1,0),0),0)*COUNTIF($O$52:$O$78,Y123)</f>
        <v>0</v>
      </c>
      <c r="AA123" s="7" t="e">
        <f ca="1" t="array" ref="AA123:AA135">AA122*AL108:AL120</f>
        <v>#VALUE!</v>
      </c>
      <c r="AB123" s="7" t="e">
        <f ca="1" t="shared" ref="AB123:AB135" si="48">SUM(Z123:AA123)</f>
        <v>#VALUE!</v>
      </c>
      <c r="AE123" s="34" t="s">
        <v>82</v>
      </c>
      <c r="AF123" s="7" t="e">
        <f ca="1">AB123/$AB$135</f>
        <v>#VALUE!</v>
      </c>
      <c r="AH123" s="7" t="s">
        <v>82</v>
      </c>
      <c r="AI123" s="16" t="e">
        <f ca="1">AF123</f>
        <v>#VALUE!</v>
      </c>
      <c r="AK123" s="7" t="e">
        <f ca="1" t="shared" ref="AK123:AK132" si="49">INDEX($AH$123:$AH$132,MATCH(AL123,$AI$123:$AI$132,0),1)</f>
        <v>#VALUE!</v>
      </c>
      <c r="AL123" s="7" t="e">
        <f ca="1">LARGE($AI$123:$AI$132,ROW()-ROW($AL$123)+1)</f>
        <v>#VALUE!</v>
      </c>
    </row>
    <row r="124" spans="1:38">
      <c r="A124" s="17">
        <v>2</v>
      </c>
      <c r="B124" s="17" t="e">
        <f ca="1" t="shared" si="47"/>
        <v>#VALUE!</v>
      </c>
      <c r="C124" s="17">
        <v>2</v>
      </c>
      <c r="D124" s="17">
        <f ca="1">D68</f>
        <v>15.1875</v>
      </c>
      <c r="E124" s="17" t="e">
        <f ca="1">G68</f>
        <v>#VALUE!</v>
      </c>
      <c r="F124" s="17"/>
      <c r="G124" s="17">
        <f ca="1">D90</f>
        <v>15.1875</v>
      </c>
      <c r="H124" s="17" t="e">
        <f ca="1">G90</f>
        <v>#VALUE!</v>
      </c>
      <c r="I124" s="17"/>
      <c r="J124" s="17">
        <f ca="1">K90</f>
        <v>38.8125</v>
      </c>
      <c r="K124" s="17" t="e">
        <f ca="1">N90</f>
        <v>#VALUE!</v>
      </c>
      <c r="L124" s="17"/>
      <c r="M124" s="17">
        <f ca="1">D115</f>
        <v>18</v>
      </c>
      <c r="N124" s="17" t="e">
        <f ca="1">G115</f>
        <v>#VALUE!</v>
      </c>
      <c r="O124" s="17"/>
      <c r="P124" s="17"/>
      <c r="Q124" s="17"/>
      <c r="R124" s="20"/>
      <c r="S124" s="17"/>
      <c r="T124" s="17"/>
      <c r="U124" s="17"/>
      <c r="V124" s="17">
        <f ca="1">R83</f>
        <v>31.875</v>
      </c>
      <c r="W124" s="17" t="e">
        <f ca="1">U83</f>
        <v>#N/A</v>
      </c>
      <c r="X124" s="17"/>
      <c r="Y124" s="32" t="s">
        <v>286</v>
      </c>
      <c r="Z124" s="17">
        <f ca="1" t="shared" ref="Z124:Z131" si="50">IFERROR(VLOOKUP(Y124,实战技能表,MATCH("dmg",$A$1:$T$1,0),0),0)*COUNTIF($O$52:$O$78,Y124)</f>
        <v>0</v>
      </c>
      <c r="AA124" s="7" t="e">
        <v>#VALUE!</v>
      </c>
      <c r="AB124" s="7" t="e">
        <f ca="1" t="shared" si="48"/>
        <v>#VALUE!</v>
      </c>
      <c r="AE124" s="32" t="s">
        <v>286</v>
      </c>
      <c r="AF124" s="7" t="e">
        <f ca="1" t="shared" ref="AF124:AF134" si="51">AB124/$AB$135</f>
        <v>#VALUE!</v>
      </c>
      <c r="AH124" s="7" t="s">
        <v>286</v>
      </c>
      <c r="AI124" s="16" t="e">
        <f ca="1">AF124</f>
        <v>#VALUE!</v>
      </c>
      <c r="AK124" s="7" t="e">
        <f ca="1" t="shared" si="49"/>
        <v>#VALUE!</v>
      </c>
      <c r="AL124" s="7" t="e">
        <f ca="1" t="shared" ref="AL124:AL132" si="52">LARGE($AI$123:$AI$132,ROW()-ROW($AL$123)+1)</f>
        <v>#VALUE!</v>
      </c>
    </row>
    <row r="125" spans="1:38">
      <c r="A125" s="17">
        <v>3</v>
      </c>
      <c r="B125" s="17" t="e">
        <f ca="1" t="shared" si="47"/>
        <v>#VALUE!</v>
      </c>
      <c r="C125" s="17">
        <v>3</v>
      </c>
      <c r="D125" s="17">
        <f ca="1">D69</f>
        <v>15.9375</v>
      </c>
      <c r="E125" s="17" t="e">
        <f ca="1">G69</f>
        <v>#VALUE!</v>
      </c>
      <c r="F125" s="17"/>
      <c r="G125" s="17">
        <f ca="1">D91</f>
        <v>15.9375</v>
      </c>
      <c r="H125" s="17" t="e">
        <f ca="1">G91</f>
        <v>#VALUE!</v>
      </c>
      <c r="I125" s="17"/>
      <c r="J125" s="17">
        <f ca="1">K91</f>
        <v>40.875</v>
      </c>
      <c r="K125" s="17" t="e">
        <f ca="1">N91</f>
        <v>#VALUE!</v>
      </c>
      <c r="L125" s="17"/>
      <c r="M125" s="17">
        <f ca="1">D116</f>
        <v>18.9375</v>
      </c>
      <c r="N125" s="17" t="e">
        <f ca="1">G116</f>
        <v>#VALUE!</v>
      </c>
      <c r="O125" s="17"/>
      <c r="P125" s="17"/>
      <c r="Q125" s="17"/>
      <c r="R125" s="20"/>
      <c r="S125" s="17"/>
      <c r="T125" s="17"/>
      <c r="U125" s="17"/>
      <c r="V125" s="17">
        <f ca="1">R84</f>
        <v>33.5625</v>
      </c>
      <c r="W125" s="17" t="e">
        <f ca="1">U84</f>
        <v>#N/A</v>
      </c>
      <c r="X125" s="17"/>
      <c r="Y125" s="7" t="s">
        <v>55</v>
      </c>
      <c r="Z125" s="17">
        <f ca="1" t="shared" si="50"/>
        <v>0</v>
      </c>
      <c r="AA125" s="7" t="e">
        <v>#VALUE!</v>
      </c>
      <c r="AB125" s="7" t="e">
        <f ca="1" t="shared" si="48"/>
        <v>#VALUE!</v>
      </c>
      <c r="AE125" s="7" t="s">
        <v>55</v>
      </c>
      <c r="AF125" s="7" t="e">
        <f ca="1" t="shared" si="51"/>
        <v>#VALUE!</v>
      </c>
      <c r="AH125" s="7" t="s">
        <v>55</v>
      </c>
      <c r="AI125" s="16" t="e">
        <f ca="1">AF125</f>
        <v>#VALUE!</v>
      </c>
      <c r="AK125" s="7" t="e">
        <f ca="1" t="shared" si="49"/>
        <v>#VALUE!</v>
      </c>
      <c r="AL125" s="7" t="e">
        <f ca="1" t="shared" si="52"/>
        <v>#VALUE!</v>
      </c>
    </row>
    <row r="126" spans="1:38">
      <c r="A126" s="17">
        <v>4</v>
      </c>
      <c r="B126" s="17" t="e">
        <f ca="1" t="shared" si="47"/>
        <v>#VALUE!</v>
      </c>
      <c r="C126" s="17">
        <v>4</v>
      </c>
      <c r="D126" s="17">
        <f ca="1">D70</f>
        <v>16.6875</v>
      </c>
      <c r="E126" s="17" t="e">
        <f ca="1">G70</f>
        <v>#VALUE!</v>
      </c>
      <c r="F126" s="17"/>
      <c r="G126" s="17">
        <f ca="1">D92</f>
        <v>16.6875</v>
      </c>
      <c r="H126" s="17" t="e">
        <f ca="1">G92</f>
        <v>#VALUE!</v>
      </c>
      <c r="I126" s="17"/>
      <c r="J126" s="17">
        <f ca="1">K92</f>
        <v>42.9375</v>
      </c>
      <c r="K126" s="17" t="e">
        <f ca="1">N92</f>
        <v>#VALUE!</v>
      </c>
      <c r="L126" s="17"/>
      <c r="M126" s="17">
        <f ca="1">D117</f>
        <v>19.875</v>
      </c>
      <c r="N126" s="17" t="e">
        <f ca="1">G117</f>
        <v>#VALUE!</v>
      </c>
      <c r="O126" s="17"/>
      <c r="P126" s="17"/>
      <c r="Q126" s="17"/>
      <c r="R126" s="20"/>
      <c r="S126" s="17"/>
      <c r="T126" s="17"/>
      <c r="U126" s="17"/>
      <c r="V126" s="17">
        <f ca="1">R85</f>
        <v>35.25</v>
      </c>
      <c r="W126" s="17" t="e">
        <f ca="1">U85</f>
        <v>#N/A</v>
      </c>
      <c r="X126" s="17"/>
      <c r="Y126" s="11" t="s">
        <v>284</v>
      </c>
      <c r="Z126" s="17">
        <f ca="1" t="shared" si="50"/>
        <v>0</v>
      </c>
      <c r="AA126" s="7" t="e">
        <v>#VALUE!</v>
      </c>
      <c r="AB126" s="7" t="e">
        <f ca="1" t="shared" si="48"/>
        <v>#VALUE!</v>
      </c>
      <c r="AE126" s="11" t="s">
        <v>284</v>
      </c>
      <c r="AF126" s="7" t="e">
        <f ca="1" t="shared" si="51"/>
        <v>#VALUE!</v>
      </c>
      <c r="AH126" s="7" t="s">
        <v>350</v>
      </c>
      <c r="AI126" s="16" t="e">
        <f ca="1">AF126+AF127+AF128</f>
        <v>#VALUE!</v>
      </c>
      <c r="AK126" s="7" t="e">
        <f ca="1" t="shared" si="49"/>
        <v>#VALUE!</v>
      </c>
      <c r="AL126" s="7" t="e">
        <f ca="1" t="shared" si="52"/>
        <v>#VALUE!</v>
      </c>
    </row>
    <row r="127" spans="1:38">
      <c r="A127" s="17"/>
      <c r="B127" s="17"/>
      <c r="C127" s="17"/>
      <c r="D127" s="17"/>
      <c r="E127" s="17"/>
      <c r="F127" s="17"/>
      <c r="G127" s="17"/>
      <c r="H127" s="17"/>
      <c r="I127" s="17"/>
      <c r="J127" s="20"/>
      <c r="K127" s="17"/>
      <c r="L127" s="17"/>
      <c r="M127" s="17"/>
      <c r="N127" s="17"/>
      <c r="O127" s="17"/>
      <c r="P127" s="17"/>
      <c r="Q127" s="17"/>
      <c r="R127" s="20"/>
      <c r="S127" s="20"/>
      <c r="T127" s="20"/>
      <c r="U127" s="17"/>
      <c r="V127" s="17"/>
      <c r="W127" s="17"/>
      <c r="X127" s="17"/>
      <c r="Y127" s="11" t="s">
        <v>308</v>
      </c>
      <c r="Z127" s="17">
        <f ca="1" t="shared" si="50"/>
        <v>0</v>
      </c>
      <c r="AA127" s="7" t="e">
        <v>#VALUE!</v>
      </c>
      <c r="AB127" s="7" t="e">
        <f ca="1" t="shared" si="48"/>
        <v>#VALUE!</v>
      </c>
      <c r="AE127" s="11" t="s">
        <v>308</v>
      </c>
      <c r="AF127" s="7" t="e">
        <f ca="1" t="shared" si="51"/>
        <v>#VALUE!</v>
      </c>
      <c r="AH127" s="7" t="s">
        <v>65</v>
      </c>
      <c r="AI127" s="16" t="e">
        <f ca="1" t="shared" ref="AI127:AI132" si="53">AF129</f>
        <v>#VALUE!</v>
      </c>
      <c r="AK127" s="7" t="e">
        <f ca="1" t="shared" si="49"/>
        <v>#VALUE!</v>
      </c>
      <c r="AL127" s="7" t="e">
        <f ca="1" t="shared" si="52"/>
        <v>#VALUE!</v>
      </c>
    </row>
    <row r="128" spans="1:38">
      <c r="A128" s="17" t="s">
        <v>351</v>
      </c>
      <c r="B128" s="17"/>
      <c r="C128" s="17"/>
      <c r="D128" s="16">
        <f>$H$37</f>
        <v>0</v>
      </c>
      <c r="E128" s="16"/>
      <c r="F128" s="16"/>
      <c r="G128" s="16">
        <f>1-D128</f>
        <v>1</v>
      </c>
      <c r="H128" s="16"/>
      <c r="I128" s="16"/>
      <c r="J128" s="13">
        <v>0</v>
      </c>
      <c r="K128" s="16"/>
      <c r="L128" s="16"/>
      <c r="M128" s="16">
        <v>0</v>
      </c>
      <c r="N128" s="16"/>
      <c r="O128" s="16"/>
      <c r="P128" s="17"/>
      <c r="Q128" s="17"/>
      <c r="R128" s="20"/>
      <c r="S128" s="20"/>
      <c r="T128" s="20"/>
      <c r="U128" s="16"/>
      <c r="V128" s="17"/>
      <c r="W128" s="17"/>
      <c r="X128" s="17"/>
      <c r="Y128" s="11" t="s">
        <v>309</v>
      </c>
      <c r="Z128" s="17">
        <f ca="1" t="shared" si="50"/>
        <v>0</v>
      </c>
      <c r="AA128" s="7" t="e">
        <v>#VALUE!</v>
      </c>
      <c r="AB128" s="7" t="e">
        <f ca="1" t="shared" si="48"/>
        <v>#VALUE!</v>
      </c>
      <c r="AE128" s="11" t="s">
        <v>309</v>
      </c>
      <c r="AF128" s="7" t="e">
        <f ca="1" t="shared" si="51"/>
        <v>#VALUE!</v>
      </c>
      <c r="AH128" s="7" t="s">
        <v>73</v>
      </c>
      <c r="AI128" s="16" t="e">
        <f ca="1" t="shared" si="53"/>
        <v>#VALUE!</v>
      </c>
      <c r="AK128" s="7" t="e">
        <f ca="1" t="shared" si="49"/>
        <v>#VALUE!</v>
      </c>
      <c r="AL128" s="7" t="e">
        <f ca="1" t="shared" si="52"/>
        <v>#VALUE!</v>
      </c>
    </row>
    <row r="129" spans="1:38">
      <c r="A129" s="17">
        <v>0</v>
      </c>
      <c r="B129" s="17" t="e">
        <f ca="1">(V129*W129+$V$122*$W$122)/$Q$41</f>
        <v>#VALUE!</v>
      </c>
      <c r="C129" s="17"/>
      <c r="D129" s="17">
        <f ca="1" t="array" ref="D129:D133">D128*$D$122:$D$126</f>
        <v>0</v>
      </c>
      <c r="E129" s="17" t="e">
        <f ca="1" t="array" ref="E129:E133">D128*$D$122:$D$126*$E$122:$E$126</f>
        <v>#VALUE!</v>
      </c>
      <c r="F129" s="17"/>
      <c r="G129" s="17">
        <f ca="1" t="array" ref="G129:G133">G128*$G$122:$G$126</f>
        <v>13.6875</v>
      </c>
      <c r="H129" s="17" t="e">
        <f ca="1" t="array" ref="H129:H133">G128*$G$122:$G$126*$H$122:$H$126</f>
        <v>#VALUE!</v>
      </c>
      <c r="I129" s="17"/>
      <c r="J129" s="17">
        <f ca="1" t="array" ref="J129:J133">J128*$J$122:$J$126</f>
        <v>0</v>
      </c>
      <c r="K129" s="17" t="e">
        <f ca="1" t="array" ref="K129:K133">J128*$J$122:$J$126*$K$122:$K$126</f>
        <v>#VALUE!</v>
      </c>
      <c r="L129" s="17"/>
      <c r="M129" s="17">
        <f ca="1" t="array" ref="M129:M133">M128*$M$122:$M$126</f>
        <v>0</v>
      </c>
      <c r="N129" s="17" t="e">
        <f ca="1" t="array" ref="N129:N133">M128*$M$122:$M$126*$N$122:$N$126</f>
        <v>#VALUE!</v>
      </c>
      <c r="O129" s="17"/>
      <c r="P129" s="17"/>
      <c r="Q129" s="17"/>
      <c r="R129" s="17"/>
      <c r="S129" s="17"/>
      <c r="T129" s="20"/>
      <c r="U129" s="17"/>
      <c r="V129" s="20">
        <f ca="1">$Q$41-$V$122</f>
        <v>271.5</v>
      </c>
      <c r="W129" s="17" t="e">
        <f ca="1">SUM(E129,H129,K129,N129)/SUM(D129,G129,J129,M129)</f>
        <v>#VALUE!</v>
      </c>
      <c r="X129" s="17"/>
      <c r="Y129" s="32" t="s">
        <v>65</v>
      </c>
      <c r="Z129" s="17">
        <f ca="1" t="shared" si="50"/>
        <v>0</v>
      </c>
      <c r="AA129" s="7" t="e">
        <v>#VALUE!</v>
      </c>
      <c r="AB129" s="7" t="e">
        <f ca="1" t="shared" si="48"/>
        <v>#VALUE!</v>
      </c>
      <c r="AE129" s="32" t="s">
        <v>65</v>
      </c>
      <c r="AF129" s="7" t="e">
        <f ca="1" t="shared" si="51"/>
        <v>#VALUE!</v>
      </c>
      <c r="AH129" s="7" t="s">
        <v>14</v>
      </c>
      <c r="AI129" s="16" t="e">
        <f ca="1" t="shared" si="53"/>
        <v>#VALUE!</v>
      </c>
      <c r="AK129" s="7" t="e">
        <f ca="1" t="shared" si="49"/>
        <v>#VALUE!</v>
      </c>
      <c r="AL129" s="7" t="e">
        <f ca="1" t="shared" si="52"/>
        <v>#VALUE!</v>
      </c>
    </row>
    <row r="130" spans="1:38">
      <c r="A130" s="17">
        <v>1</v>
      </c>
      <c r="B130" s="17" t="e">
        <f ca="1">(V130*W130+$V$123*$W$123)/$Q$41</f>
        <v>#VALUE!</v>
      </c>
      <c r="C130" s="17"/>
      <c r="D130" s="17">
        <v>0</v>
      </c>
      <c r="E130" s="17" t="e">
        <v>#VALUE!</v>
      </c>
      <c r="F130" s="17"/>
      <c r="G130" s="17">
        <v>14.4375</v>
      </c>
      <c r="H130" s="17" t="e">
        <v>#VALUE!</v>
      </c>
      <c r="I130" s="17"/>
      <c r="J130" s="17">
        <v>0</v>
      </c>
      <c r="K130" s="17" t="e">
        <v>#VALUE!</v>
      </c>
      <c r="L130" s="17"/>
      <c r="M130" s="17">
        <v>0</v>
      </c>
      <c r="N130" s="17" t="e">
        <v>#VALUE!</v>
      </c>
      <c r="O130" s="17"/>
      <c r="P130" s="17"/>
      <c r="Q130" s="17"/>
      <c r="R130" s="17"/>
      <c r="S130" s="17"/>
      <c r="T130" s="20"/>
      <c r="U130" s="17"/>
      <c r="V130" s="20">
        <f ca="1">$Q$41-$V$123</f>
        <v>269.8125</v>
      </c>
      <c r="W130" s="17" t="e">
        <f ca="1">SUM(E130,H130,K130,N130)/SUM(D130,G130,J130,M130)</f>
        <v>#VALUE!</v>
      </c>
      <c r="X130" s="17"/>
      <c r="Y130" s="32" t="s">
        <v>73</v>
      </c>
      <c r="Z130" s="17">
        <f ca="1" t="shared" si="50"/>
        <v>0</v>
      </c>
      <c r="AA130" s="7" t="e">
        <v>#VALUE!</v>
      </c>
      <c r="AB130" s="7" t="e">
        <f ca="1" t="shared" si="48"/>
        <v>#VALUE!</v>
      </c>
      <c r="AE130" s="32" t="s">
        <v>73</v>
      </c>
      <c r="AF130" s="7" t="e">
        <f ca="1" t="shared" si="51"/>
        <v>#VALUE!</v>
      </c>
      <c r="AH130" s="7" t="s">
        <v>35</v>
      </c>
      <c r="AI130" s="16" t="e">
        <f ca="1" t="shared" si="53"/>
        <v>#VALUE!</v>
      </c>
      <c r="AK130" s="7" t="e">
        <f ca="1" t="shared" si="49"/>
        <v>#VALUE!</v>
      </c>
      <c r="AL130" s="7" t="e">
        <f ca="1" t="shared" si="52"/>
        <v>#VALUE!</v>
      </c>
    </row>
    <row r="131" spans="1:38">
      <c r="A131" s="17">
        <v>2</v>
      </c>
      <c r="B131" s="17" t="e">
        <f ca="1">(V131*W131+$V$124*$W$124)/$Q$41</f>
        <v>#VALUE!</v>
      </c>
      <c r="C131" s="17"/>
      <c r="D131" s="17">
        <v>0</v>
      </c>
      <c r="E131" s="17" t="e">
        <v>#VALUE!</v>
      </c>
      <c r="F131" s="17"/>
      <c r="G131" s="17">
        <v>15.1875</v>
      </c>
      <c r="H131" s="17" t="e">
        <v>#VALUE!</v>
      </c>
      <c r="I131" s="17"/>
      <c r="J131" s="17">
        <v>0</v>
      </c>
      <c r="K131" s="17" t="e">
        <v>#VALUE!</v>
      </c>
      <c r="L131" s="17"/>
      <c r="M131" s="17">
        <v>0</v>
      </c>
      <c r="N131" s="17" t="e">
        <v>#VALUE!</v>
      </c>
      <c r="O131" s="17"/>
      <c r="P131" s="17"/>
      <c r="Q131" s="17"/>
      <c r="R131" s="17"/>
      <c r="S131" s="17"/>
      <c r="T131" s="20"/>
      <c r="U131" s="17"/>
      <c r="V131" s="20">
        <f ca="1">$Q$41-$V$124</f>
        <v>268.125</v>
      </c>
      <c r="W131" s="17" t="e">
        <f ca="1">SUM(E131,H131,K131,N131)/SUM(D131,G131,J131,M131)</f>
        <v>#VALUE!</v>
      </c>
      <c r="X131" s="17"/>
      <c r="Y131" s="32" t="s">
        <v>14</v>
      </c>
      <c r="Z131" s="17">
        <f ca="1" t="shared" si="50"/>
        <v>0</v>
      </c>
      <c r="AA131" s="7" t="e">
        <v>#VALUE!</v>
      </c>
      <c r="AB131" s="7" t="e">
        <f ca="1" t="shared" si="48"/>
        <v>#VALUE!</v>
      </c>
      <c r="AE131" s="32" t="s">
        <v>14</v>
      </c>
      <c r="AF131" s="7" t="e">
        <f ca="1" t="shared" si="51"/>
        <v>#VALUE!</v>
      </c>
      <c r="AH131" s="7" t="s">
        <v>45</v>
      </c>
      <c r="AI131" s="16" t="e">
        <f ca="1" t="shared" si="53"/>
        <v>#N/A</v>
      </c>
      <c r="AK131" s="7" t="e">
        <f ca="1" t="shared" si="49"/>
        <v>#VALUE!</v>
      </c>
      <c r="AL131" s="7" t="e">
        <f ca="1" t="shared" si="52"/>
        <v>#VALUE!</v>
      </c>
    </row>
    <row r="132" spans="1:38">
      <c r="A132" s="17">
        <v>3</v>
      </c>
      <c r="B132" s="17" t="e">
        <f ca="1">(V132*W132+$V$125*$W$125)/$Q$41</f>
        <v>#VALUE!</v>
      </c>
      <c r="C132" s="17"/>
      <c r="D132" s="17">
        <v>0</v>
      </c>
      <c r="E132" s="17" t="e">
        <v>#VALUE!</v>
      </c>
      <c r="F132" s="17"/>
      <c r="G132" s="17">
        <v>15.9375</v>
      </c>
      <c r="H132" s="17" t="e">
        <v>#VALUE!</v>
      </c>
      <c r="I132" s="17"/>
      <c r="J132" s="17">
        <v>0</v>
      </c>
      <c r="K132" s="17" t="e">
        <v>#VALUE!</v>
      </c>
      <c r="L132" s="17"/>
      <c r="M132" s="17">
        <v>0</v>
      </c>
      <c r="N132" s="17" t="e">
        <v>#VALUE!</v>
      </c>
      <c r="O132" s="17"/>
      <c r="P132" s="17"/>
      <c r="Q132" s="17"/>
      <c r="R132" s="17"/>
      <c r="S132" s="17"/>
      <c r="T132" s="20"/>
      <c r="U132" s="17"/>
      <c r="V132" s="20">
        <f ca="1">$Q$41-$V$125</f>
        <v>266.4375</v>
      </c>
      <c r="W132" s="17" t="e">
        <f ca="1">SUM(E132,H132,K132,N132)/SUM(D132,G132,J132,M132)</f>
        <v>#VALUE!</v>
      </c>
      <c r="X132" s="17"/>
      <c r="Y132" s="32" t="s">
        <v>35</v>
      </c>
      <c r="Z132" s="17" t="e">
        <f ca="1">S79</f>
        <v>#VALUE!</v>
      </c>
      <c r="AA132" s="7" t="e">
        <v>#VALUE!</v>
      </c>
      <c r="AB132" s="7" t="e">
        <f ca="1" t="shared" si="48"/>
        <v>#VALUE!</v>
      </c>
      <c r="AE132" s="32" t="s">
        <v>35</v>
      </c>
      <c r="AF132" s="7" t="e">
        <f ca="1" t="shared" si="51"/>
        <v>#VALUE!</v>
      </c>
      <c r="AH132" s="7" t="s">
        <v>25</v>
      </c>
      <c r="AI132" s="16" t="e">
        <f ca="1" t="shared" si="53"/>
        <v>#N/A</v>
      </c>
      <c r="AK132" s="7" t="e">
        <f ca="1" t="shared" si="49"/>
        <v>#VALUE!</v>
      </c>
      <c r="AL132" s="7" t="e">
        <f ca="1" t="shared" si="52"/>
        <v>#VALUE!</v>
      </c>
    </row>
    <row r="133" spans="1:32">
      <c r="A133" s="17">
        <v>4</v>
      </c>
      <c r="B133" s="17" t="e">
        <f ca="1">(V133*W133+$V$126*$W$126)/$Q$41</f>
        <v>#VALUE!</v>
      </c>
      <c r="C133" s="17"/>
      <c r="D133" s="17">
        <v>0</v>
      </c>
      <c r="E133" s="17" t="e">
        <v>#VALUE!</v>
      </c>
      <c r="F133" s="17"/>
      <c r="G133" s="17">
        <v>16.6875</v>
      </c>
      <c r="H133" s="17" t="e">
        <v>#VALUE!</v>
      </c>
      <c r="I133" s="17"/>
      <c r="J133" s="17">
        <v>0</v>
      </c>
      <c r="K133" s="17" t="e">
        <v>#VALUE!</v>
      </c>
      <c r="L133" s="17"/>
      <c r="M133" s="17">
        <v>0</v>
      </c>
      <c r="N133" s="17" t="e">
        <v>#VALUE!</v>
      </c>
      <c r="O133" s="17"/>
      <c r="P133" s="17"/>
      <c r="Q133" s="17"/>
      <c r="R133" s="17"/>
      <c r="S133" s="17"/>
      <c r="T133" s="20"/>
      <c r="U133" s="17"/>
      <c r="V133" s="20">
        <f ca="1">$Q$41-$V$126</f>
        <v>264.75</v>
      </c>
      <c r="W133" s="17" t="e">
        <f ca="1">SUM(E133,H133,K133,N133)/SUM(D133,G133,J133,M133)</f>
        <v>#VALUE!</v>
      </c>
      <c r="X133" s="17"/>
      <c r="Y133" s="32" t="s">
        <v>45</v>
      </c>
      <c r="Z133" s="17" t="e">
        <f ca="1">T79</f>
        <v>#N/A</v>
      </c>
      <c r="AA133" s="7" t="e">
        <v>#VALUE!</v>
      </c>
      <c r="AB133" s="7" t="e">
        <f ca="1" t="shared" si="48"/>
        <v>#N/A</v>
      </c>
      <c r="AE133" s="32" t="s">
        <v>45</v>
      </c>
      <c r="AF133" s="7" t="e">
        <f ca="1" t="shared" si="51"/>
        <v>#N/A</v>
      </c>
    </row>
    <row r="134" spans="1:3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20"/>
      <c r="S134" s="17"/>
      <c r="T134" s="20"/>
      <c r="U134" s="17"/>
      <c r="V134" s="17"/>
      <c r="W134" s="17"/>
      <c r="X134" s="17"/>
      <c r="Y134" s="32" t="s">
        <v>25</v>
      </c>
      <c r="Z134" s="17" t="e">
        <f ca="1">U79</f>
        <v>#N/A</v>
      </c>
      <c r="AA134" s="7" t="e">
        <v>#VALUE!</v>
      </c>
      <c r="AB134" s="7" t="e">
        <f ca="1" t="shared" si="48"/>
        <v>#N/A</v>
      </c>
      <c r="AE134" s="32" t="s">
        <v>25</v>
      </c>
      <c r="AF134" s="7" t="e">
        <f ca="1" t="shared" si="51"/>
        <v>#N/A</v>
      </c>
    </row>
    <row r="135" spans="1:28">
      <c r="A135" s="17" t="s">
        <v>352</v>
      </c>
      <c r="B135" s="17"/>
      <c r="C135" s="17"/>
      <c r="D135" s="16">
        <f>$H$37</f>
        <v>0</v>
      </c>
      <c r="E135" s="16"/>
      <c r="F135" s="16"/>
      <c r="G135" s="16">
        <v>0</v>
      </c>
      <c r="H135" s="16"/>
      <c r="I135" s="16"/>
      <c r="J135" s="13">
        <v>0</v>
      </c>
      <c r="K135" s="16"/>
      <c r="L135" s="16"/>
      <c r="M135" s="16">
        <f>1-D135</f>
        <v>1</v>
      </c>
      <c r="N135" s="16"/>
      <c r="O135" s="16"/>
      <c r="P135" s="17"/>
      <c r="Q135" s="17"/>
      <c r="R135" s="20"/>
      <c r="S135" s="17"/>
      <c r="T135" s="20"/>
      <c r="U135" s="16"/>
      <c r="V135" s="17"/>
      <c r="W135" s="17"/>
      <c r="X135" s="17"/>
      <c r="Y135" s="7" t="s">
        <v>341</v>
      </c>
      <c r="Z135" s="7" t="e">
        <f ca="1">SUM(Z123:Z134)</f>
        <v>#VALUE!</v>
      </c>
      <c r="AA135" s="7" t="e">
        <v>#VALUE!</v>
      </c>
      <c r="AB135" s="7" t="e">
        <f ca="1" t="shared" si="48"/>
        <v>#VALUE!</v>
      </c>
    </row>
    <row r="136" spans="1:27">
      <c r="A136" s="17">
        <v>0</v>
      </c>
      <c r="B136" s="17" t="e">
        <f ca="1">(V136*W136+$V$122*$W$122)/$Q$41</f>
        <v>#VALUE!</v>
      </c>
      <c r="C136" s="17"/>
      <c r="D136" s="17">
        <f ca="1" t="array" ref="D136:D140">D135*$D$122:$D$126</f>
        <v>0</v>
      </c>
      <c r="E136" s="17" t="e">
        <f ca="1" t="array" ref="E136:E140">D135*$D$122:$D$126*$E$122:$E$126</f>
        <v>#VALUE!</v>
      </c>
      <c r="F136" s="17"/>
      <c r="G136" s="17">
        <f ca="1" t="array" ref="G136:G140">G135*$G$122:$G$126</f>
        <v>0</v>
      </c>
      <c r="H136" s="17" t="e">
        <f ca="1" t="array" ref="H136:H140">G135*$G$122:$G$126*$H$122:$H$126</f>
        <v>#VALUE!</v>
      </c>
      <c r="I136" s="17"/>
      <c r="J136" s="17">
        <f ca="1" t="array" ref="J136:J140">J135*$J$122:$J$126</f>
        <v>0</v>
      </c>
      <c r="K136" s="17" t="e">
        <f ca="1" t="array" ref="K136:K140">J135*$J$122:$J$126*$K$122:$K$126</f>
        <v>#VALUE!</v>
      </c>
      <c r="L136" s="17"/>
      <c r="M136" s="17">
        <f ca="1" t="array" ref="M136:M140">M135*$M$122:$M$126</f>
        <v>16.125</v>
      </c>
      <c r="N136" s="17" t="e">
        <f ca="1" t="array" ref="N136:N140">M135*$M$122:$M$126*$N$122:$N$126</f>
        <v>#VALUE!</v>
      </c>
      <c r="O136" s="17"/>
      <c r="P136" s="17"/>
      <c r="Q136" s="17"/>
      <c r="R136" s="20"/>
      <c r="S136" s="17"/>
      <c r="T136" s="20"/>
      <c r="U136" s="17"/>
      <c r="V136" s="20">
        <f ca="1">$Q$41-$V$122</f>
        <v>271.5</v>
      </c>
      <c r="W136" s="17" t="e">
        <f ca="1">SUM(E136,H136,K136,N136)/SUM(D136,G136,J136,M136)</f>
        <v>#VALUE!</v>
      </c>
      <c r="X136" s="17"/>
      <c r="Y136" s="17"/>
      <c r="Z136" s="17"/>
      <c r="AA136" s="17"/>
    </row>
    <row r="137" spans="1:27">
      <c r="A137" s="17">
        <v>1</v>
      </c>
      <c r="B137" s="17" t="e">
        <f ca="1">(V137*W137+$V$123*$W$123)/$Q$41</f>
        <v>#VALUE!</v>
      </c>
      <c r="C137" s="17"/>
      <c r="D137" s="17">
        <v>0</v>
      </c>
      <c r="E137" s="17" t="e">
        <v>#VALUE!</v>
      </c>
      <c r="F137" s="17"/>
      <c r="G137" s="17">
        <v>0</v>
      </c>
      <c r="H137" s="17" t="e">
        <v>#VALUE!</v>
      </c>
      <c r="I137" s="17"/>
      <c r="J137" s="17">
        <v>0</v>
      </c>
      <c r="K137" s="17" t="e">
        <v>#VALUE!</v>
      </c>
      <c r="L137" s="17"/>
      <c r="M137" s="17">
        <v>17.0625</v>
      </c>
      <c r="N137" s="17" t="e">
        <v>#VALUE!</v>
      </c>
      <c r="O137" s="17"/>
      <c r="P137" s="17"/>
      <c r="Q137" s="17"/>
      <c r="R137" s="20"/>
      <c r="S137" s="17"/>
      <c r="T137" s="20"/>
      <c r="U137" s="17"/>
      <c r="V137" s="20">
        <f ca="1">$Q$41-$V$123</f>
        <v>269.8125</v>
      </c>
      <c r="W137" s="17" t="e">
        <f ca="1">SUM(E137,H137,K137,N137)/SUM(D137,G137,J137,M137)</f>
        <v>#VALUE!</v>
      </c>
      <c r="X137" s="17"/>
      <c r="Y137" s="17"/>
      <c r="Z137" s="17"/>
      <c r="AA137" s="17"/>
    </row>
    <row r="138" spans="1:27">
      <c r="A138" s="17">
        <v>2</v>
      </c>
      <c r="B138" s="17" t="e">
        <f ca="1">(V138*W138+$V$124*$W$124)/$Q$41</f>
        <v>#VALUE!</v>
      </c>
      <c r="C138" s="17"/>
      <c r="D138" s="17">
        <v>0</v>
      </c>
      <c r="E138" s="17" t="e">
        <v>#VALUE!</v>
      </c>
      <c r="F138" s="17"/>
      <c r="G138" s="17">
        <v>0</v>
      </c>
      <c r="H138" s="17" t="e">
        <v>#VALUE!</v>
      </c>
      <c r="I138" s="17"/>
      <c r="J138" s="17">
        <v>0</v>
      </c>
      <c r="K138" s="17" t="e">
        <v>#VALUE!</v>
      </c>
      <c r="L138" s="17"/>
      <c r="M138" s="17">
        <v>18</v>
      </c>
      <c r="N138" s="17" t="e">
        <v>#VALUE!</v>
      </c>
      <c r="O138" s="17"/>
      <c r="P138" s="17"/>
      <c r="Q138" s="17"/>
      <c r="R138" s="20"/>
      <c r="S138" s="17"/>
      <c r="T138" s="20"/>
      <c r="U138" s="17"/>
      <c r="V138" s="20">
        <f ca="1">$Q$41-$V$124</f>
        <v>268.125</v>
      </c>
      <c r="W138" s="17" t="e">
        <f ca="1">SUM(E138,H138,K138,N138)/SUM(D138,G138,J138,M138)</f>
        <v>#VALUE!</v>
      </c>
      <c r="X138" s="17"/>
      <c r="Y138" s="17"/>
      <c r="Z138" s="17"/>
      <c r="AA138" s="17"/>
    </row>
    <row r="139" spans="1:27">
      <c r="A139" s="17">
        <v>3</v>
      </c>
      <c r="B139" s="17" t="e">
        <f ca="1">(V139*W139+$V$125*$W$125)/$Q$41</f>
        <v>#VALUE!</v>
      </c>
      <c r="C139" s="17"/>
      <c r="D139" s="17">
        <v>0</v>
      </c>
      <c r="E139" s="17" t="e">
        <v>#VALUE!</v>
      </c>
      <c r="F139" s="17"/>
      <c r="G139" s="17">
        <v>0</v>
      </c>
      <c r="H139" s="17" t="e">
        <v>#VALUE!</v>
      </c>
      <c r="I139" s="17"/>
      <c r="J139" s="17">
        <v>0</v>
      </c>
      <c r="K139" s="17" t="e">
        <v>#VALUE!</v>
      </c>
      <c r="L139" s="17"/>
      <c r="M139" s="17">
        <v>18.9375</v>
      </c>
      <c r="N139" s="17" t="e">
        <v>#VALUE!</v>
      </c>
      <c r="O139" s="17"/>
      <c r="P139" s="17"/>
      <c r="Q139" s="17"/>
      <c r="R139" s="20"/>
      <c r="S139" s="17"/>
      <c r="T139" s="20"/>
      <c r="U139" s="17"/>
      <c r="V139" s="20">
        <f ca="1">$Q$41-$V$125</f>
        <v>266.4375</v>
      </c>
      <c r="W139" s="17" t="e">
        <f ca="1">SUM(E139,H139,K139,N139)/SUM(D139,G139,J139,M139)</f>
        <v>#VALUE!</v>
      </c>
      <c r="X139" s="17"/>
      <c r="Y139" s="17"/>
      <c r="Z139" s="17"/>
      <c r="AA139" s="17"/>
    </row>
    <row r="140" spans="1:27">
      <c r="A140" s="17">
        <v>4</v>
      </c>
      <c r="B140" s="17" t="e">
        <f ca="1">(V140*W140+$V$126*$W$126)/$Q$41</f>
        <v>#VALUE!</v>
      </c>
      <c r="C140" s="17"/>
      <c r="D140" s="17">
        <v>0</v>
      </c>
      <c r="E140" s="17" t="e">
        <v>#VALUE!</v>
      </c>
      <c r="F140" s="17"/>
      <c r="G140" s="17">
        <v>0</v>
      </c>
      <c r="H140" s="17" t="e">
        <v>#VALUE!</v>
      </c>
      <c r="I140" s="17"/>
      <c r="J140" s="17">
        <v>0</v>
      </c>
      <c r="K140" s="17" t="e">
        <v>#VALUE!</v>
      </c>
      <c r="L140" s="17"/>
      <c r="M140" s="17">
        <v>19.875</v>
      </c>
      <c r="N140" s="17" t="e">
        <v>#VALUE!</v>
      </c>
      <c r="O140" s="17"/>
      <c r="P140" s="17"/>
      <c r="Q140" s="17"/>
      <c r="R140" s="20"/>
      <c r="S140" s="17"/>
      <c r="T140" s="20"/>
      <c r="U140" s="17"/>
      <c r="V140" s="20">
        <f ca="1">$Q$41-$V$126</f>
        <v>264.75</v>
      </c>
      <c r="W140" s="17" t="e">
        <f ca="1">SUM(E140,H140,K140,N140)/SUM(D140,G140,J140,M140)</f>
        <v>#VALUE!</v>
      </c>
      <c r="X140" s="17"/>
      <c r="Y140" s="17"/>
      <c r="Z140" s="17"/>
      <c r="AA140" s="17"/>
    </row>
    <row r="141" spans="1:27">
      <c r="A141" s="17"/>
      <c r="B141" s="17"/>
      <c r="C141" s="17"/>
      <c r="D141" s="17"/>
      <c r="E141" s="17"/>
      <c r="F141" s="17"/>
      <c r="G141" s="17"/>
      <c r="H141" s="11"/>
      <c r="I141" s="17"/>
      <c r="J141" s="17"/>
      <c r="K141" s="17"/>
      <c r="L141" s="17"/>
      <c r="M141" s="17"/>
      <c r="N141" s="17"/>
      <c r="O141" s="17"/>
      <c r="P141" s="17"/>
      <c r="Q141" s="17"/>
      <c r="R141" s="20"/>
      <c r="S141" s="17"/>
      <c r="T141" s="20"/>
      <c r="U141" s="17"/>
      <c r="V141" s="17"/>
      <c r="W141" s="17"/>
      <c r="X141" s="17"/>
      <c r="Y141" s="17"/>
      <c r="Z141" s="17"/>
      <c r="AA141" s="17"/>
    </row>
    <row r="142" spans="1:27">
      <c r="A142" s="17" t="s">
        <v>353</v>
      </c>
      <c r="B142" s="17"/>
      <c r="C142" s="17"/>
      <c r="D142" s="16">
        <v>0</v>
      </c>
      <c r="E142" s="16"/>
      <c r="F142" s="16"/>
      <c r="G142" s="16">
        <v>0</v>
      </c>
      <c r="H142" s="16"/>
      <c r="I142" s="16"/>
      <c r="J142" s="13">
        <v>0</v>
      </c>
      <c r="K142" s="16"/>
      <c r="L142" s="16"/>
      <c r="M142" s="16">
        <v>1</v>
      </c>
      <c r="N142" s="16"/>
      <c r="O142" s="16"/>
      <c r="P142" s="17"/>
      <c r="Q142" s="17"/>
      <c r="R142" s="20"/>
      <c r="S142" s="17"/>
      <c r="T142" s="20"/>
      <c r="U142" s="16"/>
      <c r="V142" s="17"/>
      <c r="W142" s="17"/>
      <c r="X142" s="17"/>
      <c r="Y142" s="17"/>
      <c r="Z142" s="17"/>
      <c r="AA142" s="17"/>
    </row>
    <row r="143" spans="1:27">
      <c r="A143" s="17">
        <v>0</v>
      </c>
      <c r="B143" s="17" t="e">
        <f ca="1">(V143*W143+$V$122*$W$122)/$Q$41</f>
        <v>#VALUE!</v>
      </c>
      <c r="C143" s="17"/>
      <c r="D143" s="17">
        <f ca="1" t="array" ref="D143:D147">D142*$D$122:$D$126</f>
        <v>0</v>
      </c>
      <c r="E143" s="17" t="e">
        <f ca="1" t="array" ref="E143:E147">D142*$D$122:$D$126*$E$122:$E$126</f>
        <v>#VALUE!</v>
      </c>
      <c r="F143" s="17"/>
      <c r="G143" s="17">
        <f ca="1" t="array" ref="G143:G147">G142*$G$122:$G$126</f>
        <v>0</v>
      </c>
      <c r="H143" s="17" t="e">
        <f ca="1" t="array" ref="H143:H147">G142*$G$122:$G$126*$H$122:$H$126</f>
        <v>#VALUE!</v>
      </c>
      <c r="I143" s="17"/>
      <c r="J143" s="17">
        <f ca="1" t="array" ref="J143:J147">J142*$J$122:$J$126</f>
        <v>0</v>
      </c>
      <c r="K143" s="17" t="e">
        <f ca="1" t="array" ref="K143:K147">J142*$J$122:$J$126*$K$122:$K$126</f>
        <v>#VALUE!</v>
      </c>
      <c r="L143" s="17"/>
      <c r="M143" s="17">
        <f ca="1" t="array" ref="M143:M147">M142*$M$122:$M$126</f>
        <v>16.125</v>
      </c>
      <c r="N143" s="17" t="e">
        <f ca="1" t="array" ref="N143:N147">M142*$M$122:$M$126*$N$122:$N$126</f>
        <v>#VALUE!</v>
      </c>
      <c r="O143" s="17"/>
      <c r="P143" s="17"/>
      <c r="Q143" s="17"/>
      <c r="R143" s="20"/>
      <c r="S143" s="17"/>
      <c r="T143" s="20"/>
      <c r="U143" s="17"/>
      <c r="V143" s="20">
        <f ca="1">$Q$41-$V$122</f>
        <v>271.5</v>
      </c>
      <c r="W143" s="17" t="e">
        <f ca="1">SUM(E143,H143,K143,N143)/SUM(D143,G143,J143,M143)</f>
        <v>#VALUE!</v>
      </c>
      <c r="X143" s="17"/>
      <c r="Y143" s="17"/>
      <c r="Z143" s="17"/>
      <c r="AA143" s="17"/>
    </row>
    <row r="144" spans="1:27">
      <c r="A144" s="17">
        <v>1</v>
      </c>
      <c r="B144" s="17" t="e">
        <f ca="1">(V144*W144+$V$123*$W$123)/$Q$41</f>
        <v>#VALUE!</v>
      </c>
      <c r="C144" s="17"/>
      <c r="D144" s="17">
        <v>0</v>
      </c>
      <c r="E144" s="17" t="e">
        <v>#VALUE!</v>
      </c>
      <c r="F144" s="17"/>
      <c r="G144" s="17">
        <v>0</v>
      </c>
      <c r="H144" s="17" t="e">
        <v>#VALUE!</v>
      </c>
      <c r="I144" s="17"/>
      <c r="J144" s="17">
        <v>0</v>
      </c>
      <c r="K144" s="17" t="e">
        <v>#VALUE!</v>
      </c>
      <c r="L144" s="17"/>
      <c r="M144" s="17">
        <v>17.0625</v>
      </c>
      <c r="N144" s="17" t="e">
        <v>#VALUE!</v>
      </c>
      <c r="O144" s="17"/>
      <c r="P144" s="17"/>
      <c r="Q144" s="17"/>
      <c r="R144" s="20"/>
      <c r="S144" s="17"/>
      <c r="T144" s="20"/>
      <c r="U144" s="17"/>
      <c r="V144" s="20">
        <f ca="1">$Q$41-$V$123</f>
        <v>269.8125</v>
      </c>
      <c r="W144" s="17" t="e">
        <f ca="1">SUM(E144,H144,K144,N144)/SUM(D144,G144,J144,M144)</f>
        <v>#VALUE!</v>
      </c>
      <c r="X144" s="17"/>
      <c r="Y144" s="17"/>
      <c r="Z144" s="17"/>
      <c r="AA144" s="17"/>
    </row>
    <row r="145" spans="1:27">
      <c r="A145" s="17">
        <v>2</v>
      </c>
      <c r="B145" s="17" t="e">
        <f ca="1">(V145*W145+$V$124*$W$124)/$Q$41</f>
        <v>#VALUE!</v>
      </c>
      <c r="C145" s="17"/>
      <c r="D145" s="17">
        <v>0</v>
      </c>
      <c r="E145" s="17" t="e">
        <v>#VALUE!</v>
      </c>
      <c r="F145" s="17"/>
      <c r="G145" s="17">
        <v>0</v>
      </c>
      <c r="H145" s="17" t="e">
        <v>#VALUE!</v>
      </c>
      <c r="I145" s="17"/>
      <c r="J145" s="17">
        <v>0</v>
      </c>
      <c r="K145" s="17" t="e">
        <v>#VALUE!</v>
      </c>
      <c r="L145" s="17"/>
      <c r="M145" s="17">
        <v>18</v>
      </c>
      <c r="N145" s="17" t="e">
        <v>#VALUE!</v>
      </c>
      <c r="O145" s="17"/>
      <c r="P145" s="17"/>
      <c r="Q145" s="17"/>
      <c r="R145" s="20"/>
      <c r="S145" s="17"/>
      <c r="T145" s="20"/>
      <c r="U145" s="17"/>
      <c r="V145" s="20">
        <f ca="1">$Q$41-$V$124</f>
        <v>268.125</v>
      </c>
      <c r="W145" s="17" t="e">
        <f ca="1">SUM(E145,H145,K145,N145)/SUM(D145,G145,J145,M145)</f>
        <v>#VALUE!</v>
      </c>
      <c r="X145" s="17"/>
      <c r="Y145" s="17"/>
      <c r="Z145" s="17"/>
      <c r="AA145" s="17"/>
    </row>
    <row r="146" spans="1:27">
      <c r="A146" s="17">
        <v>3</v>
      </c>
      <c r="B146" s="17" t="e">
        <f ca="1">(V146*W146+$V$125*$W$125)/$Q$41</f>
        <v>#VALUE!</v>
      </c>
      <c r="C146" s="17"/>
      <c r="D146" s="17">
        <v>0</v>
      </c>
      <c r="E146" s="17" t="e">
        <v>#VALUE!</v>
      </c>
      <c r="F146" s="17"/>
      <c r="G146" s="17">
        <v>0</v>
      </c>
      <c r="H146" s="17" t="e">
        <v>#VALUE!</v>
      </c>
      <c r="I146" s="17"/>
      <c r="J146" s="17">
        <v>0</v>
      </c>
      <c r="K146" s="17" t="e">
        <v>#VALUE!</v>
      </c>
      <c r="L146" s="17"/>
      <c r="M146" s="17">
        <v>18.9375</v>
      </c>
      <c r="N146" s="17" t="e">
        <v>#VALUE!</v>
      </c>
      <c r="O146" s="17"/>
      <c r="P146" s="17"/>
      <c r="Q146" s="17"/>
      <c r="R146" s="20"/>
      <c r="S146" s="17"/>
      <c r="T146" s="20"/>
      <c r="U146" s="17"/>
      <c r="V146" s="20">
        <f ca="1">$Q$41-$V$125</f>
        <v>266.4375</v>
      </c>
      <c r="W146" s="17" t="e">
        <f ca="1">SUM(E146,H146,K146,N146)/SUM(D146,G146,J146,M146)</f>
        <v>#VALUE!</v>
      </c>
      <c r="X146" s="17"/>
      <c r="Y146" s="17"/>
      <c r="Z146" s="17"/>
      <c r="AA146" s="17"/>
    </row>
    <row r="147" spans="1:27">
      <c r="A147" s="17">
        <v>4</v>
      </c>
      <c r="B147" s="17" t="e">
        <f ca="1">(V147*W147+$V$126*$W$126)/$Q$41</f>
        <v>#VALUE!</v>
      </c>
      <c r="C147" s="17"/>
      <c r="D147" s="17">
        <v>0</v>
      </c>
      <c r="E147" s="17" t="e">
        <v>#VALUE!</v>
      </c>
      <c r="F147" s="17"/>
      <c r="G147" s="17">
        <v>0</v>
      </c>
      <c r="H147" s="17" t="e">
        <v>#VALUE!</v>
      </c>
      <c r="I147" s="17"/>
      <c r="J147" s="17">
        <v>0</v>
      </c>
      <c r="K147" s="17" t="e">
        <v>#VALUE!</v>
      </c>
      <c r="L147" s="17"/>
      <c r="M147" s="17">
        <v>19.875</v>
      </c>
      <c r="N147" s="17" t="e">
        <v>#VALUE!</v>
      </c>
      <c r="O147" s="17"/>
      <c r="P147" s="17"/>
      <c r="Q147" s="17"/>
      <c r="R147" s="20"/>
      <c r="S147" s="17"/>
      <c r="T147" s="20"/>
      <c r="U147" s="17"/>
      <c r="V147" s="20">
        <f ca="1">$Q$41-$V$126</f>
        <v>264.75</v>
      </c>
      <c r="W147" s="17" t="e">
        <f ca="1">SUM(E147,H147,K147,N147)/SUM(D147,G147,J147,M147)</f>
        <v>#VALUE!</v>
      </c>
      <c r="X147" s="17"/>
      <c r="Y147" s="17"/>
      <c r="Z147" s="17"/>
      <c r="AA147" s="17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20"/>
      <c r="S148" s="17"/>
      <c r="T148" s="20"/>
      <c r="U148" s="17"/>
      <c r="V148" s="17"/>
      <c r="W148" s="17"/>
      <c r="X148" s="17"/>
      <c r="Y148" s="17"/>
      <c r="Z148" s="17"/>
      <c r="AA148" s="17"/>
    </row>
    <row r="149" spans="1:27">
      <c r="A149" s="17" t="s">
        <v>354</v>
      </c>
      <c r="B149" s="17"/>
      <c r="C149" s="17"/>
      <c r="D149" s="16">
        <v>0</v>
      </c>
      <c r="E149" s="16"/>
      <c r="F149" s="16"/>
      <c r="G149" s="16">
        <v>0</v>
      </c>
      <c r="H149" s="16"/>
      <c r="I149" s="16"/>
      <c r="J149" s="13">
        <v>1</v>
      </c>
      <c r="K149" s="16"/>
      <c r="L149" s="16"/>
      <c r="M149" s="16">
        <v>0</v>
      </c>
      <c r="N149" s="16"/>
      <c r="O149" s="16"/>
      <c r="P149" s="17"/>
      <c r="Q149" s="17"/>
      <c r="R149" s="20"/>
      <c r="S149" s="17"/>
      <c r="T149" s="20"/>
      <c r="U149" s="16"/>
      <c r="V149" s="17"/>
      <c r="W149" s="17"/>
      <c r="X149" s="17"/>
      <c r="Y149" s="17"/>
      <c r="Z149" s="17"/>
      <c r="AA149" s="17"/>
    </row>
    <row r="150" spans="1:27">
      <c r="A150" s="17">
        <v>0</v>
      </c>
      <c r="B150" s="17" t="e">
        <f ca="1">(V150*W150+$V$122*$W$122)/$Q$41</f>
        <v>#VALUE!</v>
      </c>
      <c r="C150" s="17"/>
      <c r="D150" s="17">
        <f ca="1" t="array" ref="D150:D154">D149*$D$122:$D$126</f>
        <v>0</v>
      </c>
      <c r="E150" s="17" t="e">
        <f ca="1" t="array" ref="E150:E154">D149*$D$122:$D$126*$E$122:$E$126</f>
        <v>#VALUE!</v>
      </c>
      <c r="F150" s="17"/>
      <c r="G150" s="17">
        <f ca="1" t="array" ref="G150:G154">G149*$G$122:$G$126</f>
        <v>0</v>
      </c>
      <c r="H150" s="17" t="e">
        <f ca="1" t="array" ref="H150:H154">G149*$G$122:$G$126*$H$122:$H$126</f>
        <v>#VALUE!</v>
      </c>
      <c r="I150" s="17"/>
      <c r="J150" s="17">
        <f ca="1" t="array" ref="J150:J154">J149*$J$122:$J$126</f>
        <v>34.6875</v>
      </c>
      <c r="K150" s="17" t="e">
        <f ca="1" t="array" ref="K150:K154">J149*$J$122:$J$126*$K$122:$K$126</f>
        <v>#VALUE!</v>
      </c>
      <c r="L150" s="17"/>
      <c r="M150" s="17">
        <f ca="1" t="array" ref="M150:M154">M149*$M$122:$M$126</f>
        <v>0</v>
      </c>
      <c r="N150" s="17" t="e">
        <f ca="1" t="array" ref="N150:N154">M149*$M$122:$M$126*$N$122:$N$126</f>
        <v>#VALUE!</v>
      </c>
      <c r="O150" s="17"/>
      <c r="P150" s="17"/>
      <c r="Q150" s="17"/>
      <c r="R150" s="20"/>
      <c r="S150" s="17"/>
      <c r="T150" s="20"/>
      <c r="U150" s="17"/>
      <c r="V150" s="20">
        <f ca="1">$Q$41-$V$122</f>
        <v>271.5</v>
      </c>
      <c r="W150" s="17" t="e">
        <f ca="1">SUM(E150,H150,K150,N150)/SUM(D150,G150,J150,M150)</f>
        <v>#VALUE!</v>
      </c>
      <c r="X150" s="17"/>
      <c r="Y150" s="17"/>
      <c r="Z150" s="17"/>
      <c r="AA150" s="17"/>
    </row>
    <row r="151" spans="1:27">
      <c r="A151" s="17">
        <v>1</v>
      </c>
      <c r="B151" s="17" t="e">
        <f ca="1">(V151*W151+$V$123*$W$123)/$Q$41</f>
        <v>#VALUE!</v>
      </c>
      <c r="C151" s="17"/>
      <c r="D151" s="17">
        <v>0</v>
      </c>
      <c r="E151" s="17" t="e">
        <v>#VALUE!</v>
      </c>
      <c r="F151" s="17"/>
      <c r="G151" s="17">
        <v>0</v>
      </c>
      <c r="H151" s="17" t="e">
        <v>#VALUE!</v>
      </c>
      <c r="I151" s="17"/>
      <c r="J151" s="17">
        <v>36.75</v>
      </c>
      <c r="K151" s="17" t="e">
        <v>#VALUE!</v>
      </c>
      <c r="L151" s="17"/>
      <c r="M151" s="17">
        <v>0</v>
      </c>
      <c r="N151" s="17" t="e">
        <v>#VALUE!</v>
      </c>
      <c r="O151" s="17"/>
      <c r="P151" s="17"/>
      <c r="Q151" s="17"/>
      <c r="R151" s="20"/>
      <c r="S151" s="17"/>
      <c r="T151" s="20"/>
      <c r="U151" s="17"/>
      <c r="V151" s="20">
        <f ca="1">$Q$41-$V$123</f>
        <v>269.8125</v>
      </c>
      <c r="W151" s="17" t="e">
        <f ca="1">SUM(E151,H151,K151,N151)/SUM(D151,G151,J151,M151)</f>
        <v>#VALUE!</v>
      </c>
      <c r="X151" s="17"/>
      <c r="Y151" s="17"/>
      <c r="Z151" s="17"/>
      <c r="AA151" s="17"/>
    </row>
    <row r="152" spans="1:27">
      <c r="A152" s="17">
        <v>2</v>
      </c>
      <c r="B152" s="17" t="e">
        <f ca="1">(V152*W152+$V$124*$W$124)/$Q$41</f>
        <v>#VALUE!</v>
      </c>
      <c r="C152" s="17"/>
      <c r="D152" s="17">
        <v>0</v>
      </c>
      <c r="E152" s="17" t="e">
        <v>#VALUE!</v>
      </c>
      <c r="F152" s="17"/>
      <c r="G152" s="17">
        <v>0</v>
      </c>
      <c r="H152" s="17" t="e">
        <v>#VALUE!</v>
      </c>
      <c r="I152" s="17"/>
      <c r="J152" s="17">
        <v>38.8125</v>
      </c>
      <c r="K152" s="17" t="e">
        <v>#VALUE!</v>
      </c>
      <c r="L152" s="17"/>
      <c r="M152" s="17">
        <v>0</v>
      </c>
      <c r="N152" s="17" t="e">
        <v>#VALUE!</v>
      </c>
      <c r="O152" s="17"/>
      <c r="P152" s="17"/>
      <c r="Q152" s="17"/>
      <c r="R152" s="20"/>
      <c r="S152" s="17"/>
      <c r="T152" s="20"/>
      <c r="U152" s="17"/>
      <c r="V152" s="20">
        <f ca="1">$Q$41-$V$124</f>
        <v>268.125</v>
      </c>
      <c r="W152" s="17" t="e">
        <f ca="1">SUM(E152,H152,K152,N152)/SUM(D152,G152,J152,M152)</f>
        <v>#VALUE!</v>
      </c>
      <c r="X152" s="17"/>
      <c r="Y152" s="17"/>
      <c r="Z152" s="17"/>
      <c r="AA152" s="17"/>
    </row>
    <row r="153" spans="1:27">
      <c r="A153" s="17">
        <v>3</v>
      </c>
      <c r="B153" s="17" t="e">
        <f ca="1">(V153*W153+$V$125*$W$125)/$Q$41</f>
        <v>#VALUE!</v>
      </c>
      <c r="C153" s="17"/>
      <c r="D153" s="17">
        <v>0</v>
      </c>
      <c r="E153" s="17" t="e">
        <v>#VALUE!</v>
      </c>
      <c r="F153" s="17"/>
      <c r="G153" s="17">
        <v>0</v>
      </c>
      <c r="H153" s="17" t="e">
        <v>#VALUE!</v>
      </c>
      <c r="I153" s="17"/>
      <c r="J153" s="17">
        <v>40.875</v>
      </c>
      <c r="K153" s="17" t="e">
        <v>#VALUE!</v>
      </c>
      <c r="L153" s="17"/>
      <c r="M153" s="17">
        <v>0</v>
      </c>
      <c r="N153" s="17" t="e">
        <v>#VALUE!</v>
      </c>
      <c r="O153" s="17"/>
      <c r="P153" s="17"/>
      <c r="Q153" s="17"/>
      <c r="R153" s="17"/>
      <c r="S153" s="17"/>
      <c r="T153" s="17"/>
      <c r="U153" s="17"/>
      <c r="V153" s="20">
        <f ca="1">$Q$41-$V$125</f>
        <v>266.4375</v>
      </c>
      <c r="W153" s="17" t="e">
        <f ca="1">SUM(E153,H153,K153,N153)/SUM(D153,G153,J153,M153)</f>
        <v>#VALUE!</v>
      </c>
      <c r="X153" s="17"/>
      <c r="Y153" s="17"/>
      <c r="Z153" s="17"/>
      <c r="AA153" s="17"/>
    </row>
    <row r="154" spans="1:27">
      <c r="A154" s="17">
        <v>4</v>
      </c>
      <c r="B154" s="17" t="e">
        <f ca="1">(V154*W154+$V$126*$W$126)/$Q$41</f>
        <v>#VALUE!</v>
      </c>
      <c r="C154" s="17"/>
      <c r="D154" s="17">
        <v>0</v>
      </c>
      <c r="E154" s="17" t="e">
        <v>#VALUE!</v>
      </c>
      <c r="F154" s="17"/>
      <c r="G154" s="17">
        <v>0</v>
      </c>
      <c r="H154" s="17" t="e">
        <v>#VALUE!</v>
      </c>
      <c r="I154" s="17"/>
      <c r="J154" s="17">
        <v>42.9375</v>
      </c>
      <c r="K154" s="17" t="e">
        <v>#VALUE!</v>
      </c>
      <c r="L154" s="17"/>
      <c r="M154" s="17">
        <v>0</v>
      </c>
      <c r="N154" s="17" t="e">
        <v>#VALUE!</v>
      </c>
      <c r="O154" s="17"/>
      <c r="P154" s="17"/>
      <c r="Q154" s="17"/>
      <c r="R154" s="17"/>
      <c r="S154" s="17"/>
      <c r="T154" s="17"/>
      <c r="U154" s="17"/>
      <c r="V154" s="20">
        <f ca="1">$Q$41-$V$126</f>
        <v>264.75</v>
      </c>
      <c r="W154" s="17" t="e">
        <f ca="1">SUM(E154,H154,K154,N154)/SUM(D154,G154,J154,M154)</f>
        <v>#VALUE!</v>
      </c>
      <c r="X154" s="17"/>
      <c r="Y154" s="17"/>
      <c r="Z154" s="17"/>
      <c r="AA154" s="17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20"/>
      <c r="X155" s="17"/>
      <c r="Y155" s="17"/>
      <c r="Z155" s="17"/>
      <c r="AA155" s="17"/>
    </row>
    <row r="156" spans="1:27">
      <c r="A156" s="17"/>
      <c r="B156" s="17"/>
      <c r="C156" s="17"/>
      <c r="D156" s="16"/>
      <c r="E156" s="16"/>
      <c r="F156" s="16"/>
      <c r="G156" s="16"/>
      <c r="H156" s="16"/>
      <c r="I156" s="16"/>
      <c r="J156" s="13"/>
      <c r="K156" s="16"/>
      <c r="L156" s="16"/>
      <c r="M156" s="16"/>
      <c r="N156" s="16"/>
      <c r="O156" s="16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20"/>
      <c r="W157" s="17"/>
      <c r="X157" s="17"/>
      <c r="Y157" s="17"/>
      <c r="Z157" s="17"/>
      <c r="AA157" s="17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20"/>
      <c r="W158" s="17"/>
      <c r="X158" s="17"/>
      <c r="Y158" s="17"/>
      <c r="Z158" s="17"/>
      <c r="AA158" s="17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20"/>
      <c r="W159" s="17"/>
      <c r="X159" s="17"/>
      <c r="Y159" s="17"/>
      <c r="Z159" s="17"/>
      <c r="AA159" s="17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20"/>
      <c r="W160" s="17"/>
      <c r="X160" s="17"/>
      <c r="Y160" s="17"/>
      <c r="Z160" s="17"/>
      <c r="AA160" s="17"/>
    </row>
    <row r="161" spans="1:27">
      <c r="A161" s="20" t="s">
        <v>271</v>
      </c>
      <c r="B161" s="20" t="s">
        <v>334</v>
      </c>
      <c r="C161" s="20" t="s">
        <v>304</v>
      </c>
      <c r="D161" s="20" t="s">
        <v>281</v>
      </c>
      <c r="E161" s="20" t="s">
        <v>278</v>
      </c>
      <c r="F161" s="20"/>
      <c r="G161" s="20"/>
      <c r="H161" s="20" t="s">
        <v>271</v>
      </c>
      <c r="I161" s="20" t="s">
        <v>334</v>
      </c>
      <c r="J161" s="20" t="s">
        <v>304</v>
      </c>
      <c r="K161" s="20" t="s">
        <v>281</v>
      </c>
      <c r="L161" s="20" t="s">
        <v>278</v>
      </c>
      <c r="M161" s="20"/>
      <c r="N161" s="20"/>
      <c r="O161" s="20" t="s">
        <v>271</v>
      </c>
      <c r="P161" s="20" t="s">
        <v>334</v>
      </c>
      <c r="Q161" s="20" t="s">
        <v>304</v>
      </c>
      <c r="R161" s="20" t="s">
        <v>281</v>
      </c>
      <c r="S161" s="20" t="s">
        <v>278</v>
      </c>
      <c r="T161" s="20"/>
      <c r="U161" s="20"/>
      <c r="V161" s="20"/>
      <c r="W161" s="17"/>
      <c r="X161" s="17"/>
      <c r="Y161" s="18"/>
      <c r="AA161" s="17"/>
    </row>
    <row r="162" spans="1:27">
      <c r="A162" s="20" t="s">
        <v>55</v>
      </c>
      <c r="B162" s="20">
        <f ca="1" t="shared" ref="B162:B175" si="54">IFERROR(VLOOKUP(A162,实战技能表,MATCH("怒气",$A$1:$T$1,0),0),0)</f>
        <v>15</v>
      </c>
      <c r="C162" s="20">
        <v>1</v>
      </c>
      <c r="D162" s="20">
        <f ca="1" t="shared" ref="D162:D175" si="55">IFERROR(VLOOKUP(A162,实战技能表,MATCH("时间",$A$1:$T$1,0),0),0)</f>
        <v>1.25</v>
      </c>
      <c r="E162" s="20">
        <f ca="1" t="shared" ref="E162:E175" si="56">IFERROR(VLOOKUP(A162,实战技能表,MATCH("dmg",$A$1:$T$1,0),0),0)</f>
        <v>0</v>
      </c>
      <c r="F162" s="20"/>
      <c r="G162" s="20"/>
      <c r="H162" s="20" t="s">
        <v>55</v>
      </c>
      <c r="I162" s="20">
        <f ca="1" t="shared" ref="I162:I174" si="57">IFERROR(VLOOKUP(H162,实战技能表,MATCH("怒气",$A$1:$T$1,0),0),0)</f>
        <v>15</v>
      </c>
      <c r="J162" s="20">
        <v>1</v>
      </c>
      <c r="K162" s="20">
        <f ca="1" t="shared" ref="K162:K174" si="58">IFERROR(VLOOKUP(H162,实战技能表,MATCH("时间",$A$1:$T$1,0),0),0)</f>
        <v>1.25</v>
      </c>
      <c r="L162" s="20">
        <f ca="1" t="shared" ref="L162:L174" si="59">IFERROR(VLOOKUP(H162,实战技能表,MATCH("dmg",$A$1:$T$1,0),0),0)</f>
        <v>0</v>
      </c>
      <c r="M162" s="20"/>
      <c r="N162" s="20"/>
      <c r="O162" s="20" t="s">
        <v>55</v>
      </c>
      <c r="P162" s="20">
        <f ca="1" t="shared" ref="P162:P173" si="60">IFERROR(VLOOKUP(O162,实战技能表,MATCH("怒气",$A$1:$T$1,0),0),0)</f>
        <v>15</v>
      </c>
      <c r="Q162" s="20">
        <v>1</v>
      </c>
      <c r="R162" s="20">
        <f ca="1" t="shared" ref="R162:R173" si="61">IFERROR(VLOOKUP(O162,实战技能表,MATCH("时间",$A$1:$T$1,0),0),0)</f>
        <v>1.25</v>
      </c>
      <c r="S162" s="20">
        <f ca="1" t="shared" ref="S162:S173" si="62">IFERROR(VLOOKUP(O162,实战技能表,MATCH("dmg",$A$1:$T$1,0),0),0)</f>
        <v>0</v>
      </c>
      <c r="T162" s="20"/>
      <c r="U162" s="20"/>
      <c r="V162" s="30"/>
      <c r="W162" s="36"/>
      <c r="X162" s="17"/>
      <c r="Y162" s="34" t="s">
        <v>355</v>
      </c>
      <c r="AA162" s="17"/>
    </row>
    <row r="163" spans="1:35">
      <c r="A163" s="20" t="s">
        <v>315</v>
      </c>
      <c r="B163" s="20">
        <f ca="1" t="shared" si="54"/>
        <v>5</v>
      </c>
      <c r="C163" s="20">
        <v>1</v>
      </c>
      <c r="D163" s="20">
        <f ca="1" t="shared" si="55"/>
        <v>0.8125</v>
      </c>
      <c r="E163" s="20">
        <f ca="1" t="shared" si="56"/>
        <v>0</v>
      </c>
      <c r="F163" s="20"/>
      <c r="G163" s="20"/>
      <c r="H163" s="20" t="s">
        <v>315</v>
      </c>
      <c r="I163" s="20">
        <f ca="1" t="shared" si="57"/>
        <v>5</v>
      </c>
      <c r="J163" s="20">
        <v>1</v>
      </c>
      <c r="K163" s="20">
        <f ca="1" t="shared" si="58"/>
        <v>0.8125</v>
      </c>
      <c r="L163" s="20">
        <f ca="1" t="shared" si="59"/>
        <v>0</v>
      </c>
      <c r="M163" s="20"/>
      <c r="N163" s="20"/>
      <c r="O163" s="20" t="s">
        <v>315</v>
      </c>
      <c r="P163" s="20">
        <f ca="1" t="shared" si="60"/>
        <v>5</v>
      </c>
      <c r="Q163" s="20">
        <v>1</v>
      </c>
      <c r="R163" s="20">
        <f ca="1" t="shared" si="61"/>
        <v>0.8125</v>
      </c>
      <c r="S163" s="20">
        <f ca="1" t="shared" si="62"/>
        <v>0</v>
      </c>
      <c r="T163" s="20"/>
      <c r="U163" s="20"/>
      <c r="V163" s="30"/>
      <c r="W163" s="36"/>
      <c r="X163" s="17"/>
      <c r="Y163" s="18" t="s">
        <v>55</v>
      </c>
      <c r="Z163" s="17">
        <f ca="1" t="shared" ref="Z163:Z170" si="63">IFERROR(VLOOKUP(Y163,实战技能表,MATCH("dmg",$A$1:$T$1,0),0),0)*COUNTIF($A$162:$A$175,Y163)</f>
        <v>0</v>
      </c>
      <c r="AA163" s="17" t="e">
        <f ca="1" t="shared" ref="AA163:AA173" si="64">Z163/$Z$173</f>
        <v>#VALUE!</v>
      </c>
      <c r="AE163" s="7" t="s">
        <v>55</v>
      </c>
      <c r="AF163" s="7" t="e">
        <f ca="1">AA163</f>
        <v>#VALUE!</v>
      </c>
      <c r="AH163" s="7" t="e">
        <f ca="1">INDEX($AE$163:$AF$169,MATCH(AI163,$AF$163:$AF$169,0),1)</f>
        <v>#VALUE!</v>
      </c>
      <c r="AI163" s="7" t="e">
        <f ca="1">LARGE($AF$163:$AF$169,ROW()-ROW($AI$163)+1)</f>
        <v>#VALUE!</v>
      </c>
    </row>
    <row r="164" spans="1:35">
      <c r="A164" s="20" t="s">
        <v>316</v>
      </c>
      <c r="B164" s="20">
        <f ca="1" t="shared" si="54"/>
        <v>5</v>
      </c>
      <c r="C164" s="20">
        <v>1</v>
      </c>
      <c r="D164" s="20">
        <f ca="1" t="shared" si="55"/>
        <v>0.8125</v>
      </c>
      <c r="E164" s="20">
        <f ca="1" t="shared" si="56"/>
        <v>0</v>
      </c>
      <c r="F164" s="20"/>
      <c r="G164" s="20"/>
      <c r="H164" s="20" t="s">
        <v>316</v>
      </c>
      <c r="I164" s="20">
        <f ca="1" t="shared" si="57"/>
        <v>5</v>
      </c>
      <c r="J164" s="20">
        <v>1</v>
      </c>
      <c r="K164" s="20">
        <f ca="1" t="shared" si="58"/>
        <v>0.8125</v>
      </c>
      <c r="L164" s="20">
        <f ca="1" t="shared" si="59"/>
        <v>0</v>
      </c>
      <c r="M164" s="20"/>
      <c r="N164" s="20"/>
      <c r="O164" s="20" t="s">
        <v>316</v>
      </c>
      <c r="P164" s="20">
        <f ca="1" t="shared" si="60"/>
        <v>5</v>
      </c>
      <c r="Q164" s="20">
        <v>1</v>
      </c>
      <c r="R164" s="20">
        <f ca="1" t="shared" si="61"/>
        <v>0.8125</v>
      </c>
      <c r="S164" s="20">
        <f ca="1" t="shared" si="62"/>
        <v>0</v>
      </c>
      <c r="T164" s="20"/>
      <c r="U164" s="20"/>
      <c r="V164" s="30"/>
      <c r="W164" s="36"/>
      <c r="X164" s="17"/>
      <c r="Y164" s="20" t="s">
        <v>315</v>
      </c>
      <c r="Z164" s="17">
        <f ca="1" t="shared" si="63"/>
        <v>0</v>
      </c>
      <c r="AA164" s="17" t="e">
        <f ca="1" t="shared" si="64"/>
        <v>#VALUE!</v>
      </c>
      <c r="AE164" s="7" t="s">
        <v>350</v>
      </c>
      <c r="AF164" s="7" t="e">
        <f ca="1">SUM(AA164:AA167)</f>
        <v>#VALUE!</v>
      </c>
      <c r="AH164" s="7" t="e">
        <f ca="1" t="shared" ref="AH164:AH169" si="65">INDEX($AE$163:$AF$169,MATCH(AI164,$AF$163:$AF$169,0),1)</f>
        <v>#VALUE!</v>
      </c>
      <c r="AI164" s="7" t="e">
        <f ca="1" t="shared" ref="AI164:AI169" si="66">LARGE($AF$163:$AF$169,ROW()-ROW($AI$163)+1)</f>
        <v>#VALUE!</v>
      </c>
    </row>
    <row r="165" spans="1:35">
      <c r="A165" s="20" t="s">
        <v>317</v>
      </c>
      <c r="B165" s="20">
        <f ca="1" t="shared" si="54"/>
        <v>5</v>
      </c>
      <c r="C165" s="20">
        <v>1</v>
      </c>
      <c r="D165" s="20">
        <f ca="1" t="shared" si="55"/>
        <v>0.8125</v>
      </c>
      <c r="E165" s="20">
        <f ca="1" t="shared" si="56"/>
        <v>0</v>
      </c>
      <c r="F165" s="20"/>
      <c r="G165" s="20"/>
      <c r="H165" s="20" t="s">
        <v>317</v>
      </c>
      <c r="I165" s="20">
        <f ca="1" t="shared" si="57"/>
        <v>5</v>
      </c>
      <c r="J165" s="20">
        <v>1</v>
      </c>
      <c r="K165" s="20">
        <f ca="1" t="shared" si="58"/>
        <v>0.8125</v>
      </c>
      <c r="L165" s="20">
        <f ca="1" t="shared" si="59"/>
        <v>0</v>
      </c>
      <c r="M165" s="20"/>
      <c r="N165" s="20"/>
      <c r="O165" s="20" t="s">
        <v>317</v>
      </c>
      <c r="P165" s="20">
        <f ca="1" t="shared" si="60"/>
        <v>5</v>
      </c>
      <c r="Q165" s="20">
        <v>1</v>
      </c>
      <c r="R165" s="20">
        <f ca="1" t="shared" si="61"/>
        <v>0.8125</v>
      </c>
      <c r="S165" s="20">
        <f ca="1" t="shared" si="62"/>
        <v>0</v>
      </c>
      <c r="T165" s="20"/>
      <c r="U165" s="20"/>
      <c r="V165" s="30"/>
      <c r="W165" s="36"/>
      <c r="X165" s="17"/>
      <c r="Y165" s="20" t="s">
        <v>316</v>
      </c>
      <c r="Z165" s="17">
        <f ca="1" t="shared" si="63"/>
        <v>0</v>
      </c>
      <c r="AA165" s="17" t="e">
        <f ca="1" t="shared" si="64"/>
        <v>#VALUE!</v>
      </c>
      <c r="AE165" s="7" t="s">
        <v>65</v>
      </c>
      <c r="AF165" s="7" t="e">
        <f ca="1">AA168</f>
        <v>#VALUE!</v>
      </c>
      <c r="AH165" s="7" t="e">
        <f ca="1" t="shared" si="65"/>
        <v>#VALUE!</v>
      </c>
      <c r="AI165" s="7" t="e">
        <f ca="1" t="shared" si="66"/>
        <v>#VALUE!</v>
      </c>
    </row>
    <row r="166" spans="1:35">
      <c r="A166" s="20" t="s">
        <v>318</v>
      </c>
      <c r="B166" s="20">
        <f ca="1" t="shared" si="54"/>
        <v>5</v>
      </c>
      <c r="C166" s="20">
        <v>1</v>
      </c>
      <c r="D166" s="20">
        <f ca="1" t="shared" si="55"/>
        <v>0.6875</v>
      </c>
      <c r="E166" s="20">
        <f ca="1" t="shared" si="56"/>
        <v>0</v>
      </c>
      <c r="F166" s="20"/>
      <c r="G166" s="20"/>
      <c r="H166" s="20" t="s">
        <v>318</v>
      </c>
      <c r="I166" s="20">
        <f ca="1" t="shared" si="57"/>
        <v>5</v>
      </c>
      <c r="J166" s="20">
        <v>1</v>
      </c>
      <c r="K166" s="20">
        <f ca="1" t="shared" si="58"/>
        <v>0.6875</v>
      </c>
      <c r="L166" s="20">
        <f ca="1" t="shared" si="59"/>
        <v>0</v>
      </c>
      <c r="M166" s="20"/>
      <c r="N166" s="20"/>
      <c r="O166" s="20" t="s">
        <v>318</v>
      </c>
      <c r="P166" s="20">
        <f ca="1" t="shared" si="60"/>
        <v>5</v>
      </c>
      <c r="Q166" s="20">
        <v>1</v>
      </c>
      <c r="R166" s="20">
        <f ca="1" t="shared" si="61"/>
        <v>0.6875</v>
      </c>
      <c r="S166" s="20">
        <f ca="1" t="shared" si="62"/>
        <v>0</v>
      </c>
      <c r="T166" s="20"/>
      <c r="U166" s="20"/>
      <c r="V166" s="30"/>
      <c r="W166" s="36"/>
      <c r="X166" s="17"/>
      <c r="Y166" s="20" t="s">
        <v>317</v>
      </c>
      <c r="Z166" s="17">
        <f ca="1" t="shared" si="63"/>
        <v>0</v>
      </c>
      <c r="AA166" s="17" t="e">
        <f ca="1" t="shared" si="64"/>
        <v>#VALUE!</v>
      </c>
      <c r="AE166" s="7" t="s">
        <v>14</v>
      </c>
      <c r="AF166" s="7" t="e">
        <f ca="1">AA169</f>
        <v>#VALUE!</v>
      </c>
      <c r="AH166" s="7" t="e">
        <f ca="1" t="shared" si="65"/>
        <v>#VALUE!</v>
      </c>
      <c r="AI166" s="7" t="e">
        <f ca="1" t="shared" si="66"/>
        <v>#VALUE!</v>
      </c>
    </row>
    <row r="167" spans="1:35">
      <c r="A167" s="20" t="s">
        <v>65</v>
      </c>
      <c r="B167" s="20">
        <f ca="1" t="shared" si="54"/>
        <v>-15</v>
      </c>
      <c r="C167" s="20">
        <v>1</v>
      </c>
      <c r="D167" s="20">
        <f ca="1" t="shared" si="55"/>
        <v>1.25</v>
      </c>
      <c r="E167" s="20">
        <f ca="1" t="shared" si="56"/>
        <v>0</v>
      </c>
      <c r="F167" s="20"/>
      <c r="G167" s="20"/>
      <c r="H167" s="20" t="s">
        <v>65</v>
      </c>
      <c r="I167" s="20">
        <f ca="1" t="shared" si="57"/>
        <v>-15</v>
      </c>
      <c r="J167" s="20">
        <v>1</v>
      </c>
      <c r="K167" s="20">
        <f ca="1" t="shared" si="58"/>
        <v>1.25</v>
      </c>
      <c r="L167" s="20">
        <f ca="1" t="shared" si="59"/>
        <v>0</v>
      </c>
      <c r="M167" s="20"/>
      <c r="N167" s="20"/>
      <c r="O167" s="20" t="s">
        <v>65</v>
      </c>
      <c r="P167" s="20">
        <f ca="1" t="shared" si="60"/>
        <v>-15</v>
      </c>
      <c r="Q167" s="20">
        <v>1</v>
      </c>
      <c r="R167" s="20">
        <f ca="1" t="shared" si="61"/>
        <v>1.25</v>
      </c>
      <c r="S167" s="20">
        <f ca="1" t="shared" si="62"/>
        <v>0</v>
      </c>
      <c r="T167" s="20"/>
      <c r="U167" s="20"/>
      <c r="V167" s="30"/>
      <c r="W167" s="36"/>
      <c r="X167" s="17"/>
      <c r="Y167" s="20" t="s">
        <v>318</v>
      </c>
      <c r="Z167" s="17">
        <f ca="1" t="shared" si="63"/>
        <v>0</v>
      </c>
      <c r="AA167" s="17" t="e">
        <f ca="1" t="shared" si="64"/>
        <v>#VALUE!</v>
      </c>
      <c r="AE167" s="7" t="s">
        <v>287</v>
      </c>
      <c r="AF167" s="7" t="e">
        <f ca="1">AA170</f>
        <v>#VALUE!</v>
      </c>
      <c r="AH167" s="7" t="e">
        <f ca="1" t="shared" si="65"/>
        <v>#VALUE!</v>
      </c>
      <c r="AI167" s="7" t="e">
        <f ca="1" t="shared" si="66"/>
        <v>#VALUE!</v>
      </c>
    </row>
    <row r="168" spans="1:35">
      <c r="A168" s="20" t="s">
        <v>289</v>
      </c>
      <c r="B168" s="20">
        <f ca="1" t="shared" si="54"/>
        <v>0</v>
      </c>
      <c r="C168" s="20">
        <v>1</v>
      </c>
      <c r="D168" s="20">
        <f ca="1" t="shared" si="55"/>
        <v>1.25</v>
      </c>
      <c r="E168" s="20">
        <f ca="1" t="shared" si="56"/>
        <v>0</v>
      </c>
      <c r="F168" s="20"/>
      <c r="G168" s="20"/>
      <c r="H168" s="20" t="s">
        <v>289</v>
      </c>
      <c r="I168" s="20">
        <f ca="1" t="shared" si="57"/>
        <v>0</v>
      </c>
      <c r="J168" s="20">
        <v>1</v>
      </c>
      <c r="K168" s="20">
        <f ca="1" t="shared" si="58"/>
        <v>1.25</v>
      </c>
      <c r="L168" s="20">
        <f ca="1" t="shared" si="59"/>
        <v>0</v>
      </c>
      <c r="M168" s="20"/>
      <c r="N168" s="20"/>
      <c r="O168" s="20" t="s">
        <v>289</v>
      </c>
      <c r="P168" s="20">
        <f ca="1" t="shared" si="60"/>
        <v>0</v>
      </c>
      <c r="Q168" s="20">
        <v>1</v>
      </c>
      <c r="R168" s="20">
        <f ca="1" t="shared" si="61"/>
        <v>1.25</v>
      </c>
      <c r="S168" s="20">
        <f ca="1" t="shared" si="62"/>
        <v>0</v>
      </c>
      <c r="T168" s="20"/>
      <c r="U168" s="20"/>
      <c r="V168" s="30"/>
      <c r="W168" s="36"/>
      <c r="X168" s="17"/>
      <c r="Y168" s="32" t="s">
        <v>65</v>
      </c>
      <c r="Z168" s="17">
        <f ca="1" t="shared" si="63"/>
        <v>0</v>
      </c>
      <c r="AA168" s="17" t="e">
        <f ca="1" t="shared" si="64"/>
        <v>#VALUE!</v>
      </c>
      <c r="AE168" s="32" t="s">
        <v>35</v>
      </c>
      <c r="AF168" s="7" t="e">
        <f ca="1">AA171</f>
        <v>#VALUE!</v>
      </c>
      <c r="AH168" s="7" t="e">
        <f ca="1" t="shared" si="65"/>
        <v>#VALUE!</v>
      </c>
      <c r="AI168" s="7" t="e">
        <f ca="1" t="shared" si="66"/>
        <v>#VALUE!</v>
      </c>
    </row>
    <row r="169" spans="1:35">
      <c r="A169" s="20" t="s">
        <v>14</v>
      </c>
      <c r="B169" s="20">
        <f ca="1" t="shared" si="54"/>
        <v>-5</v>
      </c>
      <c r="C169" s="20">
        <v>1</v>
      </c>
      <c r="D169" s="20">
        <f ca="1" t="shared" si="55"/>
        <v>1.25</v>
      </c>
      <c r="E169" s="20">
        <f ca="1" t="shared" si="56"/>
        <v>0</v>
      </c>
      <c r="F169" s="20"/>
      <c r="G169" s="20"/>
      <c r="H169" s="20" t="s">
        <v>14</v>
      </c>
      <c r="I169" s="20">
        <f ca="1" t="shared" si="57"/>
        <v>-5</v>
      </c>
      <c r="J169" s="20">
        <v>1</v>
      </c>
      <c r="K169" s="20">
        <f ca="1" t="shared" si="58"/>
        <v>1.25</v>
      </c>
      <c r="L169" s="20">
        <f ca="1" t="shared" si="59"/>
        <v>0</v>
      </c>
      <c r="M169" s="20"/>
      <c r="N169" s="20"/>
      <c r="O169" s="20" t="s">
        <v>14</v>
      </c>
      <c r="P169" s="20">
        <f ca="1" t="shared" si="60"/>
        <v>-5</v>
      </c>
      <c r="Q169" s="20">
        <v>1</v>
      </c>
      <c r="R169" s="20">
        <f ca="1" t="shared" si="61"/>
        <v>1.25</v>
      </c>
      <c r="S169" s="20">
        <f ca="1" t="shared" si="62"/>
        <v>0</v>
      </c>
      <c r="T169" s="20"/>
      <c r="U169" s="20"/>
      <c r="V169" s="30"/>
      <c r="W169" s="36"/>
      <c r="X169" s="17"/>
      <c r="Y169" s="32" t="s">
        <v>14</v>
      </c>
      <c r="Z169" s="17">
        <f ca="1" t="shared" si="63"/>
        <v>0</v>
      </c>
      <c r="AA169" s="17" t="e">
        <f ca="1" t="shared" si="64"/>
        <v>#VALUE!</v>
      </c>
      <c r="AE169" s="32" t="s">
        <v>45</v>
      </c>
      <c r="AF169" s="7" t="e">
        <f ca="1">AA172</f>
        <v>#N/A</v>
      </c>
      <c r="AH169" s="7" t="e">
        <f ca="1" t="shared" si="65"/>
        <v>#VALUE!</v>
      </c>
      <c r="AI169" s="7" t="e">
        <f ca="1" t="shared" si="66"/>
        <v>#VALUE!</v>
      </c>
    </row>
    <row r="170" spans="1:27">
      <c r="A170" s="20" t="s">
        <v>14</v>
      </c>
      <c r="B170" s="20">
        <f ca="1" t="shared" si="54"/>
        <v>-5</v>
      </c>
      <c r="C170" s="20">
        <v>1</v>
      </c>
      <c r="D170" s="20">
        <f ca="1" t="shared" si="55"/>
        <v>1.25</v>
      </c>
      <c r="E170" s="20">
        <f ca="1" t="shared" si="56"/>
        <v>0</v>
      </c>
      <c r="F170" s="20"/>
      <c r="G170" s="20"/>
      <c r="H170" s="20" t="s">
        <v>14</v>
      </c>
      <c r="I170" s="20">
        <f ca="1" t="shared" si="57"/>
        <v>-5</v>
      </c>
      <c r="J170" s="20">
        <v>1</v>
      </c>
      <c r="K170" s="20">
        <f ca="1" t="shared" si="58"/>
        <v>1.25</v>
      </c>
      <c r="L170" s="20">
        <f ca="1" t="shared" si="59"/>
        <v>0</v>
      </c>
      <c r="M170" s="20"/>
      <c r="N170" s="20"/>
      <c r="O170" s="20" t="s">
        <v>14</v>
      </c>
      <c r="P170" s="20">
        <f ca="1" t="shared" si="60"/>
        <v>-5</v>
      </c>
      <c r="Q170" s="20">
        <v>1</v>
      </c>
      <c r="R170" s="20">
        <f ca="1" t="shared" si="61"/>
        <v>1.25</v>
      </c>
      <c r="S170" s="20">
        <f ca="1" t="shared" si="62"/>
        <v>0</v>
      </c>
      <c r="T170" s="20"/>
      <c r="U170" s="20"/>
      <c r="V170" s="30"/>
      <c r="W170" s="36"/>
      <c r="X170" s="17"/>
      <c r="Y170" s="7" t="s">
        <v>289</v>
      </c>
      <c r="Z170" s="17">
        <f ca="1" t="shared" si="63"/>
        <v>0</v>
      </c>
      <c r="AA170" s="17" t="e">
        <f ca="1" t="shared" si="64"/>
        <v>#VALUE!</v>
      </c>
    </row>
    <row r="171" spans="1:27">
      <c r="A171" s="20" t="s">
        <v>14</v>
      </c>
      <c r="B171" s="20">
        <f ca="1" t="shared" si="54"/>
        <v>-5</v>
      </c>
      <c r="C171" s="20">
        <v>1</v>
      </c>
      <c r="D171" s="20">
        <f ca="1" t="shared" si="55"/>
        <v>1.25</v>
      </c>
      <c r="E171" s="20">
        <f ca="1" t="shared" si="56"/>
        <v>0</v>
      </c>
      <c r="F171" s="20"/>
      <c r="G171" s="20"/>
      <c r="H171" s="20" t="s">
        <v>14</v>
      </c>
      <c r="I171" s="20">
        <f ca="1" t="shared" si="57"/>
        <v>-5</v>
      </c>
      <c r="J171" s="20">
        <v>1</v>
      </c>
      <c r="K171" s="20">
        <f ca="1" t="shared" si="58"/>
        <v>1.25</v>
      </c>
      <c r="L171" s="20">
        <f ca="1" t="shared" si="59"/>
        <v>0</v>
      </c>
      <c r="M171" s="20"/>
      <c r="N171" s="20"/>
      <c r="O171" s="20" t="s">
        <v>14</v>
      </c>
      <c r="P171" s="20">
        <f ca="1" t="shared" si="60"/>
        <v>-5</v>
      </c>
      <c r="Q171" s="20">
        <v>1</v>
      </c>
      <c r="R171" s="20">
        <f ca="1" t="shared" si="61"/>
        <v>1.25</v>
      </c>
      <c r="S171" s="20">
        <f ca="1" t="shared" si="62"/>
        <v>0</v>
      </c>
      <c r="T171" s="20"/>
      <c r="U171" s="20"/>
      <c r="V171" s="30"/>
      <c r="W171" s="36"/>
      <c r="X171" s="17"/>
      <c r="Y171" s="32" t="s">
        <v>35</v>
      </c>
      <c r="Z171" s="17" t="e">
        <f ca="1">E176</f>
        <v>#VALUE!</v>
      </c>
      <c r="AA171" s="17" t="e">
        <f ca="1" t="shared" si="64"/>
        <v>#VALUE!</v>
      </c>
    </row>
    <row r="172" spans="1:27">
      <c r="A172" s="20" t="s">
        <v>14</v>
      </c>
      <c r="B172" s="20">
        <f ca="1" t="shared" si="54"/>
        <v>-5</v>
      </c>
      <c r="C172" s="20">
        <v>1</v>
      </c>
      <c r="D172" s="20">
        <f ca="1" t="shared" si="55"/>
        <v>1.25</v>
      </c>
      <c r="E172" s="20">
        <f ca="1" t="shared" si="56"/>
        <v>0</v>
      </c>
      <c r="F172" s="20"/>
      <c r="G172" s="20"/>
      <c r="H172" s="20" t="s">
        <v>14</v>
      </c>
      <c r="I172" s="20">
        <f ca="1" t="shared" si="57"/>
        <v>-5</v>
      </c>
      <c r="J172" s="20">
        <v>1</v>
      </c>
      <c r="K172" s="20">
        <f ca="1" t="shared" si="58"/>
        <v>1.25</v>
      </c>
      <c r="L172" s="20">
        <f ca="1" t="shared" si="59"/>
        <v>0</v>
      </c>
      <c r="M172" s="20"/>
      <c r="N172" s="20"/>
      <c r="O172" s="20" t="s">
        <v>14</v>
      </c>
      <c r="P172" s="20">
        <f ca="1" t="shared" si="60"/>
        <v>-5</v>
      </c>
      <c r="Q172" s="20">
        <v>1</v>
      </c>
      <c r="R172" s="20">
        <f ca="1" t="shared" si="61"/>
        <v>1.25</v>
      </c>
      <c r="S172" s="20">
        <f ca="1" t="shared" si="62"/>
        <v>0</v>
      </c>
      <c r="T172" s="20"/>
      <c r="U172" s="20"/>
      <c r="V172" s="30"/>
      <c r="W172" s="36"/>
      <c r="X172" s="17"/>
      <c r="Y172" s="32" t="s">
        <v>45</v>
      </c>
      <c r="Z172" s="17" t="e">
        <f ca="1">F176</f>
        <v>#N/A</v>
      </c>
      <c r="AA172" s="17" t="e">
        <f ca="1" t="shared" si="64"/>
        <v>#N/A</v>
      </c>
    </row>
    <row r="173" spans="1:27">
      <c r="A173" s="20" t="s">
        <v>14</v>
      </c>
      <c r="B173" s="20">
        <f ca="1" t="shared" si="54"/>
        <v>-5</v>
      </c>
      <c r="C173" s="20">
        <v>1</v>
      </c>
      <c r="D173" s="20">
        <f ca="1" t="shared" si="55"/>
        <v>1.25</v>
      </c>
      <c r="E173" s="20">
        <f ca="1" t="shared" si="56"/>
        <v>0</v>
      </c>
      <c r="F173" s="20"/>
      <c r="G173" s="20"/>
      <c r="H173" s="20" t="s">
        <v>14</v>
      </c>
      <c r="I173" s="20">
        <f ca="1" t="shared" si="57"/>
        <v>-5</v>
      </c>
      <c r="J173" s="20">
        <v>1</v>
      </c>
      <c r="K173" s="20">
        <f ca="1" t="shared" si="58"/>
        <v>1.25</v>
      </c>
      <c r="L173" s="20">
        <f ca="1" t="shared" si="59"/>
        <v>0</v>
      </c>
      <c r="M173" s="20"/>
      <c r="N173" s="20"/>
      <c r="O173" s="20" t="s">
        <v>14</v>
      </c>
      <c r="P173" s="20">
        <f ca="1" t="shared" si="60"/>
        <v>-5</v>
      </c>
      <c r="Q173" s="20">
        <v>1</v>
      </c>
      <c r="R173" s="20">
        <f ca="1" t="shared" si="61"/>
        <v>1.25</v>
      </c>
      <c r="S173" s="20">
        <f ca="1" t="shared" si="62"/>
        <v>0</v>
      </c>
      <c r="T173" s="20"/>
      <c r="U173" s="20"/>
      <c r="V173" s="30"/>
      <c r="W173" s="36"/>
      <c r="X173" s="17"/>
      <c r="Y173" s="7" t="s">
        <v>341</v>
      </c>
      <c r="Z173" s="7" t="e">
        <f ca="1">SUM(Z163:Z172)</f>
        <v>#VALUE!</v>
      </c>
      <c r="AA173" s="17" t="e">
        <f ca="1" t="shared" si="64"/>
        <v>#VALUE!</v>
      </c>
    </row>
    <row r="174" spans="1:27">
      <c r="A174" s="20" t="s">
        <v>14</v>
      </c>
      <c r="B174" s="20">
        <f ca="1" t="shared" si="54"/>
        <v>-5</v>
      </c>
      <c r="C174" s="20">
        <v>1</v>
      </c>
      <c r="D174" s="20">
        <f ca="1" t="shared" si="55"/>
        <v>1.25</v>
      </c>
      <c r="E174" s="20">
        <f ca="1" t="shared" si="56"/>
        <v>0</v>
      </c>
      <c r="F174" s="17"/>
      <c r="G174" s="17"/>
      <c r="H174" s="20" t="s">
        <v>14</v>
      </c>
      <c r="I174" s="20">
        <f ca="1" t="shared" si="57"/>
        <v>-5</v>
      </c>
      <c r="J174" s="20">
        <v>1</v>
      </c>
      <c r="K174" s="20">
        <f ca="1" t="shared" si="58"/>
        <v>1.25</v>
      </c>
      <c r="L174" s="20">
        <f ca="1" t="shared" si="59"/>
        <v>0</v>
      </c>
      <c r="M174" s="17"/>
      <c r="N174" s="17"/>
      <c r="O174" s="20"/>
      <c r="P174" s="20"/>
      <c r="Q174" s="20"/>
      <c r="R174" s="20"/>
      <c r="S174" s="20"/>
      <c r="T174" s="17"/>
      <c r="U174" s="17"/>
      <c r="V174" s="30"/>
      <c r="W174" s="36"/>
      <c r="X174" s="17"/>
      <c r="AA174" s="17"/>
    </row>
    <row r="175" spans="1:27">
      <c r="A175" s="20" t="s">
        <v>14</v>
      </c>
      <c r="B175" s="20">
        <f ca="1" t="shared" si="54"/>
        <v>-5</v>
      </c>
      <c r="C175" s="20">
        <v>1</v>
      </c>
      <c r="D175" s="20">
        <f ca="1" t="shared" si="55"/>
        <v>1.25</v>
      </c>
      <c r="E175" s="20">
        <f ca="1" t="shared" si="56"/>
        <v>0</v>
      </c>
      <c r="F175" s="17"/>
      <c r="G175" s="17"/>
      <c r="H175" s="20"/>
      <c r="I175" s="20"/>
      <c r="J175" s="20"/>
      <c r="K175" s="20"/>
      <c r="L175" s="20"/>
      <c r="M175" s="17"/>
      <c r="N175" s="17"/>
      <c r="O175" s="20"/>
      <c r="P175" s="20"/>
      <c r="Q175" s="20"/>
      <c r="R175" s="20"/>
      <c r="S175" s="20"/>
      <c r="T175" s="17"/>
      <c r="U175" s="17"/>
      <c r="V175" s="30"/>
      <c r="W175" s="36"/>
      <c r="X175" s="17"/>
      <c r="Y175" s="17"/>
      <c r="Z175" s="17"/>
      <c r="AA175" s="17"/>
    </row>
    <row r="176" spans="1:27">
      <c r="A176" s="20"/>
      <c r="C176" s="11">
        <f>SUM(C167:C175)</f>
        <v>9</v>
      </c>
      <c r="D176" s="11">
        <f ca="1">SUM(D167:D175)+C176/16</f>
        <v>11.8125</v>
      </c>
      <c r="E176" s="7" t="e">
        <f ca="1">(INT(D176+1))*$I$9</f>
        <v>#VALUE!</v>
      </c>
      <c r="F176" s="11" t="e">
        <f ca="1">D176*$I$16/$T$15+(D177-D176)*$I$15/$T$15</f>
        <v>#N/A</v>
      </c>
      <c r="G176" s="11"/>
      <c r="H176" s="20"/>
      <c r="J176" s="11">
        <f>SUM(J167:J175)</f>
        <v>8</v>
      </c>
      <c r="K176" s="11">
        <f ca="1">SUM(K167:K175)+J176/16</f>
        <v>10.5</v>
      </c>
      <c r="L176" s="7" t="e">
        <f ca="1">(INT(K176+1))*$I$9</f>
        <v>#VALUE!</v>
      </c>
      <c r="M176" s="11" t="e">
        <f ca="1">K176*$I$16/$T$15+(K177-K176)*$I$15/$T$15</f>
        <v>#N/A</v>
      </c>
      <c r="N176" s="11"/>
      <c r="O176" s="20"/>
      <c r="Q176" s="11">
        <f>SUM(Q167:Q175)</f>
        <v>7</v>
      </c>
      <c r="R176" s="11">
        <f ca="1">SUM(R167:R175)+Q176/16</f>
        <v>9.1875</v>
      </c>
      <c r="S176" s="7" t="e">
        <f ca="1">(INT(R176+1))*$I$9</f>
        <v>#VALUE!</v>
      </c>
      <c r="T176" s="11" t="e">
        <f ca="1">R176*$I$16/$T$15+(R177-R176)*$I$15/$T$15</f>
        <v>#N/A</v>
      </c>
      <c r="U176" s="11"/>
      <c r="V176" s="30"/>
      <c r="W176" s="36"/>
      <c r="X176" s="17"/>
      <c r="Y176" s="17"/>
      <c r="Z176" s="17"/>
      <c r="AA176" s="17"/>
    </row>
    <row r="177" spans="1:27">
      <c r="A177" s="20"/>
      <c r="B177" s="11">
        <f ca="1">SUM(B162:B173)</f>
        <v>-5</v>
      </c>
      <c r="C177" s="11">
        <f>SUM(C162:C175)</f>
        <v>14</v>
      </c>
      <c r="D177" s="11">
        <f ca="1">SUM(D162:D175)</f>
        <v>15.625</v>
      </c>
      <c r="E177" s="11" t="e">
        <f ca="1">SUM(E162:E176)</f>
        <v>#VALUE!</v>
      </c>
      <c r="F177" s="11"/>
      <c r="G177" s="11"/>
      <c r="H177" s="20"/>
      <c r="I177" s="11">
        <f ca="1">SUM(I162:I173)</f>
        <v>-5</v>
      </c>
      <c r="J177" s="11">
        <f>SUM(J162:J175)</f>
        <v>13</v>
      </c>
      <c r="K177" s="11">
        <f ca="1">SUM(K162:K175)</f>
        <v>14.375</v>
      </c>
      <c r="L177" s="11" t="e">
        <f ca="1">SUM(L162:L176)</f>
        <v>#VALUE!</v>
      </c>
      <c r="M177" s="11"/>
      <c r="N177" s="11"/>
      <c r="O177" s="20"/>
      <c r="P177" s="11">
        <f ca="1">SUM(P162:P173)</f>
        <v>-5</v>
      </c>
      <c r="Q177" s="11">
        <f>SUM(Q162:Q175)</f>
        <v>12</v>
      </c>
      <c r="R177" s="11">
        <f ca="1">SUM(R162:R175)</f>
        <v>13.125</v>
      </c>
      <c r="S177" s="11" t="e">
        <f ca="1">SUM(S162:S176)</f>
        <v>#VALUE!</v>
      </c>
      <c r="T177" s="11"/>
      <c r="U177" s="11"/>
      <c r="V177" s="30"/>
      <c r="W177" s="36"/>
      <c r="X177" s="17"/>
      <c r="Y177" s="17"/>
      <c r="Z177" s="17"/>
      <c r="AA177" s="17"/>
    </row>
    <row r="178" spans="1:27">
      <c r="A178" s="20"/>
      <c r="B178" s="11">
        <v>0</v>
      </c>
      <c r="C178" s="11">
        <f>C177*B178</f>
        <v>0</v>
      </c>
      <c r="D178" s="11">
        <f ca="1">D177+C178/16</f>
        <v>15.625</v>
      </c>
      <c r="E178" s="11" t="e">
        <f ca="1">E177/D178</f>
        <v>#VALUE!</v>
      </c>
      <c r="F178" s="11" t="e">
        <f ca="1">F176/D178</f>
        <v>#N/A</v>
      </c>
      <c r="G178" s="11" t="e">
        <f ca="1">(E178+F178+$Q$43)*(1+$P$35)</f>
        <v>#VALUE!</v>
      </c>
      <c r="H178" s="20"/>
      <c r="I178" s="11">
        <v>0</v>
      </c>
      <c r="J178" s="11">
        <f>J177*I178</f>
        <v>0</v>
      </c>
      <c r="K178" s="11">
        <f ca="1">K177+J178/16</f>
        <v>14.375</v>
      </c>
      <c r="L178" s="11" t="e">
        <f ca="1">L177/K178</f>
        <v>#VALUE!</v>
      </c>
      <c r="M178" s="11" t="e">
        <f ca="1">M176/K178</f>
        <v>#N/A</v>
      </c>
      <c r="N178" s="11" t="e">
        <f ca="1">(L178+M178+$Q$43)*(1+$P$35)</f>
        <v>#VALUE!</v>
      </c>
      <c r="O178" s="20"/>
      <c r="P178" s="11">
        <v>0</v>
      </c>
      <c r="Q178" s="11">
        <f>Q177*P178</f>
        <v>0</v>
      </c>
      <c r="R178" s="11">
        <f ca="1">R177+Q178/16</f>
        <v>13.125</v>
      </c>
      <c r="S178" s="11" t="e">
        <f ca="1">S177/R178</f>
        <v>#VALUE!</v>
      </c>
      <c r="T178" s="11" t="e">
        <f ca="1">T176/R178</f>
        <v>#N/A</v>
      </c>
      <c r="U178" s="11" t="e">
        <f ca="1">(S178+T178+$Q$43)*(1+$P$35)</f>
        <v>#VALUE!</v>
      </c>
      <c r="V178" s="30"/>
      <c r="W178" s="36"/>
      <c r="X178" s="17"/>
      <c r="Y178" s="17"/>
      <c r="Z178" s="17"/>
      <c r="AA178" s="17"/>
    </row>
    <row r="179" spans="1:27">
      <c r="A179" s="20"/>
      <c r="B179" s="11">
        <v>1</v>
      </c>
      <c r="C179" s="11">
        <f>C177*B179</f>
        <v>14</v>
      </c>
      <c r="D179" s="11">
        <f ca="1">D177+C179/16</f>
        <v>16.5</v>
      </c>
      <c r="E179" s="11" t="e">
        <f ca="1">E177/D179</f>
        <v>#VALUE!</v>
      </c>
      <c r="F179" s="11" t="e">
        <f ca="1">F176/D179</f>
        <v>#N/A</v>
      </c>
      <c r="G179" s="11" t="e">
        <f ca="1">(E179+F179+$Q$43)*(1+$P$35)</f>
        <v>#VALUE!</v>
      </c>
      <c r="H179" s="20"/>
      <c r="I179" s="11">
        <v>1</v>
      </c>
      <c r="J179" s="11">
        <f>J177*I179</f>
        <v>13</v>
      </c>
      <c r="K179" s="11">
        <f ca="1">K177+J179/16</f>
        <v>15.1875</v>
      </c>
      <c r="L179" s="11" t="e">
        <f ca="1">L177/K179</f>
        <v>#VALUE!</v>
      </c>
      <c r="M179" s="11" t="e">
        <f ca="1">M176/K179</f>
        <v>#N/A</v>
      </c>
      <c r="N179" s="11" t="e">
        <f ca="1">(L179+M179+$Q$43)*(1+$P$35)</f>
        <v>#VALUE!</v>
      </c>
      <c r="O179" s="20"/>
      <c r="P179" s="11">
        <v>1</v>
      </c>
      <c r="Q179" s="11">
        <f>Q177*P179</f>
        <v>12</v>
      </c>
      <c r="R179" s="11">
        <f ca="1">R177+Q179/16</f>
        <v>13.875</v>
      </c>
      <c r="S179" s="11" t="e">
        <f ca="1">S177/R179</f>
        <v>#VALUE!</v>
      </c>
      <c r="T179" s="11" t="e">
        <f ca="1">T176/R179</f>
        <v>#N/A</v>
      </c>
      <c r="U179" s="11" t="e">
        <f ca="1">(S179+T179+$Q$43)*(1+$P$35)</f>
        <v>#VALUE!</v>
      </c>
      <c r="V179" s="30"/>
      <c r="W179" s="36"/>
      <c r="X179" s="17"/>
      <c r="Y179" s="17"/>
      <c r="Z179" s="17"/>
      <c r="AA179" s="17"/>
    </row>
    <row r="180" spans="1:27">
      <c r="A180" s="20"/>
      <c r="B180" s="11">
        <v>2</v>
      </c>
      <c r="C180" s="11">
        <f>C177*B180</f>
        <v>28</v>
      </c>
      <c r="D180" s="11">
        <f ca="1">D177+C180/16</f>
        <v>17.375</v>
      </c>
      <c r="E180" s="11" t="e">
        <f ca="1">E177/D180</f>
        <v>#VALUE!</v>
      </c>
      <c r="F180" s="20" t="e">
        <f ca="1">F176/D180</f>
        <v>#N/A</v>
      </c>
      <c r="G180" s="11" t="e">
        <f ca="1">(E180+F180+$Q$43)*(1+$P$35)</f>
        <v>#VALUE!</v>
      </c>
      <c r="H180" s="20"/>
      <c r="I180" s="11">
        <v>2</v>
      </c>
      <c r="J180" s="11">
        <f>J177*I180</f>
        <v>26</v>
      </c>
      <c r="K180" s="11">
        <f ca="1">K177+J180/16</f>
        <v>16</v>
      </c>
      <c r="L180" s="11" t="e">
        <f ca="1">L177/K180</f>
        <v>#VALUE!</v>
      </c>
      <c r="M180" s="20" t="e">
        <f ca="1">M176/K180</f>
        <v>#N/A</v>
      </c>
      <c r="N180" s="11" t="e">
        <f ca="1">(L180+M180+$Q$43)*(1+$P$35)</f>
        <v>#VALUE!</v>
      </c>
      <c r="O180" s="20"/>
      <c r="P180" s="11">
        <v>2</v>
      </c>
      <c r="Q180" s="11">
        <f>Q177*P180</f>
        <v>24</v>
      </c>
      <c r="R180" s="11">
        <f ca="1">R177+Q180/16</f>
        <v>14.625</v>
      </c>
      <c r="S180" s="11" t="e">
        <f ca="1">S177/R180</f>
        <v>#VALUE!</v>
      </c>
      <c r="T180" s="20" t="e">
        <f ca="1">T176/R180</f>
        <v>#N/A</v>
      </c>
      <c r="U180" s="11" t="e">
        <f ca="1">(S180+T180+$Q$43)*(1+$P$35)</f>
        <v>#VALUE!</v>
      </c>
      <c r="V180" s="30"/>
      <c r="W180" s="36"/>
      <c r="X180" s="17"/>
      <c r="Y180" s="17"/>
      <c r="Z180" s="17"/>
      <c r="AA180" s="17"/>
    </row>
    <row r="181" spans="1:27">
      <c r="A181" s="20"/>
      <c r="B181" s="11">
        <v>3</v>
      </c>
      <c r="C181" s="11">
        <f>C177*B181</f>
        <v>42</v>
      </c>
      <c r="D181" s="11">
        <f ca="1">D177+C181/16</f>
        <v>18.25</v>
      </c>
      <c r="E181" s="11" t="e">
        <f ca="1">E177/D181</f>
        <v>#VALUE!</v>
      </c>
      <c r="F181" s="20" t="e">
        <f ca="1">F176/D181</f>
        <v>#N/A</v>
      </c>
      <c r="G181" s="11" t="e">
        <f ca="1">(E181+F181+$Q$43)*(1+$P$35)</f>
        <v>#VALUE!</v>
      </c>
      <c r="H181" s="20"/>
      <c r="I181" s="11">
        <v>3</v>
      </c>
      <c r="J181" s="11">
        <f>J177*I181</f>
        <v>39</v>
      </c>
      <c r="K181" s="11">
        <f ca="1">K177+J181/16</f>
        <v>16.8125</v>
      </c>
      <c r="L181" s="11" t="e">
        <f ca="1">L177/K181</f>
        <v>#VALUE!</v>
      </c>
      <c r="M181" s="20" t="e">
        <f ca="1">M176/K181</f>
        <v>#N/A</v>
      </c>
      <c r="N181" s="11" t="e">
        <f ca="1">(L181+M181+$Q$43)*(1+$P$35)</f>
        <v>#VALUE!</v>
      </c>
      <c r="O181" s="20"/>
      <c r="P181" s="11">
        <v>3</v>
      </c>
      <c r="Q181" s="11">
        <f>Q177*P181</f>
        <v>36</v>
      </c>
      <c r="R181" s="11">
        <f ca="1">R177+Q181/16</f>
        <v>15.375</v>
      </c>
      <c r="S181" s="11" t="e">
        <f ca="1">S177/R181</f>
        <v>#VALUE!</v>
      </c>
      <c r="T181" s="20" t="e">
        <f ca="1">T176/R181</f>
        <v>#N/A</v>
      </c>
      <c r="U181" s="11" t="e">
        <f ca="1">(S181+T181+$Q$43)*(1+$P$35)</f>
        <v>#VALUE!</v>
      </c>
      <c r="V181" s="30"/>
      <c r="W181" s="36"/>
      <c r="X181" s="17"/>
      <c r="Y181" s="17"/>
      <c r="Z181" s="17"/>
      <c r="AA181" s="17"/>
    </row>
    <row r="182" spans="1:27">
      <c r="A182" s="20"/>
      <c r="B182" s="11">
        <v>4</v>
      </c>
      <c r="C182" s="11">
        <f>C177*B182</f>
        <v>56</v>
      </c>
      <c r="D182" s="11">
        <f ca="1">D177+C182/16</f>
        <v>19.125</v>
      </c>
      <c r="E182" s="11" t="e">
        <f ca="1">E177/D182</f>
        <v>#VALUE!</v>
      </c>
      <c r="F182" s="20" t="e">
        <f ca="1">F176/D182</f>
        <v>#N/A</v>
      </c>
      <c r="G182" s="11" t="e">
        <f ca="1">(E182+F182+$Q$43)*(1+$P$35)</f>
        <v>#VALUE!</v>
      </c>
      <c r="H182" s="20"/>
      <c r="I182" s="11">
        <v>4</v>
      </c>
      <c r="J182" s="11">
        <f>J177*I182</f>
        <v>52</v>
      </c>
      <c r="K182" s="11">
        <f ca="1">K177+J182/16</f>
        <v>17.625</v>
      </c>
      <c r="L182" s="11" t="e">
        <f ca="1">L177/K182</f>
        <v>#VALUE!</v>
      </c>
      <c r="M182" s="20" t="e">
        <f ca="1">M176/K182</f>
        <v>#N/A</v>
      </c>
      <c r="N182" s="11" t="e">
        <f ca="1">(L182+M182+$Q$43)*(1+$P$35)</f>
        <v>#VALUE!</v>
      </c>
      <c r="O182" s="20"/>
      <c r="P182" s="11">
        <v>4</v>
      </c>
      <c r="Q182" s="11">
        <f>Q177*P182</f>
        <v>48</v>
      </c>
      <c r="R182" s="11">
        <f ca="1">R177+Q182/16</f>
        <v>16.125</v>
      </c>
      <c r="S182" s="11" t="e">
        <f ca="1">S177/R182</f>
        <v>#VALUE!</v>
      </c>
      <c r="T182" s="20" t="e">
        <f ca="1">T176/R182</f>
        <v>#N/A</v>
      </c>
      <c r="U182" s="11" t="e">
        <f ca="1">(S182+T182+$Q$43)*(1+$P$35)</f>
        <v>#VALUE!</v>
      </c>
      <c r="V182" s="30"/>
      <c r="W182" s="36"/>
      <c r="X182" s="17"/>
      <c r="Y182" s="17"/>
      <c r="Z182" s="17"/>
      <c r="AA182" s="17"/>
    </row>
    <row r="183" spans="1:27">
      <c r="A183" s="17"/>
      <c r="B183" s="17"/>
      <c r="C183" s="17"/>
      <c r="D183" s="17"/>
      <c r="E183" s="17"/>
      <c r="F183" s="17"/>
      <c r="G183" s="17"/>
      <c r="H183" s="11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30"/>
      <c r="W183" s="36"/>
      <c r="X183" s="17"/>
      <c r="Y183" s="17"/>
      <c r="Z183" s="17"/>
      <c r="AA183" s="17"/>
    </row>
    <row r="184" spans="1:27">
      <c r="A184" s="17"/>
      <c r="B184" s="17"/>
      <c r="C184" s="17"/>
      <c r="D184" s="17"/>
      <c r="E184" s="17"/>
      <c r="F184" s="17"/>
      <c r="G184" s="17"/>
      <c r="H184" s="11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30"/>
      <c r="W184" s="36"/>
      <c r="X184" s="17"/>
      <c r="Y184" s="17"/>
      <c r="Z184" s="17"/>
      <c r="AA184" s="17"/>
    </row>
    <row r="185" spans="1:27">
      <c r="A185" s="17"/>
      <c r="B185" s="17"/>
      <c r="C185" s="17"/>
      <c r="D185" s="17"/>
      <c r="E185" s="17"/>
      <c r="F185" s="17"/>
      <c r="G185" s="17"/>
      <c r="H185" s="11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30"/>
      <c r="W185" s="36"/>
      <c r="X185" s="17"/>
      <c r="Y185" s="17"/>
      <c r="Z185" s="17"/>
      <c r="AA185" s="17"/>
    </row>
    <row r="186" spans="1:27">
      <c r="A186" s="20" t="s">
        <v>271</v>
      </c>
      <c r="B186" s="20" t="s">
        <v>334</v>
      </c>
      <c r="C186" s="20" t="s">
        <v>304</v>
      </c>
      <c r="D186" s="20" t="s">
        <v>281</v>
      </c>
      <c r="E186" s="20" t="s">
        <v>278</v>
      </c>
      <c r="F186" s="20"/>
      <c r="G186" s="20"/>
      <c r="H186" s="17"/>
      <c r="I186" s="20" t="s">
        <v>271</v>
      </c>
      <c r="J186" s="20" t="s">
        <v>334</v>
      </c>
      <c r="K186" s="20" t="s">
        <v>304</v>
      </c>
      <c r="L186" s="20" t="s">
        <v>281</v>
      </c>
      <c r="M186" s="20" t="s">
        <v>278</v>
      </c>
      <c r="N186" s="20"/>
      <c r="O186" s="20"/>
      <c r="P186" s="20" t="s">
        <v>271</v>
      </c>
      <c r="Q186" s="20" t="s">
        <v>334</v>
      </c>
      <c r="R186" s="20" t="s">
        <v>304</v>
      </c>
      <c r="S186" s="20" t="s">
        <v>281</v>
      </c>
      <c r="T186" s="20" t="s">
        <v>278</v>
      </c>
      <c r="U186" s="20"/>
      <c r="V186" s="20"/>
      <c r="W186" s="36"/>
      <c r="X186" s="17"/>
      <c r="AA186" s="17"/>
    </row>
    <row r="187" spans="1:27">
      <c r="A187" s="20" t="s">
        <v>55</v>
      </c>
      <c r="B187" s="20">
        <f ca="1" t="shared" ref="B187:B198" si="67">IFERROR(VLOOKUP(A187,实战技能表,MATCH("怒气",$A$1:$T$1,0),0),0)</f>
        <v>15</v>
      </c>
      <c r="C187" s="20">
        <v>1</v>
      </c>
      <c r="D187" s="20">
        <f ca="1" t="shared" ref="D187:D199" si="68">IFERROR(VLOOKUP(A187,实战技能表,MATCH("时间",$A$1:$T$1,0),0),0)</f>
        <v>1.25</v>
      </c>
      <c r="E187" s="20">
        <f ca="1" t="shared" ref="E187:E199" si="69">IFERROR(VLOOKUP(A187,实战技能表,MATCH("dmg",$A$1:$T$1,0),0),0)</f>
        <v>0</v>
      </c>
      <c r="F187" s="20"/>
      <c r="G187" s="20"/>
      <c r="H187" s="17"/>
      <c r="I187" s="20" t="s">
        <v>55</v>
      </c>
      <c r="J187" s="20">
        <f ca="1" t="shared" ref="J187:J201" si="70">IFERROR(VLOOKUP(I187,实战技能表,MATCH("怒气",$A$1:$T$1,0),0),0)</f>
        <v>15</v>
      </c>
      <c r="K187" s="20">
        <v>1</v>
      </c>
      <c r="L187" s="20">
        <f ca="1" t="shared" ref="L187:L202" si="71">IFERROR(VLOOKUP(I187,实战技能表,MATCH("时间",$A$1:$T$1,0),0),0)</f>
        <v>1.25</v>
      </c>
      <c r="M187" s="20">
        <f ca="1" t="shared" ref="M187:M202" si="72">IFERROR(VLOOKUP(I187,实战技能表,MATCH("dmg",$A$1:$T$1,0),0),0)</f>
        <v>0</v>
      </c>
      <c r="N187" s="20"/>
      <c r="O187" s="20"/>
      <c r="P187" s="20" t="s">
        <v>55</v>
      </c>
      <c r="Q187" s="20">
        <f ca="1" t="shared" ref="Q187:Q198" si="73">IFERROR(VLOOKUP(P187,实战技能表,MATCH("怒气",$A$1:$T$1,0),0),0)</f>
        <v>15</v>
      </c>
      <c r="R187" s="20">
        <v>1</v>
      </c>
      <c r="S187" s="20">
        <f ca="1" t="shared" ref="S187:S199" si="74">IFERROR(VLOOKUP(P187,实战技能表,MATCH("时间",$A$1:$T$1,0),0),0)</f>
        <v>1.25</v>
      </c>
      <c r="T187" s="20">
        <f ca="1" t="shared" ref="T187:T199" si="75">IFERROR(VLOOKUP(P187,实战技能表,MATCH("dmg",$A$1:$T$1,0),0),0)</f>
        <v>0</v>
      </c>
      <c r="U187" s="20"/>
      <c r="V187" s="20"/>
      <c r="W187" s="36"/>
      <c r="X187" s="17"/>
      <c r="AA187" s="17"/>
    </row>
    <row r="188" spans="1:27">
      <c r="A188" s="20" t="s">
        <v>284</v>
      </c>
      <c r="B188" s="20">
        <f ca="1" t="shared" si="67"/>
        <v>5</v>
      </c>
      <c r="C188" s="20">
        <v>1</v>
      </c>
      <c r="D188" s="20">
        <f ca="1" t="shared" si="68"/>
        <v>0.8125</v>
      </c>
      <c r="E188" s="20">
        <f ca="1" t="shared" si="69"/>
        <v>0</v>
      </c>
      <c r="F188" s="20"/>
      <c r="G188" s="20"/>
      <c r="H188" s="17"/>
      <c r="I188" s="20" t="s">
        <v>315</v>
      </c>
      <c r="J188" s="20">
        <f ca="1" t="shared" si="70"/>
        <v>5</v>
      </c>
      <c r="K188" s="20">
        <v>1</v>
      </c>
      <c r="L188" s="20">
        <f ca="1" t="shared" si="71"/>
        <v>0.8125</v>
      </c>
      <c r="M188" s="20">
        <f ca="1" t="shared" si="72"/>
        <v>0</v>
      </c>
      <c r="N188" s="20"/>
      <c r="O188" s="20"/>
      <c r="P188" s="20" t="s">
        <v>284</v>
      </c>
      <c r="Q188" s="20">
        <f ca="1" t="shared" si="73"/>
        <v>5</v>
      </c>
      <c r="R188" s="20">
        <v>1</v>
      </c>
      <c r="S188" s="20">
        <f ca="1" t="shared" si="74"/>
        <v>0.8125</v>
      </c>
      <c r="T188" s="20">
        <f ca="1" t="shared" si="75"/>
        <v>0</v>
      </c>
      <c r="U188" s="20"/>
      <c r="V188" s="20"/>
      <c r="W188" s="36"/>
      <c r="X188" s="17"/>
      <c r="AA188" s="17"/>
    </row>
    <row r="189" spans="1:27">
      <c r="A189" s="20" t="s">
        <v>308</v>
      </c>
      <c r="B189" s="20">
        <f ca="1" t="shared" si="67"/>
        <v>5</v>
      </c>
      <c r="C189" s="20">
        <v>1</v>
      </c>
      <c r="D189" s="20">
        <f ca="1" t="shared" si="68"/>
        <v>0.8125</v>
      </c>
      <c r="E189" s="20">
        <f ca="1" t="shared" si="69"/>
        <v>0</v>
      </c>
      <c r="F189" s="20"/>
      <c r="G189" s="20"/>
      <c r="H189" s="17"/>
      <c r="I189" s="20" t="s">
        <v>316</v>
      </c>
      <c r="J189" s="20">
        <f ca="1" t="shared" si="70"/>
        <v>5</v>
      </c>
      <c r="K189" s="20">
        <v>1</v>
      </c>
      <c r="L189" s="20">
        <f ca="1" t="shared" si="71"/>
        <v>0.8125</v>
      </c>
      <c r="M189" s="20">
        <f ca="1" t="shared" si="72"/>
        <v>0</v>
      </c>
      <c r="N189" s="20"/>
      <c r="O189" s="20"/>
      <c r="P189" s="20" t="s">
        <v>308</v>
      </c>
      <c r="Q189" s="20">
        <f ca="1" t="shared" si="73"/>
        <v>5</v>
      </c>
      <c r="R189" s="20">
        <v>1</v>
      </c>
      <c r="S189" s="20">
        <f ca="1" t="shared" si="74"/>
        <v>0.8125</v>
      </c>
      <c r="T189" s="20">
        <f ca="1" t="shared" si="75"/>
        <v>0</v>
      </c>
      <c r="U189" s="20"/>
      <c r="V189" s="20"/>
      <c r="W189" s="36"/>
      <c r="X189" s="17"/>
      <c r="AA189" s="17"/>
    </row>
    <row r="190" spans="1:27">
      <c r="A190" s="20" t="s">
        <v>309</v>
      </c>
      <c r="B190" s="20">
        <f ca="1" t="shared" si="67"/>
        <v>10</v>
      </c>
      <c r="C190" s="20">
        <v>1</v>
      </c>
      <c r="D190" s="20">
        <f ca="1" t="shared" si="68"/>
        <v>0.8125</v>
      </c>
      <c r="E190" s="20">
        <f ca="1" t="shared" si="69"/>
        <v>0</v>
      </c>
      <c r="F190" s="20"/>
      <c r="G190" s="20"/>
      <c r="H190" s="17"/>
      <c r="I190" s="20" t="s">
        <v>317</v>
      </c>
      <c r="J190" s="20">
        <f ca="1" t="shared" si="70"/>
        <v>5</v>
      </c>
      <c r="K190" s="20">
        <v>1</v>
      </c>
      <c r="L190" s="20">
        <f ca="1" t="shared" si="71"/>
        <v>0.8125</v>
      </c>
      <c r="M190" s="20">
        <f ca="1" t="shared" si="72"/>
        <v>0</v>
      </c>
      <c r="N190" s="20"/>
      <c r="O190" s="20"/>
      <c r="P190" s="20" t="s">
        <v>309</v>
      </c>
      <c r="Q190" s="20">
        <f ca="1" t="shared" si="73"/>
        <v>10</v>
      </c>
      <c r="R190" s="20">
        <v>1</v>
      </c>
      <c r="S190" s="20">
        <f ca="1" t="shared" si="74"/>
        <v>0.8125</v>
      </c>
      <c r="T190" s="20">
        <f ca="1" t="shared" si="75"/>
        <v>0</v>
      </c>
      <c r="U190" s="20"/>
      <c r="V190" s="20"/>
      <c r="W190" s="36"/>
      <c r="X190" s="17"/>
      <c r="AA190" s="17"/>
    </row>
    <row r="191" spans="1:27">
      <c r="A191" s="20" t="s">
        <v>310</v>
      </c>
      <c r="B191" s="20">
        <f ca="1" t="shared" si="67"/>
        <v>5</v>
      </c>
      <c r="C191" s="20">
        <v>1</v>
      </c>
      <c r="D191" s="20">
        <f ca="1" t="shared" si="68"/>
        <v>0.6875</v>
      </c>
      <c r="E191" s="20">
        <f ca="1" t="shared" si="69"/>
        <v>0</v>
      </c>
      <c r="F191" s="20"/>
      <c r="G191" s="20"/>
      <c r="H191" s="17"/>
      <c r="I191" s="20" t="s">
        <v>318</v>
      </c>
      <c r="J191" s="20">
        <f ca="1" t="shared" si="70"/>
        <v>5</v>
      </c>
      <c r="K191" s="20">
        <v>1</v>
      </c>
      <c r="L191" s="20">
        <f ca="1" t="shared" si="71"/>
        <v>0.6875</v>
      </c>
      <c r="M191" s="20">
        <f ca="1" t="shared" si="72"/>
        <v>0</v>
      </c>
      <c r="N191" s="20"/>
      <c r="O191" s="20"/>
      <c r="P191" s="20" t="s">
        <v>310</v>
      </c>
      <c r="Q191" s="20">
        <f ca="1" t="shared" si="73"/>
        <v>5</v>
      </c>
      <c r="R191" s="20">
        <v>1</v>
      </c>
      <c r="S191" s="20">
        <f ca="1" t="shared" si="74"/>
        <v>0.6875</v>
      </c>
      <c r="T191" s="20">
        <f ca="1" t="shared" si="75"/>
        <v>0</v>
      </c>
      <c r="U191" s="20"/>
      <c r="V191" s="20"/>
      <c r="W191" s="36"/>
      <c r="X191" s="17"/>
      <c r="AA191" s="17"/>
    </row>
    <row r="192" spans="1:27">
      <c r="A192" s="20" t="s">
        <v>284</v>
      </c>
      <c r="B192" s="20">
        <f ca="1" t="shared" si="67"/>
        <v>5</v>
      </c>
      <c r="C192" s="20">
        <v>1</v>
      </c>
      <c r="D192" s="20">
        <f ca="1" t="shared" si="68"/>
        <v>0.8125</v>
      </c>
      <c r="E192" s="20">
        <f ca="1" t="shared" si="69"/>
        <v>0</v>
      </c>
      <c r="F192" s="20"/>
      <c r="G192" s="20"/>
      <c r="H192" s="17"/>
      <c r="I192" s="20" t="s">
        <v>315</v>
      </c>
      <c r="J192" s="20">
        <f ca="1" t="shared" si="70"/>
        <v>5</v>
      </c>
      <c r="K192" s="20">
        <v>1</v>
      </c>
      <c r="L192" s="20">
        <f ca="1" t="shared" si="71"/>
        <v>0.8125</v>
      </c>
      <c r="M192" s="20">
        <f ca="1" t="shared" si="72"/>
        <v>0</v>
      </c>
      <c r="N192" s="20"/>
      <c r="O192" s="20"/>
      <c r="P192" s="20" t="s">
        <v>284</v>
      </c>
      <c r="Q192" s="20">
        <f ca="1" t="shared" si="73"/>
        <v>5</v>
      </c>
      <c r="R192" s="20">
        <v>1</v>
      </c>
      <c r="S192" s="20">
        <f ca="1" t="shared" si="74"/>
        <v>0.8125</v>
      </c>
      <c r="T192" s="20">
        <f ca="1" t="shared" si="75"/>
        <v>0</v>
      </c>
      <c r="U192" s="20"/>
      <c r="V192" s="20"/>
      <c r="W192" s="36"/>
      <c r="X192" s="17"/>
      <c r="AA192" s="17"/>
    </row>
    <row r="193" spans="1:27">
      <c r="A193" s="20" t="s">
        <v>308</v>
      </c>
      <c r="B193" s="20">
        <f ca="1" t="shared" si="67"/>
        <v>5</v>
      </c>
      <c r="C193" s="20">
        <v>1</v>
      </c>
      <c r="D193" s="20">
        <f ca="1" t="shared" si="68"/>
        <v>0.8125</v>
      </c>
      <c r="E193" s="20">
        <f ca="1" t="shared" si="69"/>
        <v>0</v>
      </c>
      <c r="F193" s="20"/>
      <c r="G193" s="20"/>
      <c r="H193" s="17"/>
      <c r="I193" s="20" t="s">
        <v>316</v>
      </c>
      <c r="J193" s="20">
        <f ca="1" t="shared" si="70"/>
        <v>5</v>
      </c>
      <c r="K193" s="20">
        <v>1</v>
      </c>
      <c r="L193" s="20">
        <f ca="1" t="shared" si="71"/>
        <v>0.8125</v>
      </c>
      <c r="M193" s="20">
        <f ca="1" t="shared" si="72"/>
        <v>0</v>
      </c>
      <c r="N193" s="20"/>
      <c r="O193" s="20"/>
      <c r="P193" s="20" t="s">
        <v>308</v>
      </c>
      <c r="Q193" s="20">
        <f ca="1" t="shared" si="73"/>
        <v>5</v>
      </c>
      <c r="R193" s="20">
        <v>1</v>
      </c>
      <c r="S193" s="20">
        <f ca="1" t="shared" si="74"/>
        <v>0.8125</v>
      </c>
      <c r="T193" s="20">
        <f ca="1" t="shared" si="75"/>
        <v>0</v>
      </c>
      <c r="U193" s="20"/>
      <c r="V193" s="20"/>
      <c r="W193" s="36"/>
      <c r="X193" s="17"/>
      <c r="AA193" s="17"/>
    </row>
    <row r="194" spans="1:27">
      <c r="A194" s="20" t="s">
        <v>309</v>
      </c>
      <c r="B194" s="20">
        <f ca="1" t="shared" si="67"/>
        <v>10</v>
      </c>
      <c r="C194" s="20">
        <v>1</v>
      </c>
      <c r="D194" s="20">
        <f ca="1" t="shared" si="68"/>
        <v>0.8125</v>
      </c>
      <c r="E194" s="20">
        <f ca="1" t="shared" si="69"/>
        <v>0</v>
      </c>
      <c r="F194" s="20"/>
      <c r="G194" s="20"/>
      <c r="H194" s="17"/>
      <c r="I194" s="20" t="s">
        <v>317</v>
      </c>
      <c r="J194" s="20">
        <f ca="1" t="shared" si="70"/>
        <v>5</v>
      </c>
      <c r="K194" s="20">
        <v>1</v>
      </c>
      <c r="L194" s="20">
        <f ca="1" t="shared" si="71"/>
        <v>0.8125</v>
      </c>
      <c r="M194" s="20">
        <f ca="1" t="shared" si="72"/>
        <v>0</v>
      </c>
      <c r="N194" s="20"/>
      <c r="O194" s="20"/>
      <c r="P194" s="20" t="s">
        <v>309</v>
      </c>
      <c r="Q194" s="20">
        <f ca="1" t="shared" si="73"/>
        <v>10</v>
      </c>
      <c r="R194" s="20">
        <v>1</v>
      </c>
      <c r="S194" s="20">
        <f ca="1" t="shared" si="74"/>
        <v>0.8125</v>
      </c>
      <c r="T194" s="20">
        <f ca="1" t="shared" si="75"/>
        <v>0</v>
      </c>
      <c r="U194" s="20"/>
      <c r="V194" s="20"/>
      <c r="W194" s="36"/>
      <c r="X194" s="17"/>
      <c r="AA194" s="17"/>
    </row>
    <row r="195" spans="1:27">
      <c r="A195" s="20" t="s">
        <v>310</v>
      </c>
      <c r="B195" s="20">
        <f ca="1" t="shared" si="67"/>
        <v>5</v>
      </c>
      <c r="C195" s="20">
        <v>1</v>
      </c>
      <c r="D195" s="20">
        <f ca="1" t="shared" si="68"/>
        <v>0.6875</v>
      </c>
      <c r="E195" s="20">
        <f ca="1" t="shared" si="69"/>
        <v>0</v>
      </c>
      <c r="F195" s="20"/>
      <c r="G195" s="20"/>
      <c r="H195" s="17"/>
      <c r="I195" s="20" t="s">
        <v>318</v>
      </c>
      <c r="J195" s="20">
        <f ca="1" t="shared" si="70"/>
        <v>5</v>
      </c>
      <c r="K195" s="20">
        <v>1</v>
      </c>
      <c r="L195" s="20">
        <f ca="1" t="shared" si="71"/>
        <v>0.6875</v>
      </c>
      <c r="M195" s="20">
        <f ca="1" t="shared" si="72"/>
        <v>0</v>
      </c>
      <c r="N195" s="20"/>
      <c r="O195" s="20"/>
      <c r="P195" s="20" t="s">
        <v>310</v>
      </c>
      <c r="Q195" s="20">
        <f ca="1" t="shared" si="73"/>
        <v>5</v>
      </c>
      <c r="R195" s="20">
        <v>1</v>
      </c>
      <c r="S195" s="20">
        <f ca="1" t="shared" si="74"/>
        <v>0.6875</v>
      </c>
      <c r="T195" s="20">
        <f ca="1" t="shared" si="75"/>
        <v>0</v>
      </c>
      <c r="U195" s="20"/>
      <c r="V195" s="20"/>
      <c r="W195" s="36"/>
      <c r="X195" s="17"/>
      <c r="AA195" s="17"/>
    </row>
    <row r="196" spans="1:27">
      <c r="A196" s="20" t="s">
        <v>65</v>
      </c>
      <c r="B196" s="20">
        <f ca="1" t="shared" si="67"/>
        <v>-15</v>
      </c>
      <c r="C196" s="20">
        <v>1</v>
      </c>
      <c r="D196" s="20">
        <f ca="1" t="shared" si="68"/>
        <v>1.25</v>
      </c>
      <c r="E196" s="20">
        <f ca="1" t="shared" si="69"/>
        <v>0</v>
      </c>
      <c r="G196" s="11"/>
      <c r="H196" s="17"/>
      <c r="I196" s="20" t="s">
        <v>315</v>
      </c>
      <c r="J196" s="20">
        <f ca="1" t="shared" si="70"/>
        <v>5</v>
      </c>
      <c r="K196" s="20">
        <v>1</v>
      </c>
      <c r="L196" s="20">
        <f ca="1" t="shared" si="71"/>
        <v>0.8125</v>
      </c>
      <c r="M196" s="20">
        <f ca="1" t="shared" si="72"/>
        <v>0</v>
      </c>
      <c r="O196" s="11"/>
      <c r="P196" s="20" t="s">
        <v>65</v>
      </c>
      <c r="Q196" s="20">
        <f ca="1" t="shared" si="73"/>
        <v>-15</v>
      </c>
      <c r="R196" s="20">
        <v>1</v>
      </c>
      <c r="S196" s="20">
        <f ca="1" t="shared" si="74"/>
        <v>1.25</v>
      </c>
      <c r="T196" s="20">
        <f ca="1" t="shared" si="75"/>
        <v>0</v>
      </c>
      <c r="V196" s="11"/>
      <c r="W196" s="36"/>
      <c r="X196" s="17"/>
      <c r="AA196" s="17"/>
    </row>
    <row r="197" spans="1:27">
      <c r="A197" s="20" t="s">
        <v>14</v>
      </c>
      <c r="B197" s="20">
        <f ca="1" t="shared" si="67"/>
        <v>-5</v>
      </c>
      <c r="C197" s="20">
        <v>1</v>
      </c>
      <c r="D197" s="20">
        <f ca="1" t="shared" si="68"/>
        <v>1.25</v>
      </c>
      <c r="E197" s="20">
        <f ca="1" t="shared" si="69"/>
        <v>0</v>
      </c>
      <c r="F197" s="17"/>
      <c r="G197" s="17"/>
      <c r="H197" s="17"/>
      <c r="I197" s="20" t="s">
        <v>316</v>
      </c>
      <c r="J197" s="20">
        <f ca="1" t="shared" si="70"/>
        <v>5</v>
      </c>
      <c r="K197" s="20">
        <v>1</v>
      </c>
      <c r="L197" s="20">
        <f ca="1" t="shared" si="71"/>
        <v>0.8125</v>
      </c>
      <c r="M197" s="20">
        <f ca="1" t="shared" si="72"/>
        <v>0</v>
      </c>
      <c r="N197" s="17"/>
      <c r="O197" s="17"/>
      <c r="P197" s="20" t="s">
        <v>73</v>
      </c>
      <c r="Q197" s="20">
        <f ca="1" t="shared" si="73"/>
        <v>-15</v>
      </c>
      <c r="R197" s="20">
        <v>1</v>
      </c>
      <c r="S197" s="20">
        <f ca="1" t="shared" si="74"/>
        <v>1.25</v>
      </c>
      <c r="T197" s="20">
        <f ca="1" t="shared" si="75"/>
        <v>0</v>
      </c>
      <c r="U197" s="17"/>
      <c r="V197" s="17"/>
      <c r="W197" s="36"/>
      <c r="X197" s="17"/>
      <c r="AA197" s="17"/>
    </row>
    <row r="198" spans="1:27">
      <c r="A198" s="20" t="s">
        <v>287</v>
      </c>
      <c r="B198" s="20">
        <f ca="1" t="shared" si="67"/>
        <v>0</v>
      </c>
      <c r="C198" s="20">
        <v>1</v>
      </c>
      <c r="D198" s="20">
        <f ca="1" t="shared" si="68"/>
        <v>1.25</v>
      </c>
      <c r="E198" s="20">
        <f ca="1" t="shared" si="69"/>
        <v>0</v>
      </c>
      <c r="F198" s="17"/>
      <c r="G198" s="17"/>
      <c r="H198" s="17"/>
      <c r="I198" s="20" t="s">
        <v>317</v>
      </c>
      <c r="J198" s="20">
        <f ca="1" t="shared" si="70"/>
        <v>5</v>
      </c>
      <c r="K198" s="20">
        <v>1</v>
      </c>
      <c r="L198" s="20">
        <f ca="1" t="shared" si="71"/>
        <v>0.8125</v>
      </c>
      <c r="M198" s="20">
        <f ca="1" t="shared" si="72"/>
        <v>0</v>
      </c>
      <c r="N198" s="17"/>
      <c r="O198" s="17"/>
      <c r="P198" s="20" t="s">
        <v>290</v>
      </c>
      <c r="Q198" s="20">
        <f ca="1" t="shared" si="73"/>
        <v>0</v>
      </c>
      <c r="R198" s="20">
        <v>1</v>
      </c>
      <c r="S198" s="20">
        <f ca="1" t="shared" si="74"/>
        <v>1.25</v>
      </c>
      <c r="T198" s="20">
        <f ca="1" t="shared" si="75"/>
        <v>0</v>
      </c>
      <c r="U198" s="17"/>
      <c r="V198" s="17"/>
      <c r="W198" s="36"/>
      <c r="X198" s="17"/>
      <c r="AA198" s="17"/>
    </row>
    <row r="199" spans="1:27">
      <c r="A199" s="20" t="s">
        <v>287</v>
      </c>
      <c r="B199" s="20">
        <v>-55</v>
      </c>
      <c r="C199" s="20">
        <v>1</v>
      </c>
      <c r="D199" s="20">
        <f ca="1" t="shared" si="68"/>
        <v>1.25</v>
      </c>
      <c r="E199" s="20">
        <f ca="1" t="shared" si="69"/>
        <v>0</v>
      </c>
      <c r="F199" s="17"/>
      <c r="G199" s="17"/>
      <c r="H199" s="17"/>
      <c r="I199" s="20" t="s">
        <v>318</v>
      </c>
      <c r="J199" s="20">
        <f ca="1" t="shared" si="70"/>
        <v>5</v>
      </c>
      <c r="K199" s="20">
        <v>1</v>
      </c>
      <c r="L199" s="20">
        <f ca="1" t="shared" si="71"/>
        <v>0.6875</v>
      </c>
      <c r="M199" s="20">
        <f ca="1" t="shared" si="72"/>
        <v>0</v>
      </c>
      <c r="N199" s="17"/>
      <c r="O199" s="17"/>
      <c r="P199" s="20" t="s">
        <v>290</v>
      </c>
      <c r="Q199" s="20">
        <v>-55</v>
      </c>
      <c r="R199" s="20">
        <v>1</v>
      </c>
      <c r="S199" s="20">
        <f ca="1" t="shared" si="74"/>
        <v>1.25</v>
      </c>
      <c r="T199" s="20">
        <f ca="1" t="shared" si="75"/>
        <v>0</v>
      </c>
      <c r="U199" s="17"/>
      <c r="V199" s="17"/>
      <c r="W199" s="36"/>
      <c r="X199" s="17"/>
      <c r="AA199" s="17"/>
    </row>
    <row r="200" spans="1:27">
      <c r="A200" s="20"/>
      <c r="B200" s="20"/>
      <c r="C200" s="11">
        <f>SUM(C196:C199)</f>
        <v>4</v>
      </c>
      <c r="D200" s="11">
        <f ca="1">SUM(D196:D199)+C200/16</f>
        <v>5.25</v>
      </c>
      <c r="E200" s="7" t="e">
        <f ca="1">(INT(D200+1))*$I$9</f>
        <v>#VALUE!</v>
      </c>
      <c r="F200" s="11" t="e">
        <f ca="1">D200*$I$16/$T$15+(D201-D200)*$I$15/$T$15</f>
        <v>#N/A</v>
      </c>
      <c r="G200" s="11"/>
      <c r="H200" s="17"/>
      <c r="I200" s="20" t="s">
        <v>65</v>
      </c>
      <c r="J200" s="20">
        <f ca="1" t="shared" si="70"/>
        <v>-15</v>
      </c>
      <c r="K200" s="20">
        <v>1</v>
      </c>
      <c r="L200" s="20">
        <f ca="1" t="shared" si="71"/>
        <v>1.25</v>
      </c>
      <c r="M200" s="20">
        <f ca="1" t="shared" si="72"/>
        <v>0</v>
      </c>
      <c r="N200" s="17"/>
      <c r="O200" s="17"/>
      <c r="P200" s="20"/>
      <c r="Q200" s="20"/>
      <c r="R200" s="11">
        <f>SUM(R196:R199)</f>
        <v>4</v>
      </c>
      <c r="S200" s="11">
        <f ca="1">SUM(S196:S199)+R200/16</f>
        <v>5.25</v>
      </c>
      <c r="T200" s="7" t="e">
        <f ca="1">(INT(S200+1))*$I$9</f>
        <v>#VALUE!</v>
      </c>
      <c r="U200" s="11" t="e">
        <f ca="1">S200*$I$16/$T$15+(S201-S200)*$I$15/$T$15</f>
        <v>#N/A</v>
      </c>
      <c r="V200" s="11"/>
      <c r="W200" s="36"/>
      <c r="X200" s="17"/>
      <c r="Y200" s="17"/>
      <c r="Z200" s="17"/>
      <c r="AA200" s="17"/>
    </row>
    <row r="201" spans="1:27">
      <c r="A201" s="20"/>
      <c r="B201" s="11">
        <f ca="1">SUM(B187:B199)</f>
        <v>-10</v>
      </c>
      <c r="C201" s="11">
        <f>SUM(C187:C199)</f>
        <v>13</v>
      </c>
      <c r="D201" s="11">
        <f ca="1">SUM(D187:D199)</f>
        <v>12.5</v>
      </c>
      <c r="E201" s="11" t="e">
        <f ca="1">SUM(E187:E200)</f>
        <v>#VALUE!</v>
      </c>
      <c r="F201" s="11"/>
      <c r="G201" s="11"/>
      <c r="H201" s="17"/>
      <c r="I201" s="20" t="s">
        <v>289</v>
      </c>
      <c r="J201" s="20">
        <f ca="1" t="shared" si="70"/>
        <v>0</v>
      </c>
      <c r="K201" s="20">
        <v>1</v>
      </c>
      <c r="L201" s="20">
        <f ca="1" t="shared" si="71"/>
        <v>1.25</v>
      </c>
      <c r="M201" s="20">
        <f ca="1" t="shared" si="72"/>
        <v>0</v>
      </c>
      <c r="N201" s="17"/>
      <c r="O201" s="17"/>
      <c r="P201" s="20"/>
      <c r="Q201" s="11">
        <f ca="1">SUM(Q187:Q199)</f>
        <v>-20</v>
      </c>
      <c r="R201" s="11">
        <f>SUM(R187:R199)</f>
        <v>13</v>
      </c>
      <c r="S201" s="11">
        <f ca="1">SUM(S187:S199)</f>
        <v>12.5</v>
      </c>
      <c r="T201" s="11" t="e">
        <f ca="1">SUM(T187:T200)</f>
        <v>#VALUE!</v>
      </c>
      <c r="U201" s="11"/>
      <c r="V201" s="11"/>
      <c r="W201" s="36"/>
      <c r="X201" s="17"/>
      <c r="Y201" s="17"/>
      <c r="Z201" s="17"/>
      <c r="AA201" s="17"/>
    </row>
    <row r="202" spans="1:27">
      <c r="A202" s="20"/>
      <c r="B202" s="11">
        <v>0</v>
      </c>
      <c r="C202" s="11">
        <f>C201*B202</f>
        <v>0</v>
      </c>
      <c r="D202" s="11">
        <f ca="1">D201+C202/16</f>
        <v>12.5</v>
      </c>
      <c r="E202" s="11" t="e">
        <f ca="1">E201/D202</f>
        <v>#VALUE!</v>
      </c>
      <c r="F202" s="11" t="e">
        <f ca="1">F200/D202</f>
        <v>#N/A</v>
      </c>
      <c r="G202" s="11" t="e">
        <f ca="1">(E202+F202+$Q$43)*(1+$P$35)</f>
        <v>#VALUE!</v>
      </c>
      <c r="H202" s="17"/>
      <c r="I202" s="20" t="s">
        <v>289</v>
      </c>
      <c r="J202" s="20">
        <v>-65</v>
      </c>
      <c r="K202" s="20">
        <v>1</v>
      </c>
      <c r="L202" s="20">
        <f ca="1" t="shared" si="71"/>
        <v>1.25</v>
      </c>
      <c r="M202" s="20">
        <f ca="1" t="shared" si="72"/>
        <v>0</v>
      </c>
      <c r="N202" s="17"/>
      <c r="O202" s="17"/>
      <c r="P202" s="20"/>
      <c r="Q202" s="11">
        <v>0</v>
      </c>
      <c r="R202" s="11">
        <f>R201*Q202</f>
        <v>0</v>
      </c>
      <c r="S202" s="11">
        <f ca="1">S201+R202/16</f>
        <v>12.5</v>
      </c>
      <c r="T202" s="11" t="e">
        <f ca="1">T201/S202</f>
        <v>#VALUE!</v>
      </c>
      <c r="U202" s="11" t="e">
        <f ca="1">U200/S202</f>
        <v>#N/A</v>
      </c>
      <c r="V202" s="11" t="e">
        <f ca="1">(T202+U202+$Q$43)*(1+$P$35)</f>
        <v>#VALUE!</v>
      </c>
      <c r="W202" s="36"/>
      <c r="X202" s="17"/>
      <c r="Y202" s="17"/>
      <c r="Z202" s="17"/>
      <c r="AA202" s="17"/>
    </row>
    <row r="203" spans="1:27">
      <c r="A203" s="20"/>
      <c r="B203" s="11">
        <v>1</v>
      </c>
      <c r="C203" s="11">
        <f>C201*B203</f>
        <v>13</v>
      </c>
      <c r="D203" s="11">
        <f ca="1">D201+C203/16</f>
        <v>13.3125</v>
      </c>
      <c r="E203" s="11" t="e">
        <f ca="1">E201/D203</f>
        <v>#VALUE!</v>
      </c>
      <c r="F203" s="11" t="e">
        <f ca="1">F200/D203</f>
        <v>#N/A</v>
      </c>
      <c r="G203" s="11" t="e">
        <f ca="1">(E203+F203+$Q$43)*(1+$P$35)</f>
        <v>#VALUE!</v>
      </c>
      <c r="H203" s="17"/>
      <c r="I203" s="20"/>
      <c r="J203" s="20"/>
      <c r="K203" s="11">
        <f>SUM(K200:K202)</f>
        <v>3</v>
      </c>
      <c r="L203" s="11">
        <f ca="1">SUM(L200:L202)+K203/16</f>
        <v>3.9375</v>
      </c>
      <c r="M203" s="7" t="e">
        <f ca="1">(INT(L203+1))*$I$9</f>
        <v>#VALUE!</v>
      </c>
      <c r="N203" s="11" t="e">
        <f ca="1">L203*$I$16/$T$15+(L204-L203)*$I$15/$T$15</f>
        <v>#N/A</v>
      </c>
      <c r="O203" s="11"/>
      <c r="P203" s="20"/>
      <c r="Q203" s="11">
        <v>1</v>
      </c>
      <c r="R203" s="11">
        <f>R201*Q203</f>
        <v>13</v>
      </c>
      <c r="S203" s="11">
        <f ca="1">S201+R203/16</f>
        <v>13.3125</v>
      </c>
      <c r="T203" s="11" t="e">
        <f ca="1">T201/S203</f>
        <v>#VALUE!</v>
      </c>
      <c r="U203" s="11" t="e">
        <f ca="1">U200/S203</f>
        <v>#N/A</v>
      </c>
      <c r="V203" s="11" t="e">
        <f ca="1">(T203+U203+$Q$43)*(1+$P$35)</f>
        <v>#VALUE!</v>
      </c>
      <c r="W203" s="36"/>
      <c r="X203" s="17"/>
      <c r="Y203" s="17"/>
      <c r="Z203" s="17"/>
      <c r="AA203" s="17"/>
    </row>
    <row r="204" spans="1:27">
      <c r="A204" s="20"/>
      <c r="B204" s="11">
        <v>2</v>
      </c>
      <c r="C204" s="11">
        <f>C201*B204</f>
        <v>26</v>
      </c>
      <c r="D204" s="11">
        <f ca="1">D201+C204/16</f>
        <v>14.125</v>
      </c>
      <c r="E204" s="11" t="e">
        <f ca="1">E201/D204</f>
        <v>#VALUE!</v>
      </c>
      <c r="F204" s="20" t="e">
        <f ca="1">F200/D204</f>
        <v>#N/A</v>
      </c>
      <c r="G204" s="11" t="e">
        <f ca="1">(E204+F204+$Q$43)*(1+$P$35)</f>
        <v>#VALUE!</v>
      </c>
      <c r="H204" s="17"/>
      <c r="I204" s="17"/>
      <c r="J204" s="11">
        <f ca="1">SUM(J187:J202)</f>
        <v>-5</v>
      </c>
      <c r="K204" s="11">
        <f>SUM(K187:K202)</f>
        <v>16</v>
      </c>
      <c r="L204" s="11">
        <f ca="1">SUM(L187:L202)</f>
        <v>14.375</v>
      </c>
      <c r="M204" s="11" t="e">
        <f ca="1">SUM(M187:M203)</f>
        <v>#VALUE!</v>
      </c>
      <c r="N204" s="11"/>
      <c r="O204" s="11"/>
      <c r="P204" s="20"/>
      <c r="Q204" s="11">
        <v>2</v>
      </c>
      <c r="R204" s="11">
        <f>R201*Q204</f>
        <v>26</v>
      </c>
      <c r="S204" s="11">
        <f ca="1">S201+R204/16</f>
        <v>14.125</v>
      </c>
      <c r="T204" s="11" t="e">
        <f ca="1">T201/S204</f>
        <v>#VALUE!</v>
      </c>
      <c r="U204" s="20" t="e">
        <f ca="1">U200/S204</f>
        <v>#N/A</v>
      </c>
      <c r="V204" s="11" t="e">
        <f ca="1">(T204+U204+$Q$43)*(1+$P$35)</f>
        <v>#VALUE!</v>
      </c>
      <c r="W204" s="36"/>
      <c r="X204" s="17"/>
      <c r="Y204" s="17"/>
      <c r="Z204" s="17"/>
      <c r="AA204" s="17"/>
    </row>
    <row r="205" spans="1:27">
      <c r="A205" s="20"/>
      <c r="B205" s="11">
        <v>3</v>
      </c>
      <c r="C205" s="11">
        <f>C201*B205</f>
        <v>39</v>
      </c>
      <c r="D205" s="11">
        <f ca="1">D201+C205/16</f>
        <v>14.9375</v>
      </c>
      <c r="E205" s="11" t="e">
        <f ca="1">E201/D205</f>
        <v>#VALUE!</v>
      </c>
      <c r="F205" s="20" t="e">
        <f ca="1">F200/D205</f>
        <v>#N/A</v>
      </c>
      <c r="G205" s="11" t="e">
        <f ca="1">(E205+F205+$Q$43)*(1+$P$35)</f>
        <v>#VALUE!</v>
      </c>
      <c r="H205" s="17"/>
      <c r="I205" s="17"/>
      <c r="J205" s="11">
        <v>0</v>
      </c>
      <c r="K205" s="11">
        <f>K204*J205</f>
        <v>0</v>
      </c>
      <c r="L205" s="11">
        <f ca="1">L204+K205/16</f>
        <v>14.375</v>
      </c>
      <c r="M205" s="11" t="e">
        <f ca="1">M204/L205</f>
        <v>#VALUE!</v>
      </c>
      <c r="N205" s="11" t="e">
        <f ca="1">N203/L205</f>
        <v>#N/A</v>
      </c>
      <c r="O205" s="11" t="e">
        <f ca="1">(M205+N205+$Q$43)*(1+$P$35)</f>
        <v>#VALUE!</v>
      </c>
      <c r="P205" s="20"/>
      <c r="Q205" s="11">
        <v>3</v>
      </c>
      <c r="R205" s="11">
        <f>R201*Q205</f>
        <v>39</v>
      </c>
      <c r="S205" s="11">
        <f ca="1">S201+R205/16</f>
        <v>14.9375</v>
      </c>
      <c r="T205" s="11" t="e">
        <f ca="1">T201/S205</f>
        <v>#VALUE!</v>
      </c>
      <c r="U205" s="20" t="e">
        <f ca="1">U200/S205</f>
        <v>#N/A</v>
      </c>
      <c r="V205" s="11" t="e">
        <f ca="1">(T205+U205+$Q$43)*(1+$P$35)</f>
        <v>#VALUE!</v>
      </c>
      <c r="W205" s="36"/>
      <c r="X205" s="17"/>
      <c r="Y205" s="17"/>
      <c r="Z205" s="17"/>
      <c r="AA205" s="17"/>
    </row>
    <row r="206" spans="1:27">
      <c r="A206" s="20"/>
      <c r="B206" s="11">
        <v>4</v>
      </c>
      <c r="C206" s="11">
        <f>C201*B206</f>
        <v>52</v>
      </c>
      <c r="D206" s="11">
        <f ca="1">D201+C206/16</f>
        <v>15.75</v>
      </c>
      <c r="E206" s="11" t="e">
        <f ca="1">E201/D206</f>
        <v>#VALUE!</v>
      </c>
      <c r="F206" s="20" t="e">
        <f ca="1">F200/D206</f>
        <v>#N/A</v>
      </c>
      <c r="G206" s="11" t="e">
        <f ca="1">(E206+F206+$Q$43)*(1+$P$35)</f>
        <v>#VALUE!</v>
      </c>
      <c r="H206" s="17"/>
      <c r="I206" s="17"/>
      <c r="J206" s="11">
        <v>1</v>
      </c>
      <c r="K206" s="11">
        <f>K204*J206</f>
        <v>16</v>
      </c>
      <c r="L206" s="11">
        <f ca="1">L204+K206/16</f>
        <v>15.375</v>
      </c>
      <c r="M206" s="11" t="e">
        <f ca="1">M204/L206</f>
        <v>#VALUE!</v>
      </c>
      <c r="N206" s="11" t="e">
        <f ca="1">N203/L206</f>
        <v>#N/A</v>
      </c>
      <c r="O206" s="11" t="e">
        <f ca="1">(M206+N206+$Q$43)*(1+$P$35)</f>
        <v>#VALUE!</v>
      </c>
      <c r="P206" s="20"/>
      <c r="Q206" s="11">
        <v>4</v>
      </c>
      <c r="R206" s="11">
        <f>R201*Q206</f>
        <v>52</v>
      </c>
      <c r="S206" s="11">
        <f ca="1">S201+R206/16</f>
        <v>15.75</v>
      </c>
      <c r="T206" s="11" t="e">
        <f ca="1">T201/S206</f>
        <v>#VALUE!</v>
      </c>
      <c r="U206" s="20" t="e">
        <f ca="1">U200/S206</f>
        <v>#N/A</v>
      </c>
      <c r="V206" s="11" t="e">
        <f ca="1">(T206+U206+$Q$43)*(1+$P$35)</f>
        <v>#VALUE!</v>
      </c>
      <c r="W206" s="36"/>
      <c r="X206" s="17"/>
      <c r="Y206" s="17"/>
      <c r="Z206" s="17"/>
      <c r="AA206" s="17"/>
    </row>
    <row r="207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1">
        <v>2</v>
      </c>
      <c r="K207" s="11">
        <f>K204*J207</f>
        <v>32</v>
      </c>
      <c r="L207" s="11">
        <f ca="1">L204+K207/16</f>
        <v>16.375</v>
      </c>
      <c r="M207" s="11" t="e">
        <f ca="1">M204/L207</f>
        <v>#VALUE!</v>
      </c>
      <c r="N207" s="20" t="e">
        <f ca="1">N203/L207</f>
        <v>#N/A</v>
      </c>
      <c r="O207" s="11" t="e">
        <f ca="1">(M207+N207+$Q$43)*(1+$P$35)</f>
        <v>#VALUE!</v>
      </c>
      <c r="P207" s="17"/>
      <c r="Q207" s="17"/>
      <c r="R207" s="17"/>
      <c r="S207" s="17"/>
      <c r="T207" s="17"/>
      <c r="U207" s="17"/>
      <c r="V207" s="30"/>
      <c r="W207" s="36"/>
      <c r="X207" s="17"/>
      <c r="Y207" s="17"/>
      <c r="Z207" s="17"/>
      <c r="AA207" s="17"/>
    </row>
    <row r="208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1">
        <v>3</v>
      </c>
      <c r="K208" s="11">
        <f>K204*J208</f>
        <v>48</v>
      </c>
      <c r="L208" s="11">
        <f ca="1">L204+K208/16</f>
        <v>17.375</v>
      </c>
      <c r="M208" s="11" t="e">
        <f ca="1">M204/L208</f>
        <v>#VALUE!</v>
      </c>
      <c r="N208" s="20" t="e">
        <f ca="1">N203/L208</f>
        <v>#N/A</v>
      </c>
      <c r="O208" s="11" t="e">
        <f ca="1">(M208+N208+$Q$43)*(1+$P$35)</f>
        <v>#VALUE!</v>
      </c>
      <c r="P208" s="17"/>
      <c r="Q208" s="17"/>
      <c r="R208" s="17"/>
      <c r="S208" s="17"/>
      <c r="T208" s="17"/>
      <c r="U208" s="17"/>
      <c r="V208" s="30"/>
      <c r="W208" s="36"/>
      <c r="X208" s="17"/>
      <c r="Y208" s="17"/>
      <c r="Z208" s="17"/>
      <c r="AA208" s="17"/>
    </row>
    <row r="209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1">
        <v>4</v>
      </c>
      <c r="K209" s="11">
        <f>K204*J209</f>
        <v>64</v>
      </c>
      <c r="L209" s="11">
        <f ca="1">L204+K209/16</f>
        <v>18.375</v>
      </c>
      <c r="M209" s="11" t="e">
        <f ca="1">M204/L209</f>
        <v>#VALUE!</v>
      </c>
      <c r="N209" s="20" t="e">
        <f ca="1">N203/L209</f>
        <v>#N/A</v>
      </c>
      <c r="O209" s="11" t="e">
        <f ca="1">(M209+N209+$Q$43)*(1+$P$35)</f>
        <v>#VALUE!</v>
      </c>
      <c r="P209" s="17"/>
      <c r="Q209" s="17"/>
      <c r="R209" s="17"/>
      <c r="S209" s="17"/>
      <c r="T209" s="17"/>
      <c r="U209" s="17"/>
      <c r="V209" s="30"/>
      <c r="W209" s="36"/>
      <c r="X209" s="17"/>
      <c r="Y209" s="17"/>
      <c r="Z209" s="17"/>
      <c r="AA209" s="17"/>
    </row>
    <row r="210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30"/>
      <c r="W210" s="36"/>
      <c r="X210" s="17"/>
      <c r="Y210" s="17"/>
      <c r="Z210" s="17"/>
      <c r="AA210" s="17"/>
    </row>
    <row r="211" spans="1:28">
      <c r="A211" s="17" t="s">
        <v>355</v>
      </c>
      <c r="B211" s="17"/>
      <c r="C211" s="17"/>
      <c r="D211" s="17" t="s">
        <v>34</v>
      </c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30"/>
      <c r="W211" s="36"/>
      <c r="X211" s="17"/>
      <c r="Y211" s="17"/>
      <c r="Z211" s="17"/>
      <c r="AA211" s="17"/>
      <c r="AB211" s="17"/>
    </row>
    <row r="212" spans="1:28">
      <c r="A212" s="17">
        <v>0</v>
      </c>
      <c r="B212" s="17" t="e">
        <f ca="1">MAX(G178,N178,U178,G202,O205)</f>
        <v>#VALUE!</v>
      </c>
      <c r="C212" s="17"/>
      <c r="D212" s="17">
        <v>0</v>
      </c>
      <c r="E212" s="17" t="e">
        <f ca="1">G236</f>
        <v>#VALUE!</v>
      </c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30"/>
      <c r="W212" s="36"/>
      <c r="X212" s="17"/>
      <c r="Y212" s="17"/>
      <c r="Z212" s="17"/>
      <c r="AA212" s="17"/>
      <c r="AB212" s="17"/>
    </row>
    <row r="213" spans="1:28">
      <c r="A213" s="17">
        <v>1</v>
      </c>
      <c r="B213" s="17" t="e">
        <f ca="1" t="shared" ref="B213:B216" si="76">MAX(G179,N179,U179,G203,O206)</f>
        <v>#VALUE!</v>
      </c>
      <c r="C213" s="17"/>
      <c r="D213" s="17">
        <v>1</v>
      </c>
      <c r="E213" s="17" t="e">
        <f ca="1" t="shared" ref="E213:E216" si="77">G237</f>
        <v>#VALUE!</v>
      </c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30"/>
      <c r="W213" s="36"/>
      <c r="X213" s="17"/>
      <c r="Y213" s="17"/>
      <c r="Z213" s="17"/>
      <c r="AA213" s="17"/>
      <c r="AB213" s="17"/>
    </row>
    <row r="214" spans="1:28">
      <c r="A214" s="17">
        <v>2</v>
      </c>
      <c r="B214" s="17" t="e">
        <f ca="1" t="shared" si="76"/>
        <v>#VALUE!</v>
      </c>
      <c r="C214" s="17"/>
      <c r="D214" s="17">
        <v>2</v>
      </c>
      <c r="E214" s="17" t="e">
        <f ca="1" t="shared" si="77"/>
        <v>#VALUE!</v>
      </c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30"/>
      <c r="W214" s="36"/>
      <c r="X214" s="17"/>
      <c r="Y214" s="17"/>
      <c r="Z214" s="17"/>
      <c r="AA214" s="17"/>
      <c r="AB214" s="17"/>
    </row>
    <row r="215" spans="1:28">
      <c r="A215" s="17">
        <v>3</v>
      </c>
      <c r="B215" s="17" t="e">
        <f ca="1" t="shared" si="76"/>
        <v>#VALUE!</v>
      </c>
      <c r="C215" s="17"/>
      <c r="D215" s="17">
        <v>3</v>
      </c>
      <c r="E215" s="17" t="e">
        <f ca="1" t="shared" si="77"/>
        <v>#VALUE!</v>
      </c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30"/>
      <c r="W215" s="36"/>
      <c r="X215" s="17"/>
      <c r="Y215" s="17"/>
      <c r="Z215" s="17"/>
      <c r="AA215" s="17"/>
      <c r="AB215" s="17"/>
    </row>
    <row r="216" spans="1:28">
      <c r="A216" s="17">
        <v>4</v>
      </c>
      <c r="B216" s="17" t="e">
        <f ca="1" t="shared" si="76"/>
        <v>#VALUE!</v>
      </c>
      <c r="C216" s="17"/>
      <c r="D216" s="17">
        <v>4</v>
      </c>
      <c r="E216" s="17" t="e">
        <f ca="1" t="shared" si="77"/>
        <v>#VALUE!</v>
      </c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30"/>
      <c r="W216" s="36"/>
      <c r="X216" s="17"/>
      <c r="Y216" s="17"/>
      <c r="Z216" s="17"/>
      <c r="AA216" s="17"/>
      <c r="AB216" s="17"/>
    </row>
    <row r="217" spans="1:28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30"/>
      <c r="W217" s="36"/>
      <c r="X217" s="17"/>
      <c r="Y217" s="17"/>
      <c r="Z217" s="17"/>
      <c r="AA217" s="17"/>
      <c r="AB217" s="17"/>
    </row>
    <row r="218" spans="1:2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30"/>
      <c r="W218" s="36"/>
      <c r="X218" s="17"/>
      <c r="Y218" s="17"/>
      <c r="Z218" s="17"/>
      <c r="AA218" s="17"/>
      <c r="AB218" s="17"/>
    </row>
    <row r="219" spans="1:28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30"/>
      <c r="W219" s="36"/>
      <c r="X219" s="17"/>
      <c r="Y219" s="17"/>
      <c r="Z219" s="17"/>
      <c r="AA219" s="17"/>
      <c r="AB219" s="17"/>
    </row>
    <row r="220" spans="1:28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30"/>
      <c r="W220" s="36"/>
      <c r="X220" s="17"/>
      <c r="Y220" s="17"/>
      <c r="Z220" s="17"/>
      <c r="AA220" s="17"/>
      <c r="AB220" s="17"/>
    </row>
    <row r="221" spans="1:28">
      <c r="A221" s="20" t="s">
        <v>271</v>
      </c>
      <c r="B221" s="20" t="s">
        <v>334</v>
      </c>
      <c r="C221" s="20" t="s">
        <v>304</v>
      </c>
      <c r="D221" s="20" t="s">
        <v>281</v>
      </c>
      <c r="E221" s="20" t="s">
        <v>278</v>
      </c>
      <c r="F221" s="20"/>
      <c r="G221" s="20"/>
      <c r="H221" s="20" t="s">
        <v>271</v>
      </c>
      <c r="I221" s="20" t="s">
        <v>334</v>
      </c>
      <c r="J221" s="20" t="s">
        <v>304</v>
      </c>
      <c r="K221" s="20" t="s">
        <v>281</v>
      </c>
      <c r="L221" s="20" t="s">
        <v>278</v>
      </c>
      <c r="M221" s="20"/>
      <c r="N221" s="20"/>
      <c r="O221" s="20" t="s">
        <v>271</v>
      </c>
      <c r="P221" s="20" t="s">
        <v>334</v>
      </c>
      <c r="Q221" s="20" t="s">
        <v>304</v>
      </c>
      <c r="R221" s="20" t="s">
        <v>281</v>
      </c>
      <c r="S221" s="20" t="s">
        <v>278</v>
      </c>
      <c r="T221" s="20"/>
      <c r="U221" s="20"/>
      <c r="V221" s="30"/>
      <c r="W221" s="36"/>
      <c r="X221" s="17"/>
      <c r="Y221" s="17" t="s">
        <v>34</v>
      </c>
      <c r="Z221" s="17"/>
      <c r="AA221" s="17"/>
      <c r="AB221" s="17"/>
    </row>
    <row r="222" spans="1:35">
      <c r="A222" s="20" t="s">
        <v>55</v>
      </c>
      <c r="B222" s="20">
        <f ca="1" t="shared" ref="B222:B233" si="78">IFERROR(VLOOKUP(A222,实战技能表,MATCH("怒气",$A$1:$T$1,0),0),0)</f>
        <v>15</v>
      </c>
      <c r="C222" s="20">
        <v>1</v>
      </c>
      <c r="D222" s="20">
        <f ca="1" t="shared" ref="D222:D233" si="79">IFERROR(VLOOKUP(A222,实战技能表,MATCH("时间",$A$1:$T$1,0),0),0)</f>
        <v>1.25</v>
      </c>
      <c r="E222" s="20">
        <f ca="1" t="shared" ref="E222:E233" si="80">IFERROR(VLOOKUP(A222,实战技能表,MATCH("dmg",$A$1:$T$1,0),0),0)</f>
        <v>0</v>
      </c>
      <c r="F222" s="20"/>
      <c r="G222" s="20"/>
      <c r="H222" s="20" t="s">
        <v>55</v>
      </c>
      <c r="I222" s="20">
        <f ca="1" t="shared" ref="I222:I233" si="81">IFERROR(VLOOKUP(H222,实战技能表,MATCH("怒气",$A$1:$T$1,0),0),0)</f>
        <v>15</v>
      </c>
      <c r="J222" s="20">
        <v>1</v>
      </c>
      <c r="K222" s="20">
        <f ca="1" t="shared" ref="K222:K233" si="82">IFERROR(VLOOKUP(H222,实战技能表,MATCH("时间",$A$1:$T$1,0),0),0)</f>
        <v>1.25</v>
      </c>
      <c r="L222" s="20">
        <f ca="1" t="shared" ref="L222:L233" si="83">IFERROR(VLOOKUP(H222,实战技能表,MATCH("dmg",$A$1:$T$1,0),0),0)</f>
        <v>0</v>
      </c>
      <c r="M222" s="20"/>
      <c r="N222" s="20"/>
      <c r="O222" s="20" t="s">
        <v>55</v>
      </c>
      <c r="P222" s="20">
        <f ca="1">IFERROR(VLOOKUP(O222,实战技能表,MATCH("怒气",$A$1:$T$1,0),0),0)</f>
        <v>15</v>
      </c>
      <c r="Q222" s="20">
        <v>1</v>
      </c>
      <c r="R222" s="20">
        <f ca="1">IFERROR(VLOOKUP(O222,实战技能表,MATCH("时间",$A$1:$T$1,0),0),0)</f>
        <v>1.25</v>
      </c>
      <c r="S222" s="20">
        <f ca="1">IFERROR(VLOOKUP(O222,实战技能表,MATCH("dmg",$A$1:$T$1,0),0),0)</f>
        <v>0</v>
      </c>
      <c r="T222" s="20"/>
      <c r="U222" s="20"/>
      <c r="V222" s="30"/>
      <c r="W222" s="36"/>
      <c r="X222" s="17"/>
      <c r="Y222" s="17" t="s">
        <v>55</v>
      </c>
      <c r="Z222" s="17">
        <f ca="1">IFERROR(VLOOKUP(Y222,实战技能表,MATCH("dmg",$A$1:$T$1,0),0),0)*COUNTIF($A$222:$A$233,Y222)</f>
        <v>0</v>
      </c>
      <c r="AA222" s="17" t="e">
        <f ca="1">Z222/$Z$227</f>
        <v>#VALUE!</v>
      </c>
      <c r="AB222" s="17"/>
      <c r="AE222" s="17" t="s">
        <v>55</v>
      </c>
      <c r="AF222" s="7" t="e">
        <f ca="1">AA222</f>
        <v>#VALUE!</v>
      </c>
      <c r="AH222" s="7" t="e">
        <f ca="1">INDEX($AE$222:$AF$226,MATCH(AI222,$AF$222:$AF$226,0),1)</f>
        <v>#VALUE!</v>
      </c>
      <c r="AI222" s="7" t="e">
        <f ca="1">LARGE($AF$222:$AF$226,ROW()-ROW($AI$222)+1)</f>
        <v>#VALUE!</v>
      </c>
    </row>
    <row r="223" spans="1:35">
      <c r="A223" s="20" t="s">
        <v>284</v>
      </c>
      <c r="B223" s="20">
        <f ca="1" t="shared" si="78"/>
        <v>5</v>
      </c>
      <c r="C223" s="20">
        <v>1</v>
      </c>
      <c r="D223" s="20">
        <f ca="1" t="shared" si="79"/>
        <v>0.8125</v>
      </c>
      <c r="E223" s="20">
        <f ca="1" t="shared" si="80"/>
        <v>0</v>
      </c>
      <c r="F223" s="20"/>
      <c r="G223" s="20"/>
      <c r="H223" s="20" t="s">
        <v>82</v>
      </c>
      <c r="I223" s="20">
        <f ca="1" t="shared" si="81"/>
        <v>15</v>
      </c>
      <c r="J223" s="20">
        <v>1</v>
      </c>
      <c r="K223" s="20">
        <f ca="1" t="shared" si="82"/>
        <v>1.25</v>
      </c>
      <c r="L223" s="20">
        <f ca="1" t="shared" si="83"/>
        <v>0</v>
      </c>
      <c r="M223" s="20"/>
      <c r="N223" s="20"/>
      <c r="O223" s="20"/>
      <c r="P223" s="20"/>
      <c r="Q223" s="20"/>
      <c r="R223" s="20"/>
      <c r="S223" s="20"/>
      <c r="T223" s="20"/>
      <c r="U223" s="20"/>
      <c r="V223" s="30"/>
      <c r="W223" s="36"/>
      <c r="X223" s="17"/>
      <c r="Y223" s="17" t="s">
        <v>284</v>
      </c>
      <c r="Z223" s="17">
        <f ca="1">IFERROR(VLOOKUP(Y223,实战技能表,MATCH("dmg",$A$1:$T$1,0),0),0)*COUNTIF($A$222:$A$233,Y223)</f>
        <v>0</v>
      </c>
      <c r="AA223" s="17" t="e">
        <f ca="1" t="shared" ref="AA223:AA227" si="84">Z223/$Z$227</f>
        <v>#VALUE!</v>
      </c>
      <c r="AB223" s="17"/>
      <c r="AE223" s="17" t="s">
        <v>350</v>
      </c>
      <c r="AF223" s="7" t="e">
        <f ca="1" t="shared" ref="AF223:AF226" si="85">AA223</f>
        <v>#VALUE!</v>
      </c>
      <c r="AH223" s="7" t="e">
        <f ca="1" t="shared" ref="AH223:AH226" si="86">INDEX($AE$222:$AF$226,MATCH(AI223,$AF$222:$AF$226,0),1)</f>
        <v>#VALUE!</v>
      </c>
      <c r="AI223" s="7" t="e">
        <f ca="1" t="shared" ref="AI223:AI226" si="87">LARGE($AF$222:$AF$226,ROW()-ROW($AI$222)+1)</f>
        <v>#VALUE!</v>
      </c>
    </row>
    <row r="224" spans="1:35">
      <c r="A224" s="20" t="s">
        <v>14</v>
      </c>
      <c r="B224" s="20">
        <f ca="1" t="shared" si="78"/>
        <v>-5</v>
      </c>
      <c r="C224" s="20">
        <v>1</v>
      </c>
      <c r="D224" s="20">
        <f ca="1" t="shared" si="79"/>
        <v>1.25</v>
      </c>
      <c r="E224" s="20">
        <f ca="1" t="shared" si="80"/>
        <v>0</v>
      </c>
      <c r="F224" s="20"/>
      <c r="G224" s="20"/>
      <c r="H224" s="20" t="s">
        <v>14</v>
      </c>
      <c r="I224" s="20">
        <f ca="1" t="shared" si="81"/>
        <v>-5</v>
      </c>
      <c r="J224" s="20">
        <v>1</v>
      </c>
      <c r="K224" s="20">
        <f ca="1" t="shared" si="82"/>
        <v>1.25</v>
      </c>
      <c r="L224" s="20">
        <f ca="1" t="shared" si="83"/>
        <v>0</v>
      </c>
      <c r="M224" s="20"/>
      <c r="N224" s="20"/>
      <c r="O224" s="20" t="s">
        <v>14</v>
      </c>
      <c r="P224" s="20">
        <f ca="1" t="shared" ref="P224:P233" si="88">IFERROR(VLOOKUP(O224,实战技能表,MATCH("怒气",$A$1:$T$1,0),0),0)</f>
        <v>-5</v>
      </c>
      <c r="Q224" s="20">
        <v>1</v>
      </c>
      <c r="R224" s="20">
        <f ca="1" t="shared" ref="R224:R233" si="89">IFERROR(VLOOKUP(O224,实战技能表,MATCH("时间",$A$1:$T$1,0),0),0)</f>
        <v>1.25</v>
      </c>
      <c r="S224" s="20">
        <f ca="1" t="shared" ref="S224:S233" si="90">IFERROR(VLOOKUP(O224,实战技能表,MATCH("dmg",$A$1:$T$1,0),0),0)</f>
        <v>0</v>
      </c>
      <c r="T224" s="20"/>
      <c r="U224" s="20"/>
      <c r="V224" s="30"/>
      <c r="W224" s="36"/>
      <c r="X224" s="17"/>
      <c r="Y224" s="17" t="s">
        <v>14</v>
      </c>
      <c r="Z224" s="17">
        <f ca="1">IFERROR(VLOOKUP(Y224,实战技能表,MATCH("dmg",$A$1:$T$1,0),0),0)*COUNTIF($A$222:$A$233,Y224)</f>
        <v>0</v>
      </c>
      <c r="AA224" s="17" t="e">
        <f ca="1" t="shared" si="84"/>
        <v>#VALUE!</v>
      </c>
      <c r="AB224" s="17"/>
      <c r="AE224" s="17" t="s">
        <v>14</v>
      </c>
      <c r="AF224" s="7" t="e">
        <f ca="1" t="shared" si="85"/>
        <v>#VALUE!</v>
      </c>
      <c r="AH224" s="7" t="e">
        <f ca="1" t="shared" si="86"/>
        <v>#VALUE!</v>
      </c>
      <c r="AI224" s="7" t="e">
        <f ca="1" t="shared" si="87"/>
        <v>#VALUE!</v>
      </c>
    </row>
    <row r="225" spans="1:35">
      <c r="A225" s="20" t="s">
        <v>14</v>
      </c>
      <c r="B225" s="20">
        <f ca="1" t="shared" si="78"/>
        <v>-5</v>
      </c>
      <c r="C225" s="20">
        <v>1</v>
      </c>
      <c r="D225" s="20">
        <f ca="1" t="shared" si="79"/>
        <v>1.25</v>
      </c>
      <c r="E225" s="20">
        <f ca="1" t="shared" si="80"/>
        <v>0</v>
      </c>
      <c r="F225" s="20"/>
      <c r="G225" s="20"/>
      <c r="H225" s="20" t="s">
        <v>14</v>
      </c>
      <c r="I225" s="20">
        <f ca="1" t="shared" si="81"/>
        <v>-5</v>
      </c>
      <c r="J225" s="20">
        <v>1</v>
      </c>
      <c r="K225" s="20">
        <f ca="1" t="shared" si="82"/>
        <v>1.25</v>
      </c>
      <c r="L225" s="20">
        <f ca="1" t="shared" si="83"/>
        <v>0</v>
      </c>
      <c r="M225" s="20"/>
      <c r="N225" s="20"/>
      <c r="O225" s="20" t="s">
        <v>14</v>
      </c>
      <c r="P225" s="20">
        <f ca="1" t="shared" si="88"/>
        <v>-5</v>
      </c>
      <c r="Q225" s="20">
        <v>1</v>
      </c>
      <c r="R225" s="20">
        <f ca="1" t="shared" si="89"/>
        <v>1.25</v>
      </c>
      <c r="S225" s="20">
        <f ca="1" t="shared" si="90"/>
        <v>0</v>
      </c>
      <c r="T225" s="20"/>
      <c r="U225" s="20"/>
      <c r="V225" s="30"/>
      <c r="W225" s="36"/>
      <c r="X225" s="17"/>
      <c r="Y225" s="17" t="s">
        <v>35</v>
      </c>
      <c r="Z225" s="17" t="e">
        <f ca="1">E234</f>
        <v>#VALUE!</v>
      </c>
      <c r="AA225" s="17" t="e">
        <f ca="1" t="shared" si="84"/>
        <v>#VALUE!</v>
      </c>
      <c r="AB225" s="17"/>
      <c r="AE225" s="17" t="s">
        <v>35</v>
      </c>
      <c r="AF225" s="7" t="e">
        <f ca="1" t="shared" si="85"/>
        <v>#VALUE!</v>
      </c>
      <c r="AH225" s="7" t="e">
        <f ca="1" t="shared" si="86"/>
        <v>#VALUE!</v>
      </c>
      <c r="AI225" s="7" t="e">
        <f ca="1" t="shared" si="87"/>
        <v>#VALUE!</v>
      </c>
    </row>
    <row r="226" spans="1:35">
      <c r="A226" s="20" t="s">
        <v>14</v>
      </c>
      <c r="B226" s="20">
        <f ca="1" t="shared" si="78"/>
        <v>-5</v>
      </c>
      <c r="C226" s="20">
        <v>1</v>
      </c>
      <c r="D226" s="20">
        <f ca="1" t="shared" si="79"/>
        <v>1.25</v>
      </c>
      <c r="E226" s="20">
        <f ca="1" t="shared" si="80"/>
        <v>0</v>
      </c>
      <c r="F226" s="20"/>
      <c r="G226" s="20"/>
      <c r="H226" s="20" t="s">
        <v>14</v>
      </c>
      <c r="I226" s="20">
        <f ca="1" t="shared" si="81"/>
        <v>-5</v>
      </c>
      <c r="J226" s="20">
        <v>1</v>
      </c>
      <c r="K226" s="20">
        <f ca="1" t="shared" si="82"/>
        <v>1.25</v>
      </c>
      <c r="L226" s="20">
        <f ca="1" t="shared" si="83"/>
        <v>0</v>
      </c>
      <c r="M226" s="20"/>
      <c r="N226" s="20"/>
      <c r="O226" s="20" t="s">
        <v>14</v>
      </c>
      <c r="P226" s="20">
        <f ca="1" t="shared" si="88"/>
        <v>-5</v>
      </c>
      <c r="Q226" s="20">
        <v>1</v>
      </c>
      <c r="R226" s="20">
        <f ca="1" t="shared" si="89"/>
        <v>1.25</v>
      </c>
      <c r="S226" s="20">
        <f ca="1" t="shared" si="90"/>
        <v>0</v>
      </c>
      <c r="T226" s="20"/>
      <c r="U226" s="20"/>
      <c r="V226" s="30"/>
      <c r="W226" s="36"/>
      <c r="X226" s="17"/>
      <c r="Y226" s="17" t="s">
        <v>45</v>
      </c>
      <c r="Z226" s="17" t="e">
        <f ca="1">F234</f>
        <v>#N/A</v>
      </c>
      <c r="AA226" s="17" t="e">
        <f ca="1" t="shared" si="84"/>
        <v>#N/A</v>
      </c>
      <c r="AB226" s="17"/>
      <c r="AE226" s="17" t="s">
        <v>45</v>
      </c>
      <c r="AF226" s="7" t="e">
        <f ca="1" t="shared" si="85"/>
        <v>#N/A</v>
      </c>
      <c r="AH226" s="7" t="e">
        <f ca="1" t="shared" si="86"/>
        <v>#VALUE!</v>
      </c>
      <c r="AI226" s="7" t="e">
        <f ca="1" t="shared" si="87"/>
        <v>#VALUE!</v>
      </c>
    </row>
    <row r="227" spans="1:31">
      <c r="A227" s="20" t="s">
        <v>14</v>
      </c>
      <c r="B227" s="20">
        <f ca="1" t="shared" si="78"/>
        <v>-5</v>
      </c>
      <c r="C227" s="20">
        <v>1</v>
      </c>
      <c r="D227" s="20">
        <f ca="1" t="shared" si="79"/>
        <v>1.25</v>
      </c>
      <c r="E227" s="20">
        <f ca="1" t="shared" si="80"/>
        <v>0</v>
      </c>
      <c r="F227" s="20"/>
      <c r="G227" s="20"/>
      <c r="H227" s="20" t="s">
        <v>14</v>
      </c>
      <c r="I227" s="20">
        <f ca="1" t="shared" si="81"/>
        <v>-5</v>
      </c>
      <c r="J227" s="20">
        <v>1</v>
      </c>
      <c r="K227" s="20">
        <f ca="1" t="shared" si="82"/>
        <v>1.25</v>
      </c>
      <c r="L227" s="20">
        <f ca="1" t="shared" si="83"/>
        <v>0</v>
      </c>
      <c r="M227" s="20"/>
      <c r="N227" s="20"/>
      <c r="O227" s="20" t="s">
        <v>14</v>
      </c>
      <c r="P227" s="20">
        <f ca="1" t="shared" si="88"/>
        <v>-5</v>
      </c>
      <c r="Q227" s="20">
        <v>1</v>
      </c>
      <c r="R227" s="20">
        <f ca="1" t="shared" si="89"/>
        <v>1.25</v>
      </c>
      <c r="S227" s="20">
        <f ca="1" t="shared" si="90"/>
        <v>0</v>
      </c>
      <c r="T227" s="20"/>
      <c r="U227" s="20"/>
      <c r="V227" s="30"/>
      <c r="W227" s="36"/>
      <c r="X227" s="17"/>
      <c r="Y227" s="17" t="s">
        <v>341</v>
      </c>
      <c r="Z227" s="17" t="e">
        <f ca="1">SUM(Z222:Z226)</f>
        <v>#VALUE!</v>
      </c>
      <c r="AA227" s="17" t="e">
        <f ca="1" t="shared" si="84"/>
        <v>#VALUE!</v>
      </c>
      <c r="AB227" s="17"/>
      <c r="AE227" s="17"/>
    </row>
    <row r="228" spans="1:28">
      <c r="A228" s="20" t="s">
        <v>14</v>
      </c>
      <c r="B228" s="20">
        <f ca="1" t="shared" si="78"/>
        <v>-5</v>
      </c>
      <c r="C228" s="20">
        <v>1</v>
      </c>
      <c r="D228" s="20">
        <f ca="1" t="shared" si="79"/>
        <v>1.25</v>
      </c>
      <c r="E228" s="20">
        <f ca="1" t="shared" si="80"/>
        <v>0</v>
      </c>
      <c r="F228" s="20"/>
      <c r="G228" s="20"/>
      <c r="H228" s="20" t="s">
        <v>14</v>
      </c>
      <c r="I228" s="20">
        <f ca="1" t="shared" si="81"/>
        <v>-5</v>
      </c>
      <c r="J228" s="20">
        <v>1</v>
      </c>
      <c r="K228" s="20">
        <f ca="1" t="shared" si="82"/>
        <v>1.25</v>
      </c>
      <c r="L228" s="20">
        <f ca="1" t="shared" si="83"/>
        <v>0</v>
      </c>
      <c r="M228" s="20"/>
      <c r="N228" s="20"/>
      <c r="O228" s="20" t="s">
        <v>14</v>
      </c>
      <c r="P228" s="20">
        <f ca="1" t="shared" si="88"/>
        <v>-5</v>
      </c>
      <c r="Q228" s="20">
        <v>1</v>
      </c>
      <c r="R228" s="20">
        <f ca="1" t="shared" si="89"/>
        <v>1.25</v>
      </c>
      <c r="S228" s="20">
        <f ca="1" t="shared" si="90"/>
        <v>0</v>
      </c>
      <c r="T228" s="20"/>
      <c r="U228" s="20"/>
      <c r="V228" s="30"/>
      <c r="W228" s="36"/>
      <c r="X228" s="17"/>
      <c r="Y228" s="17"/>
      <c r="Z228" s="17"/>
      <c r="AA228" s="17"/>
      <c r="AB228" s="17"/>
    </row>
    <row r="229" spans="1:28">
      <c r="A229" s="20" t="s">
        <v>14</v>
      </c>
      <c r="B229" s="20">
        <f ca="1" t="shared" si="78"/>
        <v>-5</v>
      </c>
      <c r="C229" s="20">
        <v>1</v>
      </c>
      <c r="D229" s="20">
        <f ca="1" t="shared" si="79"/>
        <v>1.25</v>
      </c>
      <c r="E229" s="20">
        <f ca="1" t="shared" si="80"/>
        <v>0</v>
      </c>
      <c r="F229" s="20"/>
      <c r="G229" s="20"/>
      <c r="H229" s="20" t="s">
        <v>14</v>
      </c>
      <c r="I229" s="20">
        <f ca="1" t="shared" si="81"/>
        <v>-5</v>
      </c>
      <c r="J229" s="20">
        <v>1</v>
      </c>
      <c r="K229" s="20">
        <f ca="1" t="shared" si="82"/>
        <v>1.25</v>
      </c>
      <c r="L229" s="20">
        <f ca="1" t="shared" si="83"/>
        <v>0</v>
      </c>
      <c r="M229" s="20"/>
      <c r="N229" s="20"/>
      <c r="O229" s="20" t="s">
        <v>14</v>
      </c>
      <c r="P229" s="20">
        <f ca="1" t="shared" si="88"/>
        <v>-5</v>
      </c>
      <c r="Q229" s="20">
        <v>1</v>
      </c>
      <c r="R229" s="20">
        <f ca="1" t="shared" si="89"/>
        <v>1.25</v>
      </c>
      <c r="S229" s="20">
        <f ca="1" t="shared" si="90"/>
        <v>0</v>
      </c>
      <c r="T229" s="20"/>
      <c r="U229" s="20"/>
      <c r="V229" s="30"/>
      <c r="W229" s="36"/>
      <c r="X229" s="17"/>
      <c r="Y229" s="17"/>
      <c r="Z229" s="17"/>
      <c r="AA229" s="17"/>
      <c r="AB229" s="17"/>
    </row>
    <row r="230" spans="1:28">
      <c r="A230" s="20" t="s">
        <v>14</v>
      </c>
      <c r="B230" s="20">
        <f ca="1" t="shared" si="78"/>
        <v>-5</v>
      </c>
      <c r="C230" s="20">
        <v>1</v>
      </c>
      <c r="D230" s="20">
        <f ca="1" t="shared" si="79"/>
        <v>1.25</v>
      </c>
      <c r="E230" s="20">
        <f ca="1" t="shared" si="80"/>
        <v>0</v>
      </c>
      <c r="F230" s="20"/>
      <c r="G230" s="20"/>
      <c r="H230" s="20" t="s">
        <v>14</v>
      </c>
      <c r="I230" s="20">
        <f ca="1" t="shared" si="81"/>
        <v>-5</v>
      </c>
      <c r="J230" s="20">
        <v>1</v>
      </c>
      <c r="K230" s="20">
        <f ca="1" t="shared" si="82"/>
        <v>1.25</v>
      </c>
      <c r="L230" s="20">
        <f ca="1" t="shared" si="83"/>
        <v>0</v>
      </c>
      <c r="M230" s="20"/>
      <c r="N230" s="20"/>
      <c r="O230" s="20" t="s">
        <v>14</v>
      </c>
      <c r="P230" s="20">
        <f ca="1" t="shared" si="88"/>
        <v>-5</v>
      </c>
      <c r="Q230" s="20">
        <v>1</v>
      </c>
      <c r="R230" s="20">
        <f ca="1" t="shared" si="89"/>
        <v>1.25</v>
      </c>
      <c r="S230" s="20">
        <f ca="1" t="shared" si="90"/>
        <v>0</v>
      </c>
      <c r="T230" s="20"/>
      <c r="U230" s="20"/>
      <c r="V230" s="30"/>
      <c r="W230" s="36"/>
      <c r="X230" s="17"/>
      <c r="Y230" s="17"/>
      <c r="Z230" s="17"/>
      <c r="AA230" s="17"/>
      <c r="AB230" s="17"/>
    </row>
    <row r="231" spans="1:28">
      <c r="A231" s="20" t="s">
        <v>14</v>
      </c>
      <c r="B231" s="20">
        <f ca="1" t="shared" si="78"/>
        <v>-5</v>
      </c>
      <c r="C231" s="20">
        <v>1</v>
      </c>
      <c r="D231" s="20">
        <f ca="1" t="shared" si="79"/>
        <v>1.25</v>
      </c>
      <c r="E231" s="20">
        <f ca="1" t="shared" si="80"/>
        <v>0</v>
      </c>
      <c r="F231" s="20"/>
      <c r="G231" s="20"/>
      <c r="H231" s="20" t="s">
        <v>14</v>
      </c>
      <c r="I231" s="20">
        <f ca="1" t="shared" si="81"/>
        <v>-5</v>
      </c>
      <c r="J231" s="20">
        <v>1</v>
      </c>
      <c r="K231" s="20">
        <f ca="1" t="shared" si="82"/>
        <v>1.25</v>
      </c>
      <c r="L231" s="20">
        <f ca="1" t="shared" si="83"/>
        <v>0</v>
      </c>
      <c r="M231" s="20"/>
      <c r="N231" s="20"/>
      <c r="O231" s="20" t="s">
        <v>14</v>
      </c>
      <c r="P231" s="20">
        <f ca="1" t="shared" si="88"/>
        <v>-5</v>
      </c>
      <c r="Q231" s="20">
        <v>1</v>
      </c>
      <c r="R231" s="20">
        <f ca="1" t="shared" si="89"/>
        <v>1.25</v>
      </c>
      <c r="S231" s="20">
        <f ca="1" t="shared" si="90"/>
        <v>0</v>
      </c>
      <c r="T231" s="20"/>
      <c r="U231" s="20"/>
      <c r="V231" s="30"/>
      <c r="W231" s="36"/>
      <c r="X231" s="17"/>
      <c r="Y231" s="17"/>
      <c r="Z231" s="17"/>
      <c r="AA231" s="17"/>
      <c r="AB231" s="17"/>
    </row>
    <row r="232" spans="1:28">
      <c r="A232" s="20" t="s">
        <v>14</v>
      </c>
      <c r="B232" s="20">
        <f ca="1" t="shared" si="78"/>
        <v>-5</v>
      </c>
      <c r="C232" s="20">
        <v>1</v>
      </c>
      <c r="D232" s="20">
        <f ca="1" t="shared" si="79"/>
        <v>1.25</v>
      </c>
      <c r="E232" s="20">
        <f ca="1" t="shared" si="80"/>
        <v>0</v>
      </c>
      <c r="H232" s="20" t="s">
        <v>14</v>
      </c>
      <c r="I232" s="20">
        <f ca="1" t="shared" si="81"/>
        <v>-5</v>
      </c>
      <c r="J232" s="20">
        <v>1</v>
      </c>
      <c r="K232" s="20">
        <f ca="1" t="shared" si="82"/>
        <v>1.25</v>
      </c>
      <c r="L232" s="20">
        <f ca="1" t="shared" si="83"/>
        <v>0</v>
      </c>
      <c r="O232" s="20" t="s">
        <v>14</v>
      </c>
      <c r="P232" s="20">
        <f ca="1" t="shared" si="88"/>
        <v>-5</v>
      </c>
      <c r="Q232" s="20">
        <v>1</v>
      </c>
      <c r="R232" s="20">
        <f ca="1" t="shared" si="89"/>
        <v>1.25</v>
      </c>
      <c r="S232" s="20">
        <f ca="1" t="shared" si="90"/>
        <v>0</v>
      </c>
      <c r="V232" s="30"/>
      <c r="W232" s="36"/>
      <c r="X232" s="17"/>
      <c r="Y232" s="17"/>
      <c r="Z232" s="17"/>
      <c r="AA232" s="17"/>
      <c r="AB232" s="17"/>
    </row>
    <row r="233" spans="1:28">
      <c r="A233" s="20" t="s">
        <v>14</v>
      </c>
      <c r="B233" s="20">
        <f ca="1" t="shared" si="78"/>
        <v>-5</v>
      </c>
      <c r="C233" s="20">
        <v>1</v>
      </c>
      <c r="D233" s="20">
        <f ca="1" t="shared" si="79"/>
        <v>1.25</v>
      </c>
      <c r="E233" s="20">
        <f ca="1" t="shared" si="80"/>
        <v>0</v>
      </c>
      <c r="H233" s="20" t="s">
        <v>14</v>
      </c>
      <c r="I233" s="20">
        <f ca="1" t="shared" si="81"/>
        <v>-5</v>
      </c>
      <c r="J233" s="20">
        <v>1</v>
      </c>
      <c r="K233" s="20">
        <f ca="1" t="shared" si="82"/>
        <v>1.25</v>
      </c>
      <c r="L233" s="20">
        <f ca="1" t="shared" si="83"/>
        <v>0</v>
      </c>
      <c r="O233" s="20" t="s">
        <v>14</v>
      </c>
      <c r="P233" s="20">
        <f ca="1" t="shared" si="88"/>
        <v>-5</v>
      </c>
      <c r="Q233" s="20">
        <v>1</v>
      </c>
      <c r="R233" s="20">
        <f ca="1" t="shared" si="89"/>
        <v>1.25</v>
      </c>
      <c r="S233" s="20">
        <f ca="1" t="shared" si="90"/>
        <v>0</v>
      </c>
      <c r="V233" s="30"/>
      <c r="W233" s="36"/>
      <c r="X233" s="17"/>
      <c r="Y233" s="17"/>
      <c r="Z233" s="17"/>
      <c r="AA233" s="17"/>
      <c r="AB233" s="17"/>
    </row>
    <row r="234" spans="1:28">
      <c r="A234" s="20"/>
      <c r="C234" s="11">
        <f>SUM(C224:C233)</f>
        <v>10</v>
      </c>
      <c r="D234" s="11">
        <f ca="1">SUM(D224:D233)+C234/16</f>
        <v>13.125</v>
      </c>
      <c r="E234" s="7" t="e">
        <f ca="1">(INT(D234+1))*$I$9</f>
        <v>#VALUE!</v>
      </c>
      <c r="F234" s="11" t="e">
        <f ca="1">D234*$I$16/$T$15+(D235-D234)*$I$15/$T$15</f>
        <v>#N/A</v>
      </c>
      <c r="G234" s="20"/>
      <c r="H234" s="20"/>
      <c r="J234" s="11">
        <f>SUM(J224:J233)</f>
        <v>10</v>
      </c>
      <c r="K234" s="11">
        <f ca="1">SUM(K224:K233)+J234/16</f>
        <v>13.125</v>
      </c>
      <c r="L234" s="7" t="e">
        <f ca="1">(INT(K234+1))*$I$9</f>
        <v>#VALUE!</v>
      </c>
      <c r="M234" s="11" t="e">
        <f ca="1">K234*$I$16/$T$15+(K235-K234)*$I$15/$T$15</f>
        <v>#N/A</v>
      </c>
      <c r="N234" s="20"/>
      <c r="O234" s="20"/>
      <c r="Q234" s="11">
        <f>SUM(Q224:Q233)</f>
        <v>10</v>
      </c>
      <c r="R234" s="11">
        <f ca="1">SUM(R224:R233)+Q234/16</f>
        <v>13.125</v>
      </c>
      <c r="S234" s="7" t="e">
        <f ca="1">(INT(R234+1))*$I$9</f>
        <v>#VALUE!</v>
      </c>
      <c r="T234" s="11" t="e">
        <f ca="1">R234*$I$16/$T$15+(R235-R234)*$I$15/$T$15</f>
        <v>#N/A</v>
      </c>
      <c r="U234" s="20"/>
      <c r="V234" s="30"/>
      <c r="W234" s="36"/>
      <c r="X234" s="17"/>
      <c r="Y234" s="17"/>
      <c r="Z234" s="17"/>
      <c r="AA234" s="17"/>
      <c r="AB234" s="17"/>
    </row>
    <row r="235" spans="1:28">
      <c r="A235" s="20"/>
      <c r="B235" s="11">
        <f ca="1">SUM(B222:B233)+20</f>
        <v>-10</v>
      </c>
      <c r="C235" s="11">
        <f>SUM(C222:C233)</f>
        <v>12</v>
      </c>
      <c r="D235" s="11">
        <f ca="1">SUM(D222:D233)</f>
        <v>14.5625</v>
      </c>
      <c r="E235" s="11" t="e">
        <f ca="1">SUM(E222:E234)</f>
        <v>#VALUE!</v>
      </c>
      <c r="F235" s="20"/>
      <c r="G235" s="20"/>
      <c r="H235" s="20"/>
      <c r="I235" s="11">
        <f ca="1">SUM(I222:I233)+20</f>
        <v>0</v>
      </c>
      <c r="J235" s="11">
        <f>SUM(J222:J233)</f>
        <v>12</v>
      </c>
      <c r="K235" s="11">
        <f ca="1">SUM(K222:K233)</f>
        <v>15</v>
      </c>
      <c r="L235" s="11" t="e">
        <f ca="1">SUM(L222:L234)</f>
        <v>#VALUE!</v>
      </c>
      <c r="M235" s="20"/>
      <c r="N235" s="20"/>
      <c r="O235" s="20"/>
      <c r="P235" s="11">
        <f ca="1">SUM(P222:P233)+20</f>
        <v>-15</v>
      </c>
      <c r="Q235" s="11">
        <f>SUM(Q222:Q233)</f>
        <v>11</v>
      </c>
      <c r="R235" s="11">
        <f ca="1">SUM(R222:R233)</f>
        <v>13.75</v>
      </c>
      <c r="S235" s="11" t="e">
        <f ca="1">SUM(S222:S234)</f>
        <v>#VALUE!</v>
      </c>
      <c r="T235" s="20"/>
      <c r="U235" s="20"/>
      <c r="V235" s="30"/>
      <c r="W235" s="36"/>
      <c r="X235" s="17"/>
      <c r="Y235" s="17"/>
      <c r="Z235" s="17"/>
      <c r="AA235" s="17"/>
      <c r="AB235" s="17"/>
    </row>
    <row r="236" spans="1:28">
      <c r="A236" s="20"/>
      <c r="B236" s="11">
        <v>0</v>
      </c>
      <c r="C236" s="11">
        <f>C235*B236</f>
        <v>0</v>
      </c>
      <c r="D236" s="11">
        <f ca="1">D235+C236/16</f>
        <v>14.5625</v>
      </c>
      <c r="E236" s="11" t="e">
        <f ca="1">E235/D236</f>
        <v>#VALUE!</v>
      </c>
      <c r="F236" s="11" t="e">
        <f ca="1">F234/D236</f>
        <v>#N/A</v>
      </c>
      <c r="G236" s="11" t="e">
        <f ca="1">(E236+F236+$Q$43)*(1+$P$35)</f>
        <v>#VALUE!</v>
      </c>
      <c r="H236" s="20"/>
      <c r="I236" s="11">
        <v>0</v>
      </c>
      <c r="J236" s="11">
        <f>J235*I236</f>
        <v>0</v>
      </c>
      <c r="K236" s="11">
        <f ca="1">K235+J236/16</f>
        <v>15</v>
      </c>
      <c r="L236" s="11" t="e">
        <f ca="1">L235/K236</f>
        <v>#VALUE!</v>
      </c>
      <c r="M236" s="11" t="e">
        <f ca="1">M234/K236</f>
        <v>#N/A</v>
      </c>
      <c r="N236" s="11" t="e">
        <f ca="1">(L236+M236+$Q$43)*(1+$P$35)</f>
        <v>#VALUE!</v>
      </c>
      <c r="O236" s="20"/>
      <c r="P236" s="11">
        <v>0</v>
      </c>
      <c r="Q236" s="11">
        <f>Q235*P236</f>
        <v>0</v>
      </c>
      <c r="R236" s="11">
        <f ca="1">R235+Q236/16</f>
        <v>13.75</v>
      </c>
      <c r="S236" s="11" t="e">
        <f ca="1">S235/R236</f>
        <v>#VALUE!</v>
      </c>
      <c r="T236" s="11" t="e">
        <f ca="1">T234/R236</f>
        <v>#N/A</v>
      </c>
      <c r="U236" s="11" t="e">
        <f ca="1">(S236+T236+$Q$43)*(1+$P$35)</f>
        <v>#VALUE!</v>
      </c>
      <c r="V236" s="30"/>
      <c r="W236" s="36"/>
      <c r="X236" s="17"/>
      <c r="Y236" s="17"/>
      <c r="Z236" s="17"/>
      <c r="AA236" s="17"/>
      <c r="AB236" s="17"/>
    </row>
    <row r="237" spans="1:28">
      <c r="A237" s="20"/>
      <c r="B237" s="11">
        <v>1</v>
      </c>
      <c r="C237" s="11">
        <f>C235*B237</f>
        <v>12</v>
      </c>
      <c r="D237" s="11">
        <f ca="1">D235+C237/16</f>
        <v>15.3125</v>
      </c>
      <c r="E237" s="11" t="e">
        <f ca="1">E235/D237</f>
        <v>#VALUE!</v>
      </c>
      <c r="F237" s="11" t="e">
        <f ca="1">F234/D237</f>
        <v>#N/A</v>
      </c>
      <c r="G237" s="11" t="e">
        <f ca="1">(E237+F237+$Q$43)*(1+$P$35)</f>
        <v>#VALUE!</v>
      </c>
      <c r="H237" s="20"/>
      <c r="I237" s="11">
        <v>1</v>
      </c>
      <c r="J237" s="11">
        <f>J235*I237</f>
        <v>12</v>
      </c>
      <c r="K237" s="11">
        <f ca="1">K235+J237/16</f>
        <v>15.75</v>
      </c>
      <c r="L237" s="11" t="e">
        <f ca="1">L235/K237</f>
        <v>#VALUE!</v>
      </c>
      <c r="M237" s="11" t="e">
        <f ca="1">M234/K237</f>
        <v>#N/A</v>
      </c>
      <c r="N237" s="11" t="e">
        <f ca="1">(L237+M237+$Q$43)*(1+$P$35)</f>
        <v>#VALUE!</v>
      </c>
      <c r="O237" s="20"/>
      <c r="P237" s="11">
        <v>1</v>
      </c>
      <c r="Q237" s="11">
        <f>Q235*P237</f>
        <v>11</v>
      </c>
      <c r="R237" s="11">
        <f ca="1">R235+Q237/16</f>
        <v>14.4375</v>
      </c>
      <c r="S237" s="11" t="e">
        <f ca="1">S235/R237</f>
        <v>#VALUE!</v>
      </c>
      <c r="T237" s="11" t="e">
        <f ca="1">T234/R237</f>
        <v>#N/A</v>
      </c>
      <c r="U237" s="11" t="e">
        <f ca="1">(S237+T237+$Q$43)*(1+$P$35)</f>
        <v>#VALUE!</v>
      </c>
      <c r="V237" s="30"/>
      <c r="W237" s="36"/>
      <c r="X237" s="17"/>
      <c r="Y237" s="17"/>
      <c r="Z237" s="17"/>
      <c r="AA237" s="17"/>
      <c r="AB237" s="17"/>
    </row>
    <row r="238" spans="1:28">
      <c r="A238" s="20"/>
      <c r="B238" s="11">
        <v>2</v>
      </c>
      <c r="C238" s="11">
        <f>C235*B238</f>
        <v>24</v>
      </c>
      <c r="D238" s="11">
        <f ca="1">D235+C238/16</f>
        <v>16.0625</v>
      </c>
      <c r="E238" s="11" t="e">
        <f ca="1">E235/D238</f>
        <v>#VALUE!</v>
      </c>
      <c r="F238" s="20" t="e">
        <f ca="1">F234/D238</f>
        <v>#N/A</v>
      </c>
      <c r="G238" s="11" t="e">
        <f ca="1">(E238+F238+$Q$43)*(1+$P$35)</f>
        <v>#VALUE!</v>
      </c>
      <c r="H238" s="20"/>
      <c r="I238" s="11">
        <v>2</v>
      </c>
      <c r="J238" s="11">
        <f>J235*I238</f>
        <v>24</v>
      </c>
      <c r="K238" s="11">
        <f ca="1">K235+J238/16</f>
        <v>16.5</v>
      </c>
      <c r="L238" s="11" t="e">
        <f ca="1">L235/K238</f>
        <v>#VALUE!</v>
      </c>
      <c r="M238" s="20" t="e">
        <f ca="1">M234/K238</f>
        <v>#N/A</v>
      </c>
      <c r="N238" s="11" t="e">
        <f ca="1">(L238+M238+$Q$43)*(1+$P$35)</f>
        <v>#VALUE!</v>
      </c>
      <c r="O238" s="20"/>
      <c r="P238" s="11">
        <v>2</v>
      </c>
      <c r="Q238" s="11">
        <f>Q235*P238</f>
        <v>22</v>
      </c>
      <c r="R238" s="11">
        <f ca="1">R235+Q238/16</f>
        <v>15.125</v>
      </c>
      <c r="S238" s="11" t="e">
        <f ca="1">S235/R238</f>
        <v>#VALUE!</v>
      </c>
      <c r="T238" s="20" t="e">
        <f ca="1">T234/R238</f>
        <v>#N/A</v>
      </c>
      <c r="U238" s="11" t="e">
        <f ca="1">(S238+T238+$Q$43)*(1+$P$35)</f>
        <v>#VALUE!</v>
      </c>
      <c r="V238" s="30"/>
      <c r="W238" s="36"/>
      <c r="X238" s="17"/>
      <c r="Y238" s="17"/>
      <c r="Z238" s="17"/>
      <c r="AA238" s="17"/>
      <c r="AB238" s="17"/>
    </row>
    <row r="239" spans="1:28">
      <c r="A239" s="11"/>
      <c r="B239" s="11">
        <v>3</v>
      </c>
      <c r="C239" s="11">
        <f>C235*B239</f>
        <v>36</v>
      </c>
      <c r="D239" s="11">
        <f ca="1">D235+C239/16</f>
        <v>16.8125</v>
      </c>
      <c r="E239" s="11" t="e">
        <f ca="1">E235/D239</f>
        <v>#VALUE!</v>
      </c>
      <c r="F239" s="20" t="e">
        <f ca="1">F234/D239</f>
        <v>#N/A</v>
      </c>
      <c r="G239" s="11" t="e">
        <f ca="1">(E239+F239+$Q$43)*(1+$P$35)</f>
        <v>#VALUE!</v>
      </c>
      <c r="H239" s="11"/>
      <c r="I239" s="11">
        <v>3</v>
      </c>
      <c r="J239" s="11">
        <f>J235*I239</f>
        <v>36</v>
      </c>
      <c r="K239" s="11">
        <f ca="1">K235+J239/16</f>
        <v>17.25</v>
      </c>
      <c r="L239" s="11" t="e">
        <f ca="1">L235/K239</f>
        <v>#VALUE!</v>
      </c>
      <c r="M239" s="20" t="e">
        <f ca="1">M234/K239</f>
        <v>#N/A</v>
      </c>
      <c r="N239" s="11" t="e">
        <f ca="1">(L239+M239+$Q$43)*(1+$P$35)</f>
        <v>#VALUE!</v>
      </c>
      <c r="O239" s="11"/>
      <c r="P239" s="11">
        <v>3</v>
      </c>
      <c r="Q239" s="11">
        <f>Q235*P239</f>
        <v>33</v>
      </c>
      <c r="R239" s="11">
        <f ca="1">R235+Q239/16</f>
        <v>15.8125</v>
      </c>
      <c r="S239" s="11" t="e">
        <f ca="1">S235/R239</f>
        <v>#VALUE!</v>
      </c>
      <c r="T239" s="20" t="e">
        <f ca="1">T234/R239</f>
        <v>#N/A</v>
      </c>
      <c r="U239" s="11" t="e">
        <f ca="1">(S239+T239+$Q$43)*(1+$P$35)</f>
        <v>#VALUE!</v>
      </c>
      <c r="V239" s="30"/>
      <c r="W239" s="36"/>
      <c r="X239" s="17"/>
      <c r="Y239" s="17"/>
      <c r="Z239" s="17"/>
      <c r="AA239" s="17"/>
      <c r="AB239" s="17"/>
    </row>
    <row r="240" spans="1:28">
      <c r="A240" s="11"/>
      <c r="B240" s="11">
        <v>4</v>
      </c>
      <c r="C240" s="11">
        <f>C235*B240</f>
        <v>48</v>
      </c>
      <c r="D240" s="11">
        <f ca="1">D235+C240/16</f>
        <v>17.5625</v>
      </c>
      <c r="E240" s="11" t="e">
        <f ca="1">E235/D240</f>
        <v>#VALUE!</v>
      </c>
      <c r="F240" s="20" t="e">
        <f ca="1">F234/D240</f>
        <v>#N/A</v>
      </c>
      <c r="G240" s="11" t="e">
        <f ca="1">(E240+F240+$Q$43)*(1+$P$35)</f>
        <v>#VALUE!</v>
      </c>
      <c r="H240" s="11"/>
      <c r="I240" s="11">
        <v>4</v>
      </c>
      <c r="J240" s="11">
        <f>J235*I240</f>
        <v>48</v>
      </c>
      <c r="K240" s="11">
        <f ca="1">K235+J240/16</f>
        <v>18</v>
      </c>
      <c r="L240" s="11" t="e">
        <f ca="1">L235/K240</f>
        <v>#VALUE!</v>
      </c>
      <c r="M240" s="20" t="e">
        <f ca="1">M234/K240</f>
        <v>#N/A</v>
      </c>
      <c r="N240" s="11" t="e">
        <f ca="1">(L240+M240+$Q$43)*(1+$P$35)</f>
        <v>#VALUE!</v>
      </c>
      <c r="O240" s="11"/>
      <c r="P240" s="11">
        <v>4</v>
      </c>
      <c r="Q240" s="11">
        <f>Q235*P240</f>
        <v>44</v>
      </c>
      <c r="R240" s="11">
        <f ca="1">R235+Q240/16</f>
        <v>16.5</v>
      </c>
      <c r="S240" s="11" t="e">
        <f ca="1">S235/R240</f>
        <v>#VALUE!</v>
      </c>
      <c r="T240" s="20" t="e">
        <f ca="1">T234/R240</f>
        <v>#N/A</v>
      </c>
      <c r="U240" s="11" t="e">
        <f ca="1">(S240+T240+$Q$43)*(1+$P$35)</f>
        <v>#VALUE!</v>
      </c>
      <c r="V240" s="30"/>
      <c r="W240" s="36"/>
      <c r="X240" s="17"/>
      <c r="Y240" s="17"/>
      <c r="Z240" s="17"/>
      <c r="AA240" s="17"/>
      <c r="AB240" s="17"/>
    </row>
    <row r="241" spans="1:28">
      <c r="A241" s="17"/>
      <c r="B241" s="17"/>
      <c r="C241" s="17"/>
      <c r="D241" s="17"/>
      <c r="E241" s="17"/>
      <c r="F241" s="17"/>
      <c r="G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30"/>
      <c r="W241" s="36"/>
      <c r="X241" s="17"/>
      <c r="Y241" s="17"/>
      <c r="Z241" s="17"/>
      <c r="AA241" s="17"/>
      <c r="AB241" s="17"/>
    </row>
    <row r="242" spans="1:28">
      <c r="A242" s="20" t="s">
        <v>271</v>
      </c>
      <c r="B242" s="20" t="s">
        <v>334</v>
      </c>
      <c r="C242" s="20" t="s">
        <v>304</v>
      </c>
      <c r="D242" s="20" t="s">
        <v>281</v>
      </c>
      <c r="E242" s="20" t="s">
        <v>278</v>
      </c>
      <c r="F242" s="20"/>
      <c r="G242" s="20"/>
      <c r="H242" s="20" t="s">
        <v>271</v>
      </c>
      <c r="I242" s="20" t="s">
        <v>334</v>
      </c>
      <c r="J242" s="20" t="s">
        <v>304</v>
      </c>
      <c r="K242" s="20" t="s">
        <v>281</v>
      </c>
      <c r="L242" s="20" t="s">
        <v>278</v>
      </c>
      <c r="M242" s="20"/>
      <c r="N242" s="20"/>
      <c r="O242" s="20" t="s">
        <v>271</v>
      </c>
      <c r="P242" s="20" t="s">
        <v>334</v>
      </c>
      <c r="Q242" s="20" t="s">
        <v>304</v>
      </c>
      <c r="R242" s="20" t="s">
        <v>281</v>
      </c>
      <c r="S242" s="20" t="s">
        <v>278</v>
      </c>
      <c r="T242" s="20"/>
      <c r="U242" s="20"/>
      <c r="V242" s="30"/>
      <c r="W242" s="36"/>
      <c r="X242" s="17"/>
      <c r="Y242" s="17"/>
      <c r="Z242" s="17"/>
      <c r="AA242" s="17"/>
      <c r="AB242" s="17"/>
    </row>
    <row r="243" spans="1:28">
      <c r="A243" s="20" t="s">
        <v>55</v>
      </c>
      <c r="B243" s="20">
        <f ca="1" t="shared" ref="B243:B253" si="91">IFERROR(VLOOKUP(A243,实战技能表,MATCH("怒气",$A$1:$T$1,0),0),0)</f>
        <v>15</v>
      </c>
      <c r="C243" s="20">
        <v>1</v>
      </c>
      <c r="D243" s="20">
        <f ca="1" t="shared" ref="D243:D253" si="92">IFERROR(VLOOKUP(A243,实战技能表,MATCH("时间",$A$1:$T$1,0),0),0)</f>
        <v>1.25</v>
      </c>
      <c r="E243" s="20">
        <f ca="1" t="shared" ref="E243:E253" si="93">IFERROR(VLOOKUP(A243,实战技能表,MATCH("dmg",$A$1:$T$1,0),0),0)</f>
        <v>0</v>
      </c>
      <c r="F243" s="20"/>
      <c r="G243" s="20"/>
      <c r="H243" s="20" t="s">
        <v>55</v>
      </c>
      <c r="I243" s="20">
        <f ca="1" t="shared" ref="I243:I254" si="94">IFERROR(VLOOKUP(H243,实战技能表,MATCH("怒气",$A$1:$T$1,0),0),0)</f>
        <v>15</v>
      </c>
      <c r="J243" s="20">
        <v>1</v>
      </c>
      <c r="K243" s="20">
        <f ca="1" t="shared" ref="K243:K254" si="95">IFERROR(VLOOKUP(H243,实战技能表,MATCH("时间",$A$1:$T$1,0),0),0)</f>
        <v>1.25</v>
      </c>
      <c r="L243" s="20">
        <f ca="1" t="shared" ref="L243:L254" si="96">IFERROR(VLOOKUP(H243,实战技能表,MATCH("dmg",$A$1:$T$1,0),0),0)</f>
        <v>0</v>
      </c>
      <c r="M243" s="20"/>
      <c r="N243" s="20"/>
      <c r="O243" s="20" t="s">
        <v>55</v>
      </c>
      <c r="P243" s="20">
        <f ca="1" t="shared" ref="P243:P254" si="97">IFERROR(VLOOKUP(O243,实战技能表,MATCH("怒气",$A$1:$T$1,0),0),0)</f>
        <v>15</v>
      </c>
      <c r="Q243" s="20">
        <v>1</v>
      </c>
      <c r="R243" s="20">
        <f ca="1" t="shared" ref="R243:R254" si="98">IFERROR(VLOOKUP(O243,实战技能表,MATCH("时间",$A$1:$T$1,0),0),0)</f>
        <v>1.25</v>
      </c>
      <c r="S243" s="20">
        <f ca="1" t="shared" ref="S243:S254" si="99">IFERROR(VLOOKUP(O243,实战技能表,MATCH("dmg",$A$1:$T$1,0),0),0)</f>
        <v>0</v>
      </c>
      <c r="T243" s="20"/>
      <c r="U243" s="20"/>
      <c r="V243" s="30"/>
      <c r="W243" s="36"/>
      <c r="X243" s="17"/>
      <c r="Y243" s="17"/>
      <c r="Z243" s="17"/>
      <c r="AA243" s="17"/>
      <c r="AB243" s="17"/>
    </row>
    <row r="244" spans="1:28">
      <c r="A244" s="20" t="s">
        <v>82</v>
      </c>
      <c r="B244" s="20">
        <f ca="1" t="shared" si="91"/>
        <v>15</v>
      </c>
      <c r="C244" s="20">
        <v>1</v>
      </c>
      <c r="D244" s="20">
        <f ca="1" t="shared" si="92"/>
        <v>1.25</v>
      </c>
      <c r="E244" s="20">
        <f ca="1" t="shared" si="93"/>
        <v>0</v>
      </c>
      <c r="F244" s="20"/>
      <c r="G244" s="20"/>
      <c r="H244" s="20" t="s">
        <v>315</v>
      </c>
      <c r="I244" s="20">
        <f ca="1" t="shared" si="94"/>
        <v>5</v>
      </c>
      <c r="J244" s="20">
        <v>1</v>
      </c>
      <c r="K244" s="20">
        <f ca="1" t="shared" si="95"/>
        <v>0.8125</v>
      </c>
      <c r="L244" s="20">
        <f ca="1" t="shared" si="96"/>
        <v>0</v>
      </c>
      <c r="M244" s="20"/>
      <c r="N244" s="20"/>
      <c r="O244" s="20" t="s">
        <v>284</v>
      </c>
      <c r="P244" s="20">
        <f ca="1" t="shared" si="97"/>
        <v>5</v>
      </c>
      <c r="Q244" s="20">
        <v>1</v>
      </c>
      <c r="R244" s="20">
        <f ca="1" t="shared" si="98"/>
        <v>0.8125</v>
      </c>
      <c r="S244" s="20">
        <f ca="1" t="shared" si="99"/>
        <v>0</v>
      </c>
      <c r="T244" s="20"/>
      <c r="U244" s="20"/>
      <c r="V244" s="30"/>
      <c r="W244" s="36"/>
      <c r="X244" s="17"/>
      <c r="Y244" s="17"/>
      <c r="Z244" s="17"/>
      <c r="AA244" s="17"/>
      <c r="AB244" s="17"/>
    </row>
    <row r="245" spans="1:28">
      <c r="A245" s="20" t="s">
        <v>14</v>
      </c>
      <c r="B245" s="20">
        <f ca="1" t="shared" si="91"/>
        <v>-5</v>
      </c>
      <c r="C245" s="20">
        <v>1</v>
      </c>
      <c r="D245" s="20">
        <f ca="1" t="shared" si="92"/>
        <v>1.25</v>
      </c>
      <c r="E245" s="20">
        <f ca="1" t="shared" si="93"/>
        <v>0</v>
      </c>
      <c r="F245" s="20"/>
      <c r="G245" s="20"/>
      <c r="H245" s="20" t="s">
        <v>316</v>
      </c>
      <c r="I245" s="20">
        <f ca="1" t="shared" si="94"/>
        <v>5</v>
      </c>
      <c r="J245" s="20">
        <v>1</v>
      </c>
      <c r="K245" s="20">
        <f ca="1" t="shared" si="95"/>
        <v>0.8125</v>
      </c>
      <c r="L245" s="20">
        <f ca="1" t="shared" si="96"/>
        <v>0</v>
      </c>
      <c r="M245" s="20"/>
      <c r="N245" s="20"/>
      <c r="O245" s="20" t="s">
        <v>308</v>
      </c>
      <c r="P245" s="20">
        <f ca="1" t="shared" si="97"/>
        <v>5</v>
      </c>
      <c r="Q245" s="20">
        <v>1</v>
      </c>
      <c r="R245" s="20">
        <f ca="1" t="shared" si="98"/>
        <v>0.8125</v>
      </c>
      <c r="S245" s="20">
        <f ca="1" t="shared" si="99"/>
        <v>0</v>
      </c>
      <c r="T245" s="20"/>
      <c r="U245" s="20"/>
      <c r="V245" s="30"/>
      <c r="W245" s="36"/>
      <c r="X245" s="17"/>
      <c r="Y245" s="17"/>
      <c r="Z245" s="17"/>
      <c r="AA245" s="17"/>
      <c r="AB245" s="17"/>
    </row>
    <row r="246" spans="1:28">
      <c r="A246" s="20" t="s">
        <v>14</v>
      </c>
      <c r="B246" s="20">
        <f ca="1" t="shared" si="91"/>
        <v>-5</v>
      </c>
      <c r="C246" s="20">
        <v>1</v>
      </c>
      <c r="D246" s="20">
        <f ca="1" t="shared" si="92"/>
        <v>1.25</v>
      </c>
      <c r="E246" s="20">
        <f ca="1" t="shared" si="93"/>
        <v>0</v>
      </c>
      <c r="F246" s="20"/>
      <c r="G246" s="20"/>
      <c r="H246" s="20" t="s">
        <v>317</v>
      </c>
      <c r="I246" s="20">
        <f ca="1" t="shared" si="94"/>
        <v>5</v>
      </c>
      <c r="J246" s="20">
        <v>1</v>
      </c>
      <c r="K246" s="20">
        <f ca="1" t="shared" si="95"/>
        <v>0.8125</v>
      </c>
      <c r="L246" s="20">
        <f ca="1" t="shared" si="96"/>
        <v>0</v>
      </c>
      <c r="M246" s="20"/>
      <c r="N246" s="20"/>
      <c r="O246" s="20" t="s">
        <v>309</v>
      </c>
      <c r="P246" s="20">
        <f ca="1" t="shared" si="97"/>
        <v>10</v>
      </c>
      <c r="Q246" s="20">
        <v>1</v>
      </c>
      <c r="R246" s="20">
        <f ca="1" t="shared" si="98"/>
        <v>0.8125</v>
      </c>
      <c r="S246" s="20">
        <f ca="1" t="shared" si="99"/>
        <v>0</v>
      </c>
      <c r="T246" s="20"/>
      <c r="U246" s="20"/>
      <c r="V246" s="30"/>
      <c r="W246" s="36"/>
      <c r="X246" s="17"/>
      <c r="Y246" s="17"/>
      <c r="Z246" s="17"/>
      <c r="AA246" s="17"/>
      <c r="AB246" s="17"/>
    </row>
    <row r="247" spans="1:28">
      <c r="A247" s="20" t="s">
        <v>14</v>
      </c>
      <c r="B247" s="20">
        <f ca="1" t="shared" si="91"/>
        <v>-5</v>
      </c>
      <c r="C247" s="20">
        <v>1</v>
      </c>
      <c r="D247" s="20">
        <f ca="1" t="shared" si="92"/>
        <v>1.25</v>
      </c>
      <c r="E247" s="20">
        <f ca="1" t="shared" si="93"/>
        <v>0</v>
      </c>
      <c r="F247" s="20"/>
      <c r="G247" s="20"/>
      <c r="H247" s="20" t="s">
        <v>318</v>
      </c>
      <c r="I247" s="20">
        <f ca="1" t="shared" si="94"/>
        <v>5</v>
      </c>
      <c r="J247" s="20">
        <v>1</v>
      </c>
      <c r="K247" s="20">
        <f ca="1" t="shared" si="95"/>
        <v>0.6875</v>
      </c>
      <c r="L247" s="20">
        <f ca="1" t="shared" si="96"/>
        <v>0</v>
      </c>
      <c r="M247" s="20"/>
      <c r="N247" s="20"/>
      <c r="O247" s="20" t="s">
        <v>310</v>
      </c>
      <c r="P247" s="20">
        <f ca="1" t="shared" si="97"/>
        <v>5</v>
      </c>
      <c r="Q247" s="20">
        <v>1</v>
      </c>
      <c r="R247" s="20">
        <f ca="1" t="shared" si="98"/>
        <v>0.6875</v>
      </c>
      <c r="S247" s="20">
        <f ca="1" t="shared" si="99"/>
        <v>0</v>
      </c>
      <c r="T247" s="20"/>
      <c r="U247" s="20"/>
      <c r="V247" s="30"/>
      <c r="W247" s="36"/>
      <c r="X247" s="17"/>
      <c r="Y247" s="17"/>
      <c r="Z247" s="17"/>
      <c r="AA247" s="17"/>
      <c r="AB247" s="17"/>
    </row>
    <row r="248" spans="1:28">
      <c r="A248" s="20" t="s">
        <v>14</v>
      </c>
      <c r="B248" s="20">
        <f ca="1" t="shared" si="91"/>
        <v>-5</v>
      </c>
      <c r="C248" s="20">
        <v>1</v>
      </c>
      <c r="D248" s="20">
        <f ca="1" t="shared" si="92"/>
        <v>1.25</v>
      </c>
      <c r="E248" s="20">
        <f ca="1" t="shared" si="93"/>
        <v>0</v>
      </c>
      <c r="F248" s="20"/>
      <c r="G248" s="20"/>
      <c r="H248" s="20" t="s">
        <v>14</v>
      </c>
      <c r="I248" s="20">
        <f ca="1" t="shared" si="94"/>
        <v>-5</v>
      </c>
      <c r="J248" s="20">
        <v>1</v>
      </c>
      <c r="K248" s="20">
        <f ca="1" t="shared" si="95"/>
        <v>1.25</v>
      </c>
      <c r="L248" s="20">
        <f ca="1" t="shared" si="96"/>
        <v>0</v>
      </c>
      <c r="M248" s="20"/>
      <c r="N248" s="20"/>
      <c r="O248" s="20" t="s">
        <v>14</v>
      </c>
      <c r="P248" s="20">
        <f ca="1" t="shared" si="97"/>
        <v>-5</v>
      </c>
      <c r="Q248" s="20">
        <v>1</v>
      </c>
      <c r="R248" s="20">
        <f ca="1" t="shared" si="98"/>
        <v>1.25</v>
      </c>
      <c r="S248" s="20">
        <f ca="1" t="shared" si="99"/>
        <v>0</v>
      </c>
      <c r="T248" s="20"/>
      <c r="U248" s="20"/>
      <c r="V248" s="30"/>
      <c r="W248" s="36"/>
      <c r="X248" s="17"/>
      <c r="Y248" s="17"/>
      <c r="Z248" s="17"/>
      <c r="AA248" s="17"/>
      <c r="AB248" s="17"/>
    </row>
    <row r="249" spans="1:28">
      <c r="A249" s="20" t="s">
        <v>14</v>
      </c>
      <c r="B249" s="20">
        <f ca="1" t="shared" si="91"/>
        <v>-5</v>
      </c>
      <c r="C249" s="20">
        <v>1</v>
      </c>
      <c r="D249" s="20">
        <f ca="1" t="shared" si="92"/>
        <v>1.25</v>
      </c>
      <c r="E249" s="20">
        <f ca="1" t="shared" si="93"/>
        <v>0</v>
      </c>
      <c r="F249" s="20"/>
      <c r="G249" s="20"/>
      <c r="H249" s="20" t="s">
        <v>14</v>
      </c>
      <c r="I249" s="20">
        <f ca="1" t="shared" si="94"/>
        <v>-5</v>
      </c>
      <c r="J249" s="20">
        <v>1</v>
      </c>
      <c r="K249" s="20">
        <f ca="1" t="shared" si="95"/>
        <v>1.25</v>
      </c>
      <c r="L249" s="20">
        <f ca="1" t="shared" si="96"/>
        <v>0</v>
      </c>
      <c r="M249" s="20"/>
      <c r="N249" s="20"/>
      <c r="O249" s="20" t="s">
        <v>14</v>
      </c>
      <c r="P249" s="20">
        <f ca="1" t="shared" si="97"/>
        <v>-5</v>
      </c>
      <c r="Q249" s="20">
        <v>1</v>
      </c>
      <c r="R249" s="20">
        <f ca="1" t="shared" si="98"/>
        <v>1.25</v>
      </c>
      <c r="S249" s="20">
        <f ca="1" t="shared" si="99"/>
        <v>0</v>
      </c>
      <c r="T249" s="20"/>
      <c r="U249" s="20"/>
      <c r="V249" s="30"/>
      <c r="W249" s="36"/>
      <c r="X249" s="17"/>
      <c r="Y249" s="17"/>
      <c r="Z249" s="17"/>
      <c r="AA249" s="17"/>
      <c r="AB249" s="17"/>
    </row>
    <row r="250" spans="1:28">
      <c r="A250" s="20" t="s">
        <v>14</v>
      </c>
      <c r="B250" s="20">
        <f ca="1" t="shared" si="91"/>
        <v>-5</v>
      </c>
      <c r="C250" s="20">
        <v>1</v>
      </c>
      <c r="D250" s="20">
        <f ca="1" t="shared" si="92"/>
        <v>1.25</v>
      </c>
      <c r="E250" s="20">
        <f ca="1" t="shared" si="93"/>
        <v>0</v>
      </c>
      <c r="F250" s="20"/>
      <c r="G250" s="20"/>
      <c r="H250" s="20" t="s">
        <v>14</v>
      </c>
      <c r="I250" s="20">
        <f ca="1" t="shared" si="94"/>
        <v>-5</v>
      </c>
      <c r="J250" s="20">
        <v>1</v>
      </c>
      <c r="K250" s="20">
        <f ca="1" t="shared" si="95"/>
        <v>1.25</v>
      </c>
      <c r="L250" s="20">
        <f ca="1" t="shared" si="96"/>
        <v>0</v>
      </c>
      <c r="M250" s="20"/>
      <c r="N250" s="20"/>
      <c r="O250" s="20" t="s">
        <v>14</v>
      </c>
      <c r="P250" s="20">
        <f ca="1" t="shared" si="97"/>
        <v>-5</v>
      </c>
      <c r="Q250" s="20">
        <v>1</v>
      </c>
      <c r="R250" s="20">
        <f ca="1" t="shared" si="98"/>
        <v>1.25</v>
      </c>
      <c r="S250" s="20">
        <f ca="1" t="shared" si="99"/>
        <v>0</v>
      </c>
      <c r="T250" s="20"/>
      <c r="U250" s="20"/>
      <c r="V250" s="30"/>
      <c r="W250" s="36"/>
      <c r="X250" s="17"/>
      <c r="Y250" s="17"/>
      <c r="Z250" s="17"/>
      <c r="AA250" s="17"/>
      <c r="AB250" s="17"/>
    </row>
    <row r="251" spans="1:28">
      <c r="A251" s="20" t="s">
        <v>14</v>
      </c>
      <c r="B251" s="20">
        <f ca="1" t="shared" si="91"/>
        <v>-5</v>
      </c>
      <c r="C251" s="20">
        <v>1</v>
      </c>
      <c r="D251" s="20">
        <f ca="1" t="shared" si="92"/>
        <v>1.25</v>
      </c>
      <c r="E251" s="20">
        <f ca="1" t="shared" si="93"/>
        <v>0</v>
      </c>
      <c r="F251" s="20"/>
      <c r="G251" s="20"/>
      <c r="H251" s="20" t="s">
        <v>14</v>
      </c>
      <c r="I251" s="20">
        <f ca="1" t="shared" si="94"/>
        <v>-5</v>
      </c>
      <c r="J251" s="20">
        <v>1</v>
      </c>
      <c r="K251" s="20">
        <f ca="1" t="shared" si="95"/>
        <v>1.25</v>
      </c>
      <c r="L251" s="20">
        <f ca="1" t="shared" si="96"/>
        <v>0</v>
      </c>
      <c r="M251" s="20"/>
      <c r="N251" s="20"/>
      <c r="O251" s="20" t="s">
        <v>14</v>
      </c>
      <c r="P251" s="20">
        <f ca="1" t="shared" si="97"/>
        <v>-5</v>
      </c>
      <c r="Q251" s="20">
        <v>1</v>
      </c>
      <c r="R251" s="20">
        <f ca="1" t="shared" si="98"/>
        <v>1.25</v>
      </c>
      <c r="S251" s="20">
        <f ca="1" t="shared" si="99"/>
        <v>0</v>
      </c>
      <c r="T251" s="20"/>
      <c r="U251" s="20"/>
      <c r="V251" s="30"/>
      <c r="W251" s="36"/>
      <c r="X251" s="17"/>
      <c r="Y251" s="17"/>
      <c r="Z251" s="17"/>
      <c r="AA251" s="17"/>
      <c r="AB251" s="17"/>
    </row>
    <row r="252" spans="1:28">
      <c r="A252" s="20" t="s">
        <v>14</v>
      </c>
      <c r="B252" s="20">
        <f ca="1" t="shared" si="91"/>
        <v>-5</v>
      </c>
      <c r="C252" s="20">
        <v>1</v>
      </c>
      <c r="D252" s="20">
        <f ca="1" t="shared" si="92"/>
        <v>1.25</v>
      </c>
      <c r="E252" s="20">
        <f ca="1" t="shared" si="93"/>
        <v>0</v>
      </c>
      <c r="F252" s="20"/>
      <c r="G252" s="20"/>
      <c r="H252" s="20" t="s">
        <v>14</v>
      </c>
      <c r="I252" s="20">
        <f ca="1" t="shared" si="94"/>
        <v>-5</v>
      </c>
      <c r="J252" s="20">
        <v>1</v>
      </c>
      <c r="K252" s="20">
        <f ca="1" t="shared" si="95"/>
        <v>1.25</v>
      </c>
      <c r="L252" s="20">
        <f ca="1" t="shared" si="96"/>
        <v>0</v>
      </c>
      <c r="M252" s="20"/>
      <c r="N252" s="20"/>
      <c r="O252" s="20" t="s">
        <v>14</v>
      </c>
      <c r="P252" s="20">
        <f ca="1" t="shared" si="97"/>
        <v>-5</v>
      </c>
      <c r="Q252" s="20">
        <v>1</v>
      </c>
      <c r="R252" s="20">
        <f ca="1" t="shared" si="98"/>
        <v>1.25</v>
      </c>
      <c r="S252" s="20">
        <f ca="1" t="shared" si="99"/>
        <v>0</v>
      </c>
      <c r="T252" s="20"/>
      <c r="U252" s="20"/>
      <c r="V252" s="30"/>
      <c r="W252" s="36"/>
      <c r="X252" s="17"/>
      <c r="Y252" s="17"/>
      <c r="Z252" s="17"/>
      <c r="AA252" s="17"/>
      <c r="AB252" s="17"/>
    </row>
    <row r="253" spans="1:28">
      <c r="A253" s="20" t="s">
        <v>14</v>
      </c>
      <c r="B253" s="20">
        <f ca="1" t="shared" si="91"/>
        <v>-5</v>
      </c>
      <c r="C253" s="20">
        <v>1</v>
      </c>
      <c r="D253" s="20">
        <f ca="1" t="shared" si="92"/>
        <v>1.25</v>
      </c>
      <c r="E253" s="20">
        <f ca="1" t="shared" si="93"/>
        <v>0</v>
      </c>
      <c r="H253" s="20" t="s">
        <v>14</v>
      </c>
      <c r="I253" s="20">
        <f ca="1" t="shared" si="94"/>
        <v>-5</v>
      </c>
      <c r="J253" s="20">
        <v>1</v>
      </c>
      <c r="K253" s="20">
        <f ca="1" t="shared" si="95"/>
        <v>1.25</v>
      </c>
      <c r="L253" s="20">
        <f ca="1" t="shared" si="96"/>
        <v>0</v>
      </c>
      <c r="O253" s="20" t="s">
        <v>14</v>
      </c>
      <c r="P253" s="20">
        <f ca="1" t="shared" si="97"/>
        <v>-5</v>
      </c>
      <c r="Q253" s="20">
        <v>1</v>
      </c>
      <c r="R253" s="20">
        <f ca="1" t="shared" si="98"/>
        <v>1.25</v>
      </c>
      <c r="S253" s="20">
        <f ca="1" t="shared" si="99"/>
        <v>0</v>
      </c>
      <c r="V253" s="30"/>
      <c r="W253" s="36"/>
      <c r="X253" s="17"/>
      <c r="Y253" s="17"/>
      <c r="Z253" s="17"/>
      <c r="AA253" s="17"/>
      <c r="AB253" s="17"/>
    </row>
    <row r="254" spans="1:28">
      <c r="A254" s="20"/>
      <c r="B254" s="20"/>
      <c r="C254" s="20"/>
      <c r="D254" s="20"/>
      <c r="E254" s="20"/>
      <c r="H254" s="20" t="s">
        <v>14</v>
      </c>
      <c r="I254" s="20">
        <f ca="1" t="shared" si="94"/>
        <v>-5</v>
      </c>
      <c r="J254" s="20">
        <v>1</v>
      </c>
      <c r="K254" s="20">
        <f ca="1" t="shared" si="95"/>
        <v>1.25</v>
      </c>
      <c r="L254" s="20">
        <f ca="1" t="shared" si="96"/>
        <v>0</v>
      </c>
      <c r="O254" s="20" t="s">
        <v>14</v>
      </c>
      <c r="P254" s="20">
        <f ca="1" t="shared" si="97"/>
        <v>-5</v>
      </c>
      <c r="Q254" s="20">
        <v>1</v>
      </c>
      <c r="R254" s="20">
        <f ca="1" t="shared" si="98"/>
        <v>1.25</v>
      </c>
      <c r="S254" s="20">
        <f ca="1" t="shared" si="99"/>
        <v>0</v>
      </c>
      <c r="V254" s="30"/>
      <c r="W254" s="36"/>
      <c r="X254" s="17"/>
      <c r="Y254" s="17"/>
      <c r="Z254" s="17"/>
      <c r="AA254" s="17"/>
      <c r="AB254" s="17"/>
    </row>
    <row r="255" spans="1:28">
      <c r="A255" s="20"/>
      <c r="C255" s="11">
        <f>SUM(C245:C254)</f>
        <v>9</v>
      </c>
      <c r="D255" s="11">
        <f ca="1">SUM(D245:D254)+C255/16</f>
        <v>11.8125</v>
      </c>
      <c r="E255" s="7" t="e">
        <f ca="1">(INT(D255+1))*$I$9</f>
        <v>#VALUE!</v>
      </c>
      <c r="F255" s="11" t="e">
        <f ca="1">D255*$I$16/$T$15+(D256-D255)*$I$15/$T$15</f>
        <v>#N/A</v>
      </c>
      <c r="G255" s="20"/>
      <c r="H255" s="20"/>
      <c r="J255" s="11">
        <f>SUM(J248:J254)</f>
        <v>7</v>
      </c>
      <c r="K255" s="11">
        <f ca="1">SUM(K248:K254)+J255/16</f>
        <v>9.1875</v>
      </c>
      <c r="L255" s="7" t="e">
        <f ca="1">(INT(K255+1))*$I$9</f>
        <v>#VALUE!</v>
      </c>
      <c r="M255" s="11" t="e">
        <f ca="1">K255*$I$16/$T$15+(K256-K255)*$I$15/$T$15</f>
        <v>#N/A</v>
      </c>
      <c r="N255" s="20"/>
      <c r="O255" s="20"/>
      <c r="Q255" s="11">
        <f>SUM(Q248:Q254)</f>
        <v>7</v>
      </c>
      <c r="R255" s="11">
        <f ca="1">SUM(R248:R254)+Q255/16</f>
        <v>9.1875</v>
      </c>
      <c r="S255" s="7" t="e">
        <f ca="1">(INT(R255+1))*$I$9</f>
        <v>#VALUE!</v>
      </c>
      <c r="T255" s="11" t="e">
        <f ca="1">R255*$I$16/$T$15+(R256-R255)*$I$15/$T$15</f>
        <v>#N/A</v>
      </c>
      <c r="U255" s="20"/>
      <c r="V255" s="30"/>
      <c r="W255" s="36"/>
      <c r="X255" s="17"/>
      <c r="Y255" s="17"/>
      <c r="Z255" s="17"/>
      <c r="AA255" s="17"/>
      <c r="AB255" s="17"/>
    </row>
    <row r="256" spans="1:28">
      <c r="A256" s="20"/>
      <c r="B256" s="11">
        <f ca="1">SUM(B243:B254)+20</f>
        <v>5</v>
      </c>
      <c r="C256" s="11">
        <f>SUM(C243:C254)</f>
        <v>11</v>
      </c>
      <c r="D256" s="11">
        <f ca="1">SUM(D243:D254)</f>
        <v>13.75</v>
      </c>
      <c r="E256" s="11" t="e">
        <f ca="1">SUM(E243:E255)</f>
        <v>#VALUE!</v>
      </c>
      <c r="F256" s="20"/>
      <c r="G256" s="20"/>
      <c r="H256" s="20"/>
      <c r="I256" s="11">
        <f ca="1">SUM(I243:I254)+20</f>
        <v>20</v>
      </c>
      <c r="J256" s="11">
        <f>SUM(J243:J254)</f>
        <v>12</v>
      </c>
      <c r="K256" s="11">
        <f ca="1">SUM(K243:K254)</f>
        <v>13.125</v>
      </c>
      <c r="L256" s="11" t="e">
        <f ca="1">SUM(L243:L255)</f>
        <v>#VALUE!</v>
      </c>
      <c r="M256" s="20"/>
      <c r="N256" s="20"/>
      <c r="O256" s="20"/>
      <c r="P256" s="11">
        <f ca="1">SUM(P243:P254)+20</f>
        <v>25</v>
      </c>
      <c r="Q256" s="11">
        <f>SUM(Q243:Q254)</f>
        <v>12</v>
      </c>
      <c r="R256" s="11">
        <f ca="1">SUM(R243:R254)</f>
        <v>13.125</v>
      </c>
      <c r="S256" s="11" t="e">
        <f ca="1">SUM(S243:S255)</f>
        <v>#VALUE!</v>
      </c>
      <c r="T256" s="20"/>
      <c r="U256" s="20"/>
      <c r="V256" s="30"/>
      <c r="W256" s="36"/>
      <c r="X256" s="17"/>
      <c r="Y256" s="17"/>
      <c r="Z256" s="17"/>
      <c r="AA256" s="17"/>
      <c r="AB256" s="17"/>
    </row>
    <row r="257" spans="1:28">
      <c r="A257" s="20"/>
      <c r="B257" s="11">
        <v>0</v>
      </c>
      <c r="C257" s="11">
        <f>C256*B257</f>
        <v>0</v>
      </c>
      <c r="D257" s="11">
        <f ca="1">D256+C257/16</f>
        <v>13.75</v>
      </c>
      <c r="E257" s="11" t="e">
        <f ca="1">E256/D257</f>
        <v>#VALUE!</v>
      </c>
      <c r="F257" s="11" t="e">
        <f ca="1">F255/D257</f>
        <v>#N/A</v>
      </c>
      <c r="G257" s="11" t="e">
        <f ca="1">(E257+F257+$Q$43)*(1+$P$35)</f>
        <v>#VALUE!</v>
      </c>
      <c r="H257" s="20"/>
      <c r="I257" s="11">
        <v>0</v>
      </c>
      <c r="J257" s="11">
        <f>J256*I257</f>
        <v>0</v>
      </c>
      <c r="K257" s="11">
        <f ca="1">K256+J257/16</f>
        <v>13.125</v>
      </c>
      <c r="L257" s="11" t="e">
        <f ca="1">L256/K257</f>
        <v>#VALUE!</v>
      </c>
      <c r="M257" s="11" t="e">
        <f ca="1">M255/K257</f>
        <v>#N/A</v>
      </c>
      <c r="N257" s="11" t="e">
        <f ca="1">(L257+M257+$Q$43)*(1+$P$35)</f>
        <v>#VALUE!</v>
      </c>
      <c r="O257" s="20"/>
      <c r="P257" s="11">
        <v>0</v>
      </c>
      <c r="Q257" s="11">
        <f>Q256*P257</f>
        <v>0</v>
      </c>
      <c r="R257" s="11">
        <f ca="1">R256+Q257/16</f>
        <v>13.125</v>
      </c>
      <c r="S257" s="11" t="e">
        <f ca="1">S256/R257</f>
        <v>#VALUE!</v>
      </c>
      <c r="T257" s="11" t="e">
        <f ca="1">T255/R257</f>
        <v>#N/A</v>
      </c>
      <c r="U257" s="11" t="e">
        <f ca="1">(S257+T257+$Q$43)*(1+$P$35)</f>
        <v>#VALUE!</v>
      </c>
      <c r="V257" s="30"/>
      <c r="W257" s="36"/>
      <c r="X257" s="17"/>
      <c r="Y257" s="17"/>
      <c r="Z257" s="17"/>
      <c r="AA257" s="17"/>
      <c r="AB257" s="17"/>
    </row>
    <row r="258" spans="1:28">
      <c r="A258" s="20"/>
      <c r="B258" s="11">
        <v>1</v>
      </c>
      <c r="C258" s="11">
        <f>C256*B258</f>
        <v>11</v>
      </c>
      <c r="D258" s="11">
        <f ca="1">D256+C258/16</f>
        <v>14.4375</v>
      </c>
      <c r="E258" s="11" t="e">
        <f ca="1">E256/D258</f>
        <v>#VALUE!</v>
      </c>
      <c r="F258" s="11" t="e">
        <f ca="1">F255/D258</f>
        <v>#N/A</v>
      </c>
      <c r="G258" s="11" t="e">
        <f ca="1">(E258+F258+$Q$43)*(1+$P$35)</f>
        <v>#VALUE!</v>
      </c>
      <c r="H258" s="20"/>
      <c r="I258" s="11">
        <v>1</v>
      </c>
      <c r="J258" s="11">
        <f>J256*I258</f>
        <v>12</v>
      </c>
      <c r="K258" s="11">
        <f ca="1">K256+J258/16</f>
        <v>13.875</v>
      </c>
      <c r="L258" s="11" t="e">
        <f ca="1">L256/K258</f>
        <v>#VALUE!</v>
      </c>
      <c r="M258" s="11" t="e">
        <f ca="1">M255/K258</f>
        <v>#N/A</v>
      </c>
      <c r="N258" s="11" t="e">
        <f ca="1">(L258+M258+$Q$43)*(1+$P$35)</f>
        <v>#VALUE!</v>
      </c>
      <c r="O258" s="20"/>
      <c r="P258" s="11">
        <v>1</v>
      </c>
      <c r="Q258" s="11">
        <f>Q256*P258</f>
        <v>12</v>
      </c>
      <c r="R258" s="11">
        <f ca="1">R256+Q258/16</f>
        <v>13.875</v>
      </c>
      <c r="S258" s="11" t="e">
        <f ca="1">S256/R258</f>
        <v>#VALUE!</v>
      </c>
      <c r="T258" s="11" t="e">
        <f ca="1">T255/R258</f>
        <v>#N/A</v>
      </c>
      <c r="U258" s="11" t="e">
        <f ca="1">(S258+T258+$Q$43)*(1+$P$35)</f>
        <v>#VALUE!</v>
      </c>
      <c r="V258" s="30"/>
      <c r="W258" s="36"/>
      <c r="X258" s="17"/>
      <c r="Y258" s="17"/>
      <c r="Z258" s="17"/>
      <c r="AA258" s="17"/>
      <c r="AB258" s="17"/>
    </row>
    <row r="259" spans="1:28">
      <c r="A259" s="20"/>
      <c r="B259" s="11">
        <v>2</v>
      </c>
      <c r="C259" s="11">
        <f>C256*B259</f>
        <v>22</v>
      </c>
      <c r="D259" s="11">
        <f ca="1">D256+C259/16</f>
        <v>15.125</v>
      </c>
      <c r="E259" s="11" t="e">
        <f ca="1">E256/D259</f>
        <v>#VALUE!</v>
      </c>
      <c r="F259" s="20" t="e">
        <f ca="1">F255/D259</f>
        <v>#N/A</v>
      </c>
      <c r="G259" s="11" t="e">
        <f ca="1">(E259+F259+$Q$43)*(1+$P$35)</f>
        <v>#VALUE!</v>
      </c>
      <c r="H259" s="20"/>
      <c r="I259" s="11">
        <v>2</v>
      </c>
      <c r="J259" s="11">
        <f>J256*I259</f>
        <v>24</v>
      </c>
      <c r="K259" s="11">
        <f ca="1">K256+J259/16</f>
        <v>14.625</v>
      </c>
      <c r="L259" s="11" t="e">
        <f ca="1">L256/K259</f>
        <v>#VALUE!</v>
      </c>
      <c r="M259" s="20" t="e">
        <f ca="1">M255/K259</f>
        <v>#N/A</v>
      </c>
      <c r="N259" s="11" t="e">
        <f ca="1">(L259+M259+$Q$43)*(1+$P$35)</f>
        <v>#VALUE!</v>
      </c>
      <c r="O259" s="20"/>
      <c r="P259" s="11">
        <v>2</v>
      </c>
      <c r="Q259" s="11">
        <f>Q256*P259</f>
        <v>24</v>
      </c>
      <c r="R259" s="11">
        <f ca="1">R256+Q259/16</f>
        <v>14.625</v>
      </c>
      <c r="S259" s="11" t="e">
        <f ca="1">S256/R259</f>
        <v>#VALUE!</v>
      </c>
      <c r="T259" s="20" t="e">
        <f ca="1">T255/R259</f>
        <v>#N/A</v>
      </c>
      <c r="U259" s="11" t="e">
        <f ca="1">(S259+T259+$Q$43)*(1+$P$35)</f>
        <v>#VALUE!</v>
      </c>
      <c r="V259" s="30"/>
      <c r="W259" s="36"/>
      <c r="X259" s="17"/>
      <c r="Y259" s="17"/>
      <c r="Z259" s="17"/>
      <c r="AA259" s="17"/>
      <c r="AB259" s="17"/>
    </row>
    <row r="260" spans="1:28">
      <c r="A260" s="11"/>
      <c r="B260" s="11">
        <v>3</v>
      </c>
      <c r="C260" s="11">
        <f>C256*B260</f>
        <v>33</v>
      </c>
      <c r="D260" s="11">
        <f ca="1">D256+C260/16</f>
        <v>15.8125</v>
      </c>
      <c r="E260" s="11" t="e">
        <f ca="1">E256/D260</f>
        <v>#VALUE!</v>
      </c>
      <c r="F260" s="20" t="e">
        <f ca="1">F255/D260</f>
        <v>#N/A</v>
      </c>
      <c r="G260" s="11" t="e">
        <f ca="1">(E260+F260+$Q$43)*(1+$P$35)</f>
        <v>#VALUE!</v>
      </c>
      <c r="H260" s="11"/>
      <c r="I260" s="11">
        <v>3</v>
      </c>
      <c r="J260" s="11">
        <f>J256*I260</f>
        <v>36</v>
      </c>
      <c r="K260" s="11">
        <f ca="1">K256+J260/16</f>
        <v>15.375</v>
      </c>
      <c r="L260" s="11" t="e">
        <f ca="1">L256/K260</f>
        <v>#VALUE!</v>
      </c>
      <c r="M260" s="20" t="e">
        <f ca="1">M255/K260</f>
        <v>#N/A</v>
      </c>
      <c r="N260" s="11" t="e">
        <f ca="1">(L260+M260+$Q$43)*(1+$P$35)</f>
        <v>#VALUE!</v>
      </c>
      <c r="O260" s="11"/>
      <c r="P260" s="11">
        <v>3</v>
      </c>
      <c r="Q260" s="11">
        <f>Q256*P260</f>
        <v>36</v>
      </c>
      <c r="R260" s="11">
        <f ca="1">R256+Q260/16</f>
        <v>15.375</v>
      </c>
      <c r="S260" s="11" t="e">
        <f ca="1">S256/R260</f>
        <v>#VALUE!</v>
      </c>
      <c r="T260" s="20" t="e">
        <f ca="1">T255/R260</f>
        <v>#N/A</v>
      </c>
      <c r="U260" s="11" t="e">
        <f ca="1">(S260+T260+$Q$43)*(1+$P$35)</f>
        <v>#VALUE!</v>
      </c>
      <c r="V260" s="30"/>
      <c r="W260" s="36"/>
      <c r="X260" s="17"/>
      <c r="Y260" s="17"/>
      <c r="Z260" s="17"/>
      <c r="AA260" s="17"/>
      <c r="AB260" s="17"/>
    </row>
    <row r="261" spans="1:28">
      <c r="A261" s="11"/>
      <c r="B261" s="11">
        <v>4</v>
      </c>
      <c r="C261" s="11">
        <f>C256*B261</f>
        <v>44</v>
      </c>
      <c r="D261" s="11">
        <f ca="1">D256+C261/16</f>
        <v>16.5</v>
      </c>
      <c r="E261" s="11" t="e">
        <f ca="1">E256/D261</f>
        <v>#VALUE!</v>
      </c>
      <c r="F261" s="20" t="e">
        <f ca="1">F255/D261</f>
        <v>#N/A</v>
      </c>
      <c r="G261" s="11" t="e">
        <f ca="1">(E261+F261+$Q$43)*(1+$P$35)</f>
        <v>#VALUE!</v>
      </c>
      <c r="H261" s="11"/>
      <c r="I261" s="11">
        <v>4</v>
      </c>
      <c r="J261" s="11">
        <f>J256*I261</f>
        <v>48</v>
      </c>
      <c r="K261" s="11">
        <f ca="1">K256+J261/16</f>
        <v>16.125</v>
      </c>
      <c r="L261" s="11" t="e">
        <f ca="1">L256/K261</f>
        <v>#VALUE!</v>
      </c>
      <c r="M261" s="20" t="e">
        <f ca="1">M255/K261</f>
        <v>#N/A</v>
      </c>
      <c r="N261" s="11" t="e">
        <f ca="1">(L261+M261+$Q$43)*(1+$P$35)</f>
        <v>#VALUE!</v>
      </c>
      <c r="O261" s="11"/>
      <c r="P261" s="11">
        <v>4</v>
      </c>
      <c r="Q261" s="11">
        <f>Q256*P261</f>
        <v>48</v>
      </c>
      <c r="R261" s="11">
        <f ca="1">R256+Q261/16</f>
        <v>16.125</v>
      </c>
      <c r="S261" s="11" t="e">
        <f ca="1">S256/R261</f>
        <v>#VALUE!</v>
      </c>
      <c r="T261" s="20" t="e">
        <f ca="1">T255/R261</f>
        <v>#N/A</v>
      </c>
      <c r="U261" s="11" t="e">
        <f ca="1">(S261+T261+$Q$43)*(1+$P$35)</f>
        <v>#VALUE!</v>
      </c>
      <c r="V261" s="30"/>
      <c r="W261" s="36"/>
      <c r="X261" s="17"/>
      <c r="Y261" s="17"/>
      <c r="Z261" s="17"/>
      <c r="AA261" s="17"/>
      <c r="AB261" s="17"/>
    </row>
    <row r="262" spans="1:28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30"/>
      <c r="W262" s="36"/>
      <c r="X262" s="17"/>
      <c r="Y262" s="17"/>
      <c r="Z262" s="17"/>
      <c r="AA262" s="17"/>
      <c r="AB262" s="17"/>
    </row>
    <row r="263" spans="1:28">
      <c r="A263" s="20" t="s">
        <v>271</v>
      </c>
      <c r="B263" s="20" t="s">
        <v>334</v>
      </c>
      <c r="C263" s="20" t="s">
        <v>304</v>
      </c>
      <c r="D263" s="20" t="s">
        <v>281</v>
      </c>
      <c r="E263" s="20" t="s">
        <v>278</v>
      </c>
      <c r="F263" s="20"/>
      <c r="G263" s="20"/>
      <c r="H263" s="20" t="s">
        <v>271</v>
      </c>
      <c r="I263" s="20" t="s">
        <v>334</v>
      </c>
      <c r="J263" s="20" t="s">
        <v>304</v>
      </c>
      <c r="K263" s="20" t="s">
        <v>281</v>
      </c>
      <c r="L263" s="20" t="s">
        <v>278</v>
      </c>
      <c r="M263" s="20"/>
      <c r="N263" s="20"/>
      <c r="O263" s="17" t="s">
        <v>356</v>
      </c>
      <c r="P263" s="36">
        <f>3/8</f>
        <v>0.375</v>
      </c>
      <c r="Q263" s="17"/>
      <c r="R263" s="17">
        <f>5/8</f>
        <v>0.625</v>
      </c>
      <c r="S263" s="17"/>
      <c r="T263" s="17"/>
      <c r="U263" s="17"/>
      <c r="V263" s="30"/>
      <c r="W263" s="36"/>
      <c r="X263" s="17"/>
      <c r="Y263" s="17"/>
      <c r="Z263" s="17"/>
      <c r="AA263" s="17"/>
      <c r="AB263" s="17"/>
    </row>
    <row r="264" spans="1:28">
      <c r="A264" s="20" t="s">
        <v>55</v>
      </c>
      <c r="B264" s="20">
        <f ca="1" t="shared" ref="B264" si="100">IFERROR(VLOOKUP(A264,实战技能表,MATCH("怒气",$A$1:$T$1,0),0),0)</f>
        <v>15</v>
      </c>
      <c r="C264" s="20">
        <v>1</v>
      </c>
      <c r="D264" s="20">
        <f ca="1" t="shared" ref="D264" si="101">IFERROR(VLOOKUP(A264,实战技能表,MATCH("时间",$A$1:$T$1,0),0),0)</f>
        <v>1.25</v>
      </c>
      <c r="E264" s="20">
        <f ca="1" t="shared" ref="E264" si="102">IFERROR(VLOOKUP(A264,实战技能表,MATCH("dmg",$A$1:$T$1,0),0),0)</f>
        <v>0</v>
      </c>
      <c r="F264" s="20"/>
      <c r="G264" s="20"/>
      <c r="H264" s="20" t="s">
        <v>55</v>
      </c>
      <c r="I264" s="20">
        <f ca="1" t="shared" ref="I264" si="103">IFERROR(VLOOKUP(H264,实战技能表,MATCH("怒气",$A$1:$T$1,0),0),0)</f>
        <v>15</v>
      </c>
      <c r="J264" s="20">
        <v>1</v>
      </c>
      <c r="K264" s="20">
        <f ca="1" t="shared" ref="K264" si="104">IFERROR(VLOOKUP(H264,实战技能表,MATCH("时间",$A$1:$T$1,0),0),0)</f>
        <v>1.25</v>
      </c>
      <c r="L264" s="20">
        <f ca="1" t="shared" ref="L264" si="105">IFERROR(VLOOKUP(H264,实战技能表,MATCH("dmg",$A$1:$T$1,0),0),0)</f>
        <v>0</v>
      </c>
      <c r="M264" s="20"/>
      <c r="N264" s="20">
        <v>0</v>
      </c>
      <c r="O264" s="17" t="e">
        <f ca="1" t="array" ref="O264:O268">(P263*Q264:Q268+R263*S264:S268)/(P263*P264:P268+R263*R264:R268)</f>
        <v>#VALUE!</v>
      </c>
      <c r="P264" s="36">
        <f ca="1">R257</f>
        <v>13.125</v>
      </c>
      <c r="Q264" s="17" t="e">
        <f ca="1">U257*P264</f>
        <v>#VALUE!</v>
      </c>
      <c r="R264" s="17">
        <f ca="1">R236</f>
        <v>13.75</v>
      </c>
      <c r="S264" s="17" t="e">
        <f ca="1">U236*R264</f>
        <v>#VALUE!</v>
      </c>
      <c r="T264" s="17"/>
      <c r="U264" s="17"/>
      <c r="V264" s="30"/>
      <c r="W264" s="36"/>
      <c r="X264" s="17"/>
      <c r="Y264" s="17"/>
      <c r="Z264" s="17"/>
      <c r="AA264" s="17"/>
      <c r="AB264" s="17"/>
    </row>
    <row r="265" spans="1:28">
      <c r="A265" s="20" t="s">
        <v>315</v>
      </c>
      <c r="B265" s="20">
        <f ca="1" t="shared" ref="B265:B270" si="106">IFERROR(VLOOKUP(A265,实战技能表,MATCH("怒气",$A$1:$T$1,0),0),0)</f>
        <v>5</v>
      </c>
      <c r="C265" s="20">
        <v>1</v>
      </c>
      <c r="D265" s="20">
        <f ca="1" t="shared" ref="D265:D270" si="107">IFERROR(VLOOKUP(A265,实战技能表,MATCH("时间",$A$1:$T$1,0),0),0)</f>
        <v>0.8125</v>
      </c>
      <c r="E265" s="20">
        <f ca="1" t="shared" ref="E265:E270" si="108">IFERROR(VLOOKUP(A265,实战技能表,MATCH("dmg",$A$1:$T$1,0),0),0)</f>
        <v>0</v>
      </c>
      <c r="F265" s="20"/>
      <c r="G265" s="20"/>
      <c r="H265" s="20" t="s">
        <v>315</v>
      </c>
      <c r="I265" s="20">
        <f ca="1" t="shared" ref="I265:I270" si="109">IFERROR(VLOOKUP(H265,实战技能表,MATCH("怒气",$A$1:$T$1,0),0),0)</f>
        <v>5</v>
      </c>
      <c r="J265" s="20">
        <v>1</v>
      </c>
      <c r="K265" s="20">
        <f ca="1" t="shared" ref="K265:K270" si="110">IFERROR(VLOOKUP(H265,实战技能表,MATCH("时间",$A$1:$T$1,0),0),0)</f>
        <v>0.8125</v>
      </c>
      <c r="L265" s="20">
        <f ca="1" t="shared" ref="L265:L270" si="111">IFERROR(VLOOKUP(H265,实战技能表,MATCH("dmg",$A$1:$T$1,0),0),0)</f>
        <v>0</v>
      </c>
      <c r="M265" s="20"/>
      <c r="N265" s="20">
        <v>1</v>
      </c>
      <c r="O265" s="17" t="e">
        <v>#VALUE!</v>
      </c>
      <c r="P265" s="36">
        <f ca="1">R258</f>
        <v>13.875</v>
      </c>
      <c r="Q265" s="17" t="e">
        <f ca="1" t="shared" ref="Q265:Q268" si="112">U258*P265</f>
        <v>#VALUE!</v>
      </c>
      <c r="R265" s="17">
        <f ca="1">R237</f>
        <v>14.4375</v>
      </c>
      <c r="S265" s="17" t="e">
        <f ca="1" t="shared" ref="S265:S268" si="113">U237*R265</f>
        <v>#VALUE!</v>
      </c>
      <c r="T265" s="17"/>
      <c r="U265" s="17"/>
      <c r="V265" s="30"/>
      <c r="W265" s="36"/>
      <c r="X265" s="17"/>
      <c r="Y265" s="17"/>
      <c r="Z265" s="17"/>
      <c r="AA265" s="17"/>
      <c r="AB265" s="17"/>
    </row>
    <row r="266" spans="1:28">
      <c r="A266" s="20" t="s">
        <v>316</v>
      </c>
      <c r="B266" s="20">
        <f ca="1" t="shared" si="106"/>
        <v>5</v>
      </c>
      <c r="C266" s="20">
        <v>1</v>
      </c>
      <c r="D266" s="20">
        <f ca="1" t="shared" si="107"/>
        <v>0.8125</v>
      </c>
      <c r="E266" s="20">
        <f ca="1" t="shared" si="108"/>
        <v>0</v>
      </c>
      <c r="F266" s="20"/>
      <c r="G266" s="20"/>
      <c r="H266" s="20" t="s">
        <v>316</v>
      </c>
      <c r="I266" s="20">
        <f ca="1" t="shared" si="109"/>
        <v>5</v>
      </c>
      <c r="J266" s="20">
        <v>1</v>
      </c>
      <c r="K266" s="20">
        <f ca="1" t="shared" si="110"/>
        <v>0.8125</v>
      </c>
      <c r="L266" s="20">
        <f ca="1" t="shared" si="111"/>
        <v>0</v>
      </c>
      <c r="M266" s="20"/>
      <c r="N266" s="20">
        <v>2</v>
      </c>
      <c r="O266" s="17" t="e">
        <v>#VALUE!</v>
      </c>
      <c r="P266" s="36">
        <f ca="1">R259</f>
        <v>14.625</v>
      </c>
      <c r="Q266" s="17" t="e">
        <f ca="1" t="shared" si="112"/>
        <v>#VALUE!</v>
      </c>
      <c r="R266" s="17">
        <f ca="1">R238</f>
        <v>15.125</v>
      </c>
      <c r="S266" s="17" t="e">
        <f ca="1" t="shared" si="113"/>
        <v>#VALUE!</v>
      </c>
      <c r="T266" s="17"/>
      <c r="U266" s="17"/>
      <c r="V266" s="30"/>
      <c r="W266" s="36"/>
      <c r="X266" s="17"/>
      <c r="Y266" s="17"/>
      <c r="Z266" s="17"/>
      <c r="AA266" s="17"/>
      <c r="AB266" s="17"/>
    </row>
    <row r="267" spans="1:28">
      <c r="A267" s="20" t="s">
        <v>317</v>
      </c>
      <c r="B267" s="20">
        <f ca="1" t="shared" si="106"/>
        <v>5</v>
      </c>
      <c r="C267" s="20">
        <v>1</v>
      </c>
      <c r="D267" s="20">
        <f ca="1" t="shared" si="107"/>
        <v>0.8125</v>
      </c>
      <c r="E267" s="20">
        <f ca="1" t="shared" si="108"/>
        <v>0</v>
      </c>
      <c r="F267" s="20"/>
      <c r="G267" s="20"/>
      <c r="H267" s="20" t="s">
        <v>317</v>
      </c>
      <c r="I267" s="20">
        <f ca="1" t="shared" si="109"/>
        <v>5</v>
      </c>
      <c r="J267" s="20">
        <v>1</v>
      </c>
      <c r="K267" s="20">
        <f ca="1" t="shared" si="110"/>
        <v>0.8125</v>
      </c>
      <c r="L267" s="20">
        <f ca="1" t="shared" si="111"/>
        <v>0</v>
      </c>
      <c r="M267" s="20"/>
      <c r="N267" s="20">
        <v>3</v>
      </c>
      <c r="O267" s="17" t="e">
        <v>#VALUE!</v>
      </c>
      <c r="P267" s="36">
        <f ca="1">R260</f>
        <v>15.375</v>
      </c>
      <c r="Q267" s="17" t="e">
        <f ca="1" t="shared" si="112"/>
        <v>#VALUE!</v>
      </c>
      <c r="R267" s="17">
        <f ca="1">R239</f>
        <v>15.8125</v>
      </c>
      <c r="S267" s="17" t="e">
        <f ca="1" t="shared" si="113"/>
        <v>#VALUE!</v>
      </c>
      <c r="T267" s="17"/>
      <c r="U267" s="17"/>
      <c r="V267" s="30"/>
      <c r="W267" s="36"/>
      <c r="X267" s="17"/>
      <c r="Y267" s="17"/>
      <c r="Z267" s="17"/>
      <c r="AA267" s="17"/>
      <c r="AB267" s="17"/>
    </row>
    <row r="268" spans="1:28">
      <c r="A268" s="20" t="s">
        <v>318</v>
      </c>
      <c r="B268" s="20">
        <f ca="1" t="shared" si="106"/>
        <v>5</v>
      </c>
      <c r="C268" s="20">
        <v>1</v>
      </c>
      <c r="D268" s="20">
        <f ca="1" t="shared" si="107"/>
        <v>0.6875</v>
      </c>
      <c r="E268" s="20">
        <f ca="1" t="shared" si="108"/>
        <v>0</v>
      </c>
      <c r="F268" s="20"/>
      <c r="G268" s="20"/>
      <c r="H268" s="20" t="s">
        <v>318</v>
      </c>
      <c r="I268" s="20">
        <f ca="1" t="shared" si="109"/>
        <v>5</v>
      </c>
      <c r="J268" s="20">
        <v>1</v>
      </c>
      <c r="K268" s="20">
        <f ca="1" t="shared" si="110"/>
        <v>0.6875</v>
      </c>
      <c r="L268" s="20">
        <f ca="1" t="shared" si="111"/>
        <v>0</v>
      </c>
      <c r="M268" s="20"/>
      <c r="N268" s="20">
        <v>4</v>
      </c>
      <c r="O268" s="17" t="e">
        <v>#VALUE!</v>
      </c>
      <c r="P268" s="36">
        <f ca="1">R261</f>
        <v>16.125</v>
      </c>
      <c r="Q268" s="17" t="e">
        <f ca="1" t="shared" si="112"/>
        <v>#VALUE!</v>
      </c>
      <c r="R268" s="17">
        <f ca="1">R240</f>
        <v>16.5</v>
      </c>
      <c r="S268" s="17" t="e">
        <f ca="1" t="shared" si="113"/>
        <v>#VALUE!</v>
      </c>
      <c r="T268" s="17"/>
      <c r="U268" s="17"/>
      <c r="V268" s="30"/>
      <c r="W268" s="36"/>
      <c r="X268" s="17"/>
      <c r="Y268" s="17"/>
      <c r="Z268" s="17"/>
      <c r="AA268" s="17"/>
      <c r="AB268" s="17"/>
    </row>
    <row r="269" spans="1:28">
      <c r="A269" s="20" t="s">
        <v>315</v>
      </c>
      <c r="B269" s="20">
        <f ca="1" t="shared" si="106"/>
        <v>5</v>
      </c>
      <c r="C269" s="20">
        <v>1</v>
      </c>
      <c r="D269" s="20">
        <f ca="1" t="shared" si="107"/>
        <v>0.8125</v>
      </c>
      <c r="E269" s="20">
        <f ca="1" t="shared" si="108"/>
        <v>0</v>
      </c>
      <c r="F269" s="20"/>
      <c r="G269" s="20"/>
      <c r="H269" s="20" t="s">
        <v>315</v>
      </c>
      <c r="I269" s="20">
        <f ca="1" t="shared" si="109"/>
        <v>5</v>
      </c>
      <c r="J269" s="20">
        <v>1</v>
      </c>
      <c r="K269" s="20">
        <f ca="1" t="shared" si="110"/>
        <v>0.8125</v>
      </c>
      <c r="L269" s="20">
        <f ca="1" t="shared" si="111"/>
        <v>0</v>
      </c>
      <c r="M269" s="20"/>
      <c r="N269" s="20"/>
      <c r="O269" s="17" t="s">
        <v>357</v>
      </c>
      <c r="P269" s="17">
        <f>3/7</f>
        <v>0.428571428571429</v>
      </c>
      <c r="Q269" s="17"/>
      <c r="R269" s="17">
        <f>4/7</f>
        <v>0.571428571428571</v>
      </c>
      <c r="S269" s="17"/>
      <c r="T269" s="17"/>
      <c r="U269" s="17"/>
      <c r="V269" s="30"/>
      <c r="W269" s="36"/>
      <c r="X269" s="17"/>
      <c r="Y269" s="17"/>
      <c r="Z269" s="17"/>
      <c r="AA269" s="17"/>
      <c r="AB269" s="17"/>
    </row>
    <row r="270" spans="1:28">
      <c r="A270" s="20" t="s">
        <v>316</v>
      </c>
      <c r="B270" s="20">
        <f ca="1" t="shared" si="106"/>
        <v>5</v>
      </c>
      <c r="C270" s="20">
        <v>1</v>
      </c>
      <c r="D270" s="20">
        <f ca="1" t="shared" si="107"/>
        <v>0.8125</v>
      </c>
      <c r="E270" s="20">
        <f ca="1" t="shared" si="108"/>
        <v>0</v>
      </c>
      <c r="F270" s="20"/>
      <c r="G270" s="20"/>
      <c r="H270" s="20" t="s">
        <v>316</v>
      </c>
      <c r="I270" s="20">
        <f ca="1" t="shared" si="109"/>
        <v>5</v>
      </c>
      <c r="J270" s="20">
        <v>1</v>
      </c>
      <c r="K270" s="20">
        <f ca="1" t="shared" si="110"/>
        <v>0.8125</v>
      </c>
      <c r="L270" s="20">
        <f ca="1" t="shared" si="111"/>
        <v>0</v>
      </c>
      <c r="M270" s="20"/>
      <c r="N270" s="20">
        <v>0</v>
      </c>
      <c r="O270" s="17" t="e">
        <f ca="1" t="array" ref="O270:O274">(P269*Q270:Q274+R269*S270:S274)/(P269*P270:P274+R269*R270:R274)</f>
        <v>#VALUE!</v>
      </c>
      <c r="P270" s="17">
        <f ca="1">K257</f>
        <v>13.125</v>
      </c>
      <c r="Q270" s="17" t="e">
        <f ca="1">N257*P270</f>
        <v>#VALUE!</v>
      </c>
      <c r="R270" s="17">
        <f ca="1">R236</f>
        <v>13.75</v>
      </c>
      <c r="S270" s="17" t="e">
        <f ca="1">U236*R270</f>
        <v>#VALUE!</v>
      </c>
      <c r="T270" s="17"/>
      <c r="U270" s="17"/>
      <c r="V270" s="30"/>
      <c r="W270" s="36"/>
      <c r="X270" s="17"/>
      <c r="Y270" s="17"/>
      <c r="Z270" s="17"/>
      <c r="AA270" s="17"/>
      <c r="AB270" s="17"/>
    </row>
    <row r="271" spans="1:28">
      <c r="A271" s="20" t="s">
        <v>317</v>
      </c>
      <c r="B271" s="20">
        <f ca="1" t="shared" ref="B271:B275" si="114">IFERROR(VLOOKUP(A271,实战技能表,MATCH("怒气",$A$1:$T$1,0),0),0)</f>
        <v>5</v>
      </c>
      <c r="C271" s="20">
        <v>1</v>
      </c>
      <c r="D271" s="20">
        <f ca="1" t="shared" ref="D271:D276" si="115">IFERROR(VLOOKUP(A271,实战技能表,MATCH("时间",$A$1:$T$1,0),0),0)</f>
        <v>0.8125</v>
      </c>
      <c r="E271" s="20">
        <f ca="1" t="shared" ref="E271:E276" si="116">IFERROR(VLOOKUP(A271,实战技能表,MATCH("dmg",$A$1:$T$1,0),0),0)</f>
        <v>0</v>
      </c>
      <c r="F271" s="20"/>
      <c r="G271" s="20"/>
      <c r="H271" s="20" t="s">
        <v>317</v>
      </c>
      <c r="I271" s="20">
        <f ca="1" t="shared" ref="I271:I275" si="117">IFERROR(VLOOKUP(H271,实战技能表,MATCH("怒气",$A$1:$T$1,0),0),0)</f>
        <v>5</v>
      </c>
      <c r="J271" s="20">
        <v>1</v>
      </c>
      <c r="K271" s="20">
        <f ca="1" t="shared" ref="K271:K276" si="118">IFERROR(VLOOKUP(H271,实战技能表,MATCH("时间",$A$1:$T$1,0),0),0)</f>
        <v>0.8125</v>
      </c>
      <c r="L271" s="20">
        <f ca="1" t="shared" ref="L271:L276" si="119">IFERROR(VLOOKUP(H271,实战技能表,MATCH("dmg",$A$1:$T$1,0),0),0)</f>
        <v>0</v>
      </c>
      <c r="M271" s="20"/>
      <c r="N271" s="20">
        <v>1</v>
      </c>
      <c r="O271" s="17" t="e">
        <v>#VALUE!</v>
      </c>
      <c r="P271" s="17">
        <f ca="1" t="shared" ref="P271:P274" si="120">K258</f>
        <v>13.875</v>
      </c>
      <c r="Q271" s="17" t="e">
        <f ca="1" t="shared" ref="Q271:Q274" si="121">N258*P271</f>
        <v>#VALUE!</v>
      </c>
      <c r="R271" s="17">
        <f ca="1" t="shared" ref="R271:R274" si="122">R237</f>
        <v>14.4375</v>
      </c>
      <c r="S271" s="17" t="e">
        <f ca="1" t="shared" ref="S271:S274" si="123">U237*R271</f>
        <v>#VALUE!</v>
      </c>
      <c r="T271" s="17"/>
      <c r="U271" s="17"/>
      <c r="V271" s="30"/>
      <c r="W271" s="36"/>
      <c r="X271" s="17"/>
      <c r="Y271" s="17"/>
      <c r="Z271" s="17"/>
      <c r="AA271" s="17"/>
      <c r="AB271" s="17"/>
    </row>
    <row r="272" spans="1:28">
      <c r="A272" s="20" t="s">
        <v>318</v>
      </c>
      <c r="B272" s="20">
        <f ca="1" t="shared" si="114"/>
        <v>5</v>
      </c>
      <c r="C272" s="20">
        <v>1</v>
      </c>
      <c r="D272" s="20">
        <f ca="1" t="shared" si="115"/>
        <v>0.6875</v>
      </c>
      <c r="E272" s="20">
        <f ca="1" t="shared" si="116"/>
        <v>0</v>
      </c>
      <c r="F272" s="20"/>
      <c r="G272" s="20"/>
      <c r="H272" s="20" t="s">
        <v>318</v>
      </c>
      <c r="I272" s="20">
        <f ca="1" t="shared" si="117"/>
        <v>5</v>
      </c>
      <c r="J272" s="20">
        <v>1</v>
      </c>
      <c r="K272" s="20">
        <f ca="1" t="shared" si="118"/>
        <v>0.6875</v>
      </c>
      <c r="L272" s="20">
        <f ca="1" t="shared" si="119"/>
        <v>0</v>
      </c>
      <c r="M272" s="20"/>
      <c r="N272" s="20">
        <v>2</v>
      </c>
      <c r="O272" s="17" t="e">
        <v>#VALUE!</v>
      </c>
      <c r="P272" s="17">
        <f ca="1" t="shared" si="120"/>
        <v>14.625</v>
      </c>
      <c r="Q272" s="17" t="e">
        <f ca="1" t="shared" si="121"/>
        <v>#VALUE!</v>
      </c>
      <c r="R272" s="17">
        <f ca="1" t="shared" si="122"/>
        <v>15.125</v>
      </c>
      <c r="S272" s="17" t="e">
        <f ca="1" t="shared" si="123"/>
        <v>#VALUE!</v>
      </c>
      <c r="T272" s="17"/>
      <c r="U272" s="17"/>
      <c r="V272" s="30"/>
      <c r="W272" s="36"/>
      <c r="X272" s="17"/>
      <c r="Y272" s="17"/>
      <c r="Z272" s="17"/>
      <c r="AA272" s="17"/>
      <c r="AB272" s="17"/>
    </row>
    <row r="273" spans="1:28">
      <c r="A273" s="20" t="s">
        <v>65</v>
      </c>
      <c r="B273" s="20">
        <f ca="1" t="shared" si="114"/>
        <v>-15</v>
      </c>
      <c r="C273" s="20">
        <v>1</v>
      </c>
      <c r="D273" s="20">
        <f ca="1" t="shared" si="115"/>
        <v>1.25</v>
      </c>
      <c r="E273" s="20">
        <f ca="1" t="shared" si="116"/>
        <v>0</v>
      </c>
      <c r="F273" s="20"/>
      <c r="G273" s="20"/>
      <c r="H273" s="20" t="s">
        <v>65</v>
      </c>
      <c r="I273" s="20">
        <f ca="1" t="shared" si="117"/>
        <v>-15</v>
      </c>
      <c r="J273" s="20">
        <v>1</v>
      </c>
      <c r="K273" s="20">
        <f ca="1" t="shared" si="118"/>
        <v>1.25</v>
      </c>
      <c r="L273" s="20">
        <f ca="1" t="shared" si="119"/>
        <v>0</v>
      </c>
      <c r="M273" s="20"/>
      <c r="N273" s="20">
        <v>3</v>
      </c>
      <c r="O273" s="17" t="e">
        <v>#VALUE!</v>
      </c>
      <c r="P273" s="17">
        <f ca="1" t="shared" si="120"/>
        <v>15.375</v>
      </c>
      <c r="Q273" s="17" t="e">
        <f ca="1" t="shared" si="121"/>
        <v>#VALUE!</v>
      </c>
      <c r="R273" s="17">
        <f ca="1" t="shared" si="122"/>
        <v>15.8125</v>
      </c>
      <c r="S273" s="17" t="e">
        <f ca="1" t="shared" si="123"/>
        <v>#VALUE!</v>
      </c>
      <c r="T273" s="17"/>
      <c r="U273" s="17"/>
      <c r="V273" s="30"/>
      <c r="W273" s="36"/>
      <c r="X273" s="17"/>
      <c r="Y273" s="17"/>
      <c r="Z273" s="17"/>
      <c r="AA273" s="17"/>
      <c r="AB273" s="17"/>
    </row>
    <row r="274" spans="1:28">
      <c r="A274" s="20" t="s">
        <v>73</v>
      </c>
      <c r="B274" s="20">
        <f ca="1" t="shared" si="114"/>
        <v>-15</v>
      </c>
      <c r="C274" s="20">
        <v>1</v>
      </c>
      <c r="D274" s="20">
        <f ca="1" t="shared" si="115"/>
        <v>1.25</v>
      </c>
      <c r="E274" s="20">
        <f ca="1" t="shared" si="116"/>
        <v>0</v>
      </c>
      <c r="H274" s="20" t="s">
        <v>14</v>
      </c>
      <c r="I274" s="20">
        <f ca="1" t="shared" si="117"/>
        <v>-5</v>
      </c>
      <c r="J274" s="20">
        <v>1</v>
      </c>
      <c r="K274" s="20">
        <f ca="1" t="shared" si="118"/>
        <v>1.25</v>
      </c>
      <c r="L274" s="20">
        <f ca="1" t="shared" si="119"/>
        <v>0</v>
      </c>
      <c r="N274" s="7">
        <v>4</v>
      </c>
      <c r="O274" s="17" t="e">
        <v>#VALUE!</v>
      </c>
      <c r="P274" s="17">
        <f ca="1" t="shared" si="120"/>
        <v>16.125</v>
      </c>
      <c r="Q274" s="17" t="e">
        <f ca="1" t="shared" si="121"/>
        <v>#VALUE!</v>
      </c>
      <c r="R274" s="17">
        <f ca="1" t="shared" si="122"/>
        <v>16.5</v>
      </c>
      <c r="S274" s="17" t="e">
        <f ca="1" t="shared" si="123"/>
        <v>#VALUE!</v>
      </c>
      <c r="T274" s="17"/>
      <c r="U274" s="17"/>
      <c r="V274" s="30"/>
      <c r="W274" s="36"/>
      <c r="X274" s="17"/>
      <c r="Y274" s="17"/>
      <c r="Z274" s="17"/>
      <c r="AA274" s="17"/>
      <c r="AB274" s="17"/>
    </row>
    <row r="275" spans="1:28">
      <c r="A275" s="17" t="s">
        <v>14</v>
      </c>
      <c r="B275" s="20">
        <f ca="1" t="shared" si="114"/>
        <v>-5</v>
      </c>
      <c r="C275" s="20">
        <v>1</v>
      </c>
      <c r="D275" s="20">
        <f ca="1" t="shared" si="115"/>
        <v>1.25</v>
      </c>
      <c r="E275" s="20">
        <f ca="1" t="shared" si="116"/>
        <v>0</v>
      </c>
      <c r="H275" s="17" t="s">
        <v>14</v>
      </c>
      <c r="I275" s="20">
        <f ca="1" t="shared" si="117"/>
        <v>-5</v>
      </c>
      <c r="J275" s="20">
        <v>1</v>
      </c>
      <c r="K275" s="20">
        <f ca="1" t="shared" si="118"/>
        <v>1.25</v>
      </c>
      <c r="L275" s="20">
        <f ca="1" t="shared" si="119"/>
        <v>0</v>
      </c>
      <c r="O275" s="17"/>
      <c r="P275" s="17"/>
      <c r="Q275" s="17"/>
      <c r="R275" s="17"/>
      <c r="S275" s="17"/>
      <c r="T275" s="17"/>
      <c r="U275" s="17"/>
      <c r="V275" s="30"/>
      <c r="W275" s="36"/>
      <c r="X275" s="17"/>
      <c r="Y275" s="17"/>
      <c r="Z275" s="17"/>
      <c r="AA275" s="17"/>
      <c r="AB275" s="17"/>
    </row>
    <row r="276" spans="1:28">
      <c r="A276" s="20" t="s">
        <v>290</v>
      </c>
      <c r="B276" s="20">
        <v>-55</v>
      </c>
      <c r="C276" s="20">
        <v>1</v>
      </c>
      <c r="D276" s="20">
        <f ca="1" t="shared" si="115"/>
        <v>1.25</v>
      </c>
      <c r="E276" s="20">
        <f ca="1" t="shared" si="116"/>
        <v>0</v>
      </c>
      <c r="F276" s="17"/>
      <c r="G276" s="17"/>
      <c r="H276" s="20" t="s">
        <v>290</v>
      </c>
      <c r="I276" s="20">
        <v>-55</v>
      </c>
      <c r="J276" s="20">
        <v>1</v>
      </c>
      <c r="K276" s="20">
        <f ca="1" t="shared" si="118"/>
        <v>1.25</v>
      </c>
      <c r="L276" s="20">
        <f ca="1" t="shared" si="119"/>
        <v>0</v>
      </c>
      <c r="M276" s="17"/>
      <c r="N276" s="17"/>
      <c r="O276" s="17"/>
      <c r="P276" s="17"/>
      <c r="Q276" s="17"/>
      <c r="R276" s="17"/>
      <c r="S276" s="17"/>
      <c r="T276" s="17"/>
      <c r="U276" s="17"/>
      <c r="V276" s="30"/>
      <c r="W276" s="36"/>
      <c r="X276" s="17"/>
      <c r="Y276" s="17"/>
      <c r="Z276" s="17"/>
      <c r="AA276" s="17"/>
      <c r="AB276" s="17"/>
    </row>
    <row r="277" spans="1:28">
      <c r="A277" s="20"/>
      <c r="B277" s="17"/>
      <c r="C277" s="17"/>
      <c r="D277" s="17"/>
      <c r="E277" s="17"/>
      <c r="F277" s="17"/>
      <c r="G277" s="17"/>
      <c r="H277" s="20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30"/>
      <c r="W277" s="36"/>
      <c r="X277" s="17"/>
      <c r="Y277" s="17"/>
      <c r="Z277" s="17"/>
      <c r="AA277" s="17"/>
      <c r="AB277" s="17"/>
    </row>
    <row r="278" spans="1:28">
      <c r="A278" s="20"/>
      <c r="C278" s="11">
        <f>SUM(C273:C276)</f>
        <v>4</v>
      </c>
      <c r="D278" s="11">
        <f ca="1">SUM(D273:D276)+C278/16</f>
        <v>5.25</v>
      </c>
      <c r="E278" s="7" t="e">
        <f ca="1">(INT(D278+1))*$I$9</f>
        <v>#VALUE!</v>
      </c>
      <c r="F278" s="11" t="e">
        <f ca="1">D278*$I$16/$T$15+(D279-D278)*$I$15/$T$15</f>
        <v>#N/A</v>
      </c>
      <c r="G278" s="20"/>
      <c r="H278" s="20"/>
      <c r="J278" s="11">
        <f>SUM(J273:J276)</f>
        <v>4</v>
      </c>
      <c r="K278" s="11">
        <f ca="1">SUM(K273:K276)+J278/16</f>
        <v>5.25</v>
      </c>
      <c r="L278" s="7" t="e">
        <f ca="1">(INT(K278+1))*$I$9</f>
        <v>#VALUE!</v>
      </c>
      <c r="M278" s="11" t="e">
        <f ca="1">K278*$I$16/$T$15+(K279-K278)*$I$15/$T$15</f>
        <v>#N/A</v>
      </c>
      <c r="N278" s="20"/>
      <c r="O278" s="17"/>
      <c r="P278" s="17"/>
      <c r="Q278" s="17"/>
      <c r="R278" s="17"/>
      <c r="S278" s="17"/>
      <c r="T278" s="17"/>
      <c r="U278" s="17"/>
      <c r="V278" s="30"/>
      <c r="W278" s="36"/>
      <c r="X278" s="17"/>
      <c r="Y278" s="17"/>
      <c r="Z278" s="17"/>
      <c r="AA278" s="17"/>
      <c r="AB278" s="17"/>
    </row>
    <row r="279" spans="1:28">
      <c r="A279" s="20"/>
      <c r="B279" s="11">
        <f ca="1">SUM(B264:B276)+20</f>
        <v>-15</v>
      </c>
      <c r="C279" s="11">
        <f>SUM(C264:C276)</f>
        <v>13</v>
      </c>
      <c r="D279" s="11">
        <f ca="1">SUM(D264:D276)</f>
        <v>12.5</v>
      </c>
      <c r="E279" s="11" t="e">
        <f ca="1">SUM(E264:E278)</f>
        <v>#VALUE!</v>
      </c>
      <c r="F279" s="20"/>
      <c r="G279" s="20"/>
      <c r="H279" s="20"/>
      <c r="I279" s="11">
        <f ca="1">SUM(I264:I276)+20</f>
        <v>-5</v>
      </c>
      <c r="J279" s="11">
        <f>SUM(J264:J276)</f>
        <v>13</v>
      </c>
      <c r="K279" s="11">
        <f ca="1">SUM(K264:K276)</f>
        <v>12.5</v>
      </c>
      <c r="L279" s="11" t="e">
        <f ca="1">SUM(L264:L278)</f>
        <v>#VALUE!</v>
      </c>
      <c r="M279" s="20"/>
      <c r="N279" s="20"/>
      <c r="O279" s="17"/>
      <c r="P279" s="17"/>
      <c r="Q279" s="17"/>
      <c r="R279" s="17"/>
      <c r="S279" s="17"/>
      <c r="T279" s="17"/>
      <c r="U279" s="17"/>
      <c r="V279" s="30"/>
      <c r="W279" s="36"/>
      <c r="X279" s="17"/>
      <c r="Y279" s="17"/>
      <c r="Z279" s="17"/>
      <c r="AA279" s="17"/>
      <c r="AB279" s="17"/>
    </row>
    <row r="280" spans="1:28">
      <c r="A280" s="20"/>
      <c r="B280" s="11">
        <v>0</v>
      </c>
      <c r="C280" s="11">
        <f>C279*B280</f>
        <v>0</v>
      </c>
      <c r="D280" s="11">
        <f ca="1">D279+C280/16</f>
        <v>12.5</v>
      </c>
      <c r="E280" s="11" t="e">
        <f ca="1">E279/D280</f>
        <v>#VALUE!</v>
      </c>
      <c r="F280" s="11" t="e">
        <f ca="1">F278/D280</f>
        <v>#N/A</v>
      </c>
      <c r="G280" s="11" t="e">
        <f ca="1">(E280+F280+$Q$43)*(1+$P$35)</f>
        <v>#VALUE!</v>
      </c>
      <c r="H280" s="20"/>
      <c r="I280" s="11">
        <v>0</v>
      </c>
      <c r="J280" s="11">
        <f>J279*I280</f>
        <v>0</v>
      </c>
      <c r="K280" s="11">
        <f ca="1">K279+J280/16</f>
        <v>12.5</v>
      </c>
      <c r="L280" s="11" t="e">
        <f ca="1">L279/K280</f>
        <v>#VALUE!</v>
      </c>
      <c r="M280" s="11" t="e">
        <f ca="1">M278/K280</f>
        <v>#N/A</v>
      </c>
      <c r="N280" s="11" t="e">
        <f ca="1">(L280+M280+$Q$43)*(1+$P$35)</f>
        <v>#VALUE!</v>
      </c>
      <c r="O280" s="17"/>
      <c r="P280" s="17"/>
      <c r="Q280" s="17"/>
      <c r="R280" s="17"/>
      <c r="S280" s="17"/>
      <c r="T280" s="17"/>
      <c r="U280" s="17"/>
      <c r="V280" s="30"/>
      <c r="W280" s="36"/>
      <c r="X280" s="17"/>
      <c r="Y280" s="17"/>
      <c r="Z280" s="17"/>
      <c r="AA280" s="17"/>
      <c r="AB280" s="17"/>
    </row>
    <row r="281" spans="1:28">
      <c r="A281" s="11"/>
      <c r="B281" s="11">
        <v>1</v>
      </c>
      <c r="C281" s="11">
        <f>C279*B281</f>
        <v>13</v>
      </c>
      <c r="D281" s="11">
        <f ca="1">D279+C281/16</f>
        <v>13.3125</v>
      </c>
      <c r="E281" s="11" t="e">
        <f ca="1">E279/D281</f>
        <v>#VALUE!</v>
      </c>
      <c r="F281" s="11" t="e">
        <f ca="1">F278/D281</f>
        <v>#N/A</v>
      </c>
      <c r="G281" s="11" t="e">
        <f ca="1">(E281+F281+$Q$43)*(1+$P$35)</f>
        <v>#VALUE!</v>
      </c>
      <c r="H281" s="11"/>
      <c r="I281" s="11">
        <v>1</v>
      </c>
      <c r="J281" s="11">
        <f>J279*I281</f>
        <v>13</v>
      </c>
      <c r="K281" s="11">
        <f ca="1">K279+J281/16</f>
        <v>13.3125</v>
      </c>
      <c r="L281" s="11" t="e">
        <f ca="1">L279/K281</f>
        <v>#VALUE!</v>
      </c>
      <c r="M281" s="11" t="e">
        <f ca="1">M278/K281</f>
        <v>#N/A</v>
      </c>
      <c r="N281" s="11" t="e">
        <f ca="1">(L281+M281+$Q$43)*(1+$P$35)</f>
        <v>#VALUE!</v>
      </c>
      <c r="O281" s="17"/>
      <c r="P281" s="17"/>
      <c r="Q281" s="17"/>
      <c r="R281" s="17"/>
      <c r="S281" s="17"/>
      <c r="T281" s="17"/>
      <c r="U281" s="17"/>
      <c r="V281" s="30"/>
      <c r="W281" s="36"/>
      <c r="X281" s="17"/>
      <c r="Y281" s="17"/>
      <c r="Z281" s="17"/>
      <c r="AA281" s="17"/>
      <c r="AB281" s="17"/>
    </row>
    <row r="282" spans="1:28">
      <c r="A282" s="11"/>
      <c r="B282" s="11">
        <v>2</v>
      </c>
      <c r="C282" s="11">
        <f>C279*B282</f>
        <v>26</v>
      </c>
      <c r="D282" s="11">
        <f ca="1">D279+C282/16</f>
        <v>14.125</v>
      </c>
      <c r="E282" s="11" t="e">
        <f ca="1">E279/D282</f>
        <v>#VALUE!</v>
      </c>
      <c r="F282" s="20" t="e">
        <f ca="1">F278/D282</f>
        <v>#N/A</v>
      </c>
      <c r="G282" s="11" t="e">
        <f ca="1">(E282+F282+$Q$43)*(1+$P$35)</f>
        <v>#VALUE!</v>
      </c>
      <c r="H282" s="11"/>
      <c r="I282" s="11">
        <v>2</v>
      </c>
      <c r="J282" s="11">
        <f>J279*I282</f>
        <v>26</v>
      </c>
      <c r="K282" s="11">
        <f ca="1">K279+J282/16</f>
        <v>14.125</v>
      </c>
      <c r="L282" s="11" t="e">
        <f ca="1">L279/K282</f>
        <v>#VALUE!</v>
      </c>
      <c r="M282" s="20" t="e">
        <f ca="1">M278/K282</f>
        <v>#N/A</v>
      </c>
      <c r="N282" s="11" t="e">
        <f ca="1">(L282+M282+$Q$43)*(1+$P$35)</f>
        <v>#VALUE!</v>
      </c>
      <c r="O282" s="17"/>
      <c r="P282" s="17"/>
      <c r="Q282" s="17"/>
      <c r="R282" s="17"/>
      <c r="S282" s="17"/>
      <c r="T282" s="17"/>
      <c r="U282" s="17"/>
      <c r="V282" s="30"/>
      <c r="W282" s="36"/>
      <c r="X282" s="17"/>
      <c r="Y282" s="17"/>
      <c r="Z282" s="17"/>
      <c r="AA282" s="17"/>
      <c r="AB282" s="17"/>
    </row>
    <row r="283" spans="1:28">
      <c r="A283" s="17"/>
      <c r="B283" s="11">
        <v>3</v>
      </c>
      <c r="C283" s="11">
        <f>C279*B283</f>
        <v>39</v>
      </c>
      <c r="D283" s="11">
        <f ca="1">D279+C283/16</f>
        <v>14.9375</v>
      </c>
      <c r="E283" s="11" t="e">
        <f ca="1">E279/D283</f>
        <v>#VALUE!</v>
      </c>
      <c r="F283" s="20" t="e">
        <f ca="1">F278/D283</f>
        <v>#N/A</v>
      </c>
      <c r="G283" s="11" t="e">
        <f ca="1">(E283+F283+$Q$43)*(1+$P$35)</f>
        <v>#VALUE!</v>
      </c>
      <c r="H283" s="17"/>
      <c r="I283" s="11">
        <v>3</v>
      </c>
      <c r="J283" s="11">
        <f>J279*I283</f>
        <v>39</v>
      </c>
      <c r="K283" s="11">
        <f ca="1">K279+J283/16</f>
        <v>14.9375</v>
      </c>
      <c r="L283" s="11" t="e">
        <f ca="1">L279/K283</f>
        <v>#VALUE!</v>
      </c>
      <c r="M283" s="20" t="e">
        <f ca="1">M278/K283</f>
        <v>#N/A</v>
      </c>
      <c r="N283" s="11" t="e">
        <f ca="1">(L283+M283+$Q$43)*(1+$P$35)</f>
        <v>#VALUE!</v>
      </c>
      <c r="O283" s="17"/>
      <c r="P283" s="17"/>
      <c r="Q283" s="17"/>
      <c r="R283" s="17"/>
      <c r="S283" s="17"/>
      <c r="T283" s="17"/>
      <c r="U283" s="17"/>
      <c r="V283" s="30"/>
      <c r="W283" s="36"/>
      <c r="X283" s="17"/>
      <c r="Y283" s="17"/>
      <c r="Z283" s="17"/>
      <c r="AA283" s="17"/>
      <c r="AB283" s="17"/>
    </row>
    <row r="284" spans="1:28">
      <c r="A284" s="17"/>
      <c r="B284" s="11">
        <v>4</v>
      </c>
      <c r="C284" s="11">
        <f>C279*B284</f>
        <v>52</v>
      </c>
      <c r="D284" s="11">
        <f ca="1">D279+C284/16</f>
        <v>15.75</v>
      </c>
      <c r="E284" s="11" t="e">
        <f ca="1">E279/D284</f>
        <v>#VALUE!</v>
      </c>
      <c r="F284" s="20" t="e">
        <f ca="1">F278/D284</f>
        <v>#N/A</v>
      </c>
      <c r="G284" s="11" t="e">
        <f ca="1">(E284+F284+$Q$43)*(1+$P$35)</f>
        <v>#VALUE!</v>
      </c>
      <c r="H284" s="17"/>
      <c r="I284" s="11">
        <v>4</v>
      </c>
      <c r="J284" s="11">
        <f>J279*I284</f>
        <v>52</v>
      </c>
      <c r="K284" s="11">
        <f ca="1">K279+J284/16</f>
        <v>15.75</v>
      </c>
      <c r="L284" s="11" t="e">
        <f ca="1">L279/K284</f>
        <v>#VALUE!</v>
      </c>
      <c r="M284" s="20" t="e">
        <f ca="1">M278/K284</f>
        <v>#N/A</v>
      </c>
      <c r="N284" s="11" t="e">
        <f ca="1">(L284+M284+$Q$43)*(1+$P$35)</f>
        <v>#VALUE!</v>
      </c>
      <c r="O284" s="17"/>
      <c r="P284" s="17"/>
      <c r="Q284" s="17"/>
      <c r="R284" s="17"/>
      <c r="S284" s="17"/>
      <c r="T284" s="17"/>
      <c r="U284" s="17"/>
      <c r="V284" s="30"/>
      <c r="W284" s="36"/>
      <c r="X284" s="17"/>
      <c r="Y284" s="17"/>
      <c r="Z284" s="17"/>
      <c r="AA284" s="17"/>
      <c r="AB284" s="17"/>
    </row>
    <row r="285" spans="1:28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30"/>
      <c r="W285" s="36"/>
      <c r="X285" s="17"/>
      <c r="Y285" s="17"/>
      <c r="Z285" s="17"/>
      <c r="AA285" s="17"/>
      <c r="AB285" s="17"/>
    </row>
    <row r="286" spans="1:28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30"/>
      <c r="W286" s="36"/>
      <c r="X286" s="17"/>
      <c r="Y286" s="17"/>
      <c r="Z286" s="17"/>
      <c r="AA286" s="17"/>
      <c r="AB286" s="17"/>
    </row>
    <row r="287" spans="1:28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30"/>
      <c r="W287" s="36"/>
      <c r="X287" s="17"/>
      <c r="Y287" s="17"/>
      <c r="Z287" s="17"/>
      <c r="AA287" s="17"/>
      <c r="AB287" s="17"/>
    </row>
    <row r="288" spans="1:2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30"/>
      <c r="W288" s="36"/>
      <c r="X288" s="17"/>
      <c r="Y288" s="17"/>
      <c r="Z288" s="17"/>
      <c r="AA288" s="17"/>
      <c r="AB288" s="17"/>
    </row>
    <row r="289" spans="1:28">
      <c r="A289" s="20"/>
      <c r="B289" s="20"/>
      <c r="C289" s="20"/>
      <c r="D289" s="20"/>
      <c r="E289" s="20"/>
      <c r="F289" s="20"/>
      <c r="G289" s="20"/>
      <c r="H289" s="20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30"/>
      <c r="W289" s="36"/>
      <c r="X289" s="17"/>
      <c r="Y289" s="17"/>
      <c r="Z289" s="17"/>
      <c r="AA289" s="17"/>
      <c r="AB289" s="17"/>
    </row>
    <row r="290" spans="1:28">
      <c r="A290" s="20"/>
      <c r="B290" s="20"/>
      <c r="C290" s="20"/>
      <c r="D290" s="20"/>
      <c r="E290" s="20"/>
      <c r="F290" s="20"/>
      <c r="G290" s="20"/>
      <c r="H290" s="20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30"/>
      <c r="W290" s="36"/>
      <c r="X290" s="17"/>
      <c r="Y290" s="17"/>
      <c r="Z290" s="17"/>
      <c r="AA290" s="17"/>
      <c r="AB290" s="17"/>
    </row>
    <row r="291" spans="1:28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30"/>
      <c r="W291" s="36"/>
      <c r="X291" s="17"/>
      <c r="Y291" s="17"/>
      <c r="Z291" s="17"/>
      <c r="AA291" s="17"/>
      <c r="AB291" s="17"/>
    </row>
    <row r="292" spans="1:28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30"/>
      <c r="W292" s="36"/>
      <c r="X292" s="17"/>
      <c r="Y292" s="17"/>
      <c r="Z292" s="17"/>
      <c r="AA292" s="17"/>
      <c r="AB292" s="17"/>
    </row>
    <row r="293" spans="1:28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30"/>
      <c r="W293" s="36"/>
      <c r="X293" s="17"/>
      <c r="Y293" s="17"/>
      <c r="Z293" s="17"/>
      <c r="AA293" s="17"/>
      <c r="AB293" s="17"/>
    </row>
    <row r="294" spans="1:28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30"/>
      <c r="W294" s="36"/>
      <c r="X294" s="17"/>
      <c r="Y294" s="17"/>
      <c r="Z294" s="17"/>
      <c r="AA294" s="17"/>
      <c r="AB294" s="17"/>
    </row>
    <row r="295" spans="1:28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30"/>
      <c r="W295" s="36"/>
      <c r="X295" s="17"/>
      <c r="Y295" s="17"/>
      <c r="Z295" s="17"/>
      <c r="AA295" s="17"/>
      <c r="AB295" s="17"/>
    </row>
    <row r="296" spans="1:28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30"/>
      <c r="W296" s="36"/>
      <c r="X296" s="17"/>
      <c r="Y296" s="17"/>
      <c r="Z296" s="17"/>
      <c r="AA296" s="17"/>
      <c r="AB296" s="17"/>
    </row>
    <row r="297" spans="1:28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30"/>
      <c r="W297" s="36"/>
      <c r="X297" s="17"/>
      <c r="Y297" s="17"/>
      <c r="Z297" s="17"/>
      <c r="AA297" s="17"/>
      <c r="AB297" s="17"/>
    </row>
    <row r="298" spans="1:2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30"/>
      <c r="W298" s="36"/>
      <c r="X298" s="17"/>
      <c r="Y298" s="17"/>
      <c r="Z298" s="17"/>
      <c r="AA298" s="17"/>
      <c r="AB298" s="17"/>
    </row>
    <row r="299" spans="1:28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30"/>
      <c r="W299" s="36"/>
      <c r="X299" s="17"/>
      <c r="Y299" s="17"/>
      <c r="Z299" s="17"/>
      <c r="AA299" s="17"/>
      <c r="AB299" s="17"/>
    </row>
  </sheetData>
  <mergeCells count="1">
    <mergeCell ref="T51:U51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V61" sqref="V61"/>
    </sheetView>
  </sheetViews>
  <sheetFormatPr defaultColWidth="8.8" defaultRowHeight="13.8" outlineLevelRow="4" outlineLevelCol="4"/>
  <sheetData>
    <row r="1" ht="16.2" spans="1:5">
      <c r="A1" s="1" t="s">
        <v>358</v>
      </c>
      <c r="B1" s="1"/>
      <c r="C1" s="1"/>
      <c r="D1" s="2" t="s">
        <v>359</v>
      </c>
      <c r="E1" s="3"/>
    </row>
    <row r="2" ht="17.4" spans="1:5">
      <c r="A2" s="4"/>
      <c r="B2" s="1" t="s">
        <v>360</v>
      </c>
      <c r="C2" s="1" t="s">
        <v>361</v>
      </c>
      <c r="D2" s="5"/>
      <c r="E2" s="4"/>
    </row>
    <row r="3" ht="17.4" spans="1:5">
      <c r="A3" s="1" t="s">
        <v>362</v>
      </c>
      <c r="B3" s="1"/>
      <c r="C3" s="1"/>
      <c r="D3" s="5"/>
      <c r="E3" s="6"/>
    </row>
    <row r="4" ht="17.4" spans="1:5">
      <c r="A4" s="1" t="s">
        <v>363</v>
      </c>
      <c r="B4" s="1"/>
      <c r="C4" s="1"/>
      <c r="D4" s="5"/>
      <c r="E4" s="6"/>
    </row>
    <row r="5" ht="17.4" spans="1:5">
      <c r="A5" s="1" t="s">
        <v>364</v>
      </c>
      <c r="B5" s="5"/>
      <c r="C5" s="5"/>
      <c r="D5" s="5"/>
      <c r="E5" s="6"/>
    </row>
  </sheetData>
  <mergeCells count="1">
    <mergeCell ref="A1:C1"/>
  </mergeCells>
  <pageMargins left="0.75" right="0.75" top="1" bottom="1" header="0.5" footer="0.5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name="Check Box 1" r:id="rId3">
              <controlPr defaultSize="0">
                <anchor moveWithCells="1">
                  <from>
                    <xdr:col>3</xdr:col>
                    <xdr:colOff>670560</xdr:colOff>
                    <xdr:row>0</xdr:row>
                    <xdr:rowOff>175260</xdr:rowOff>
                  </from>
                  <to>
                    <xdr:col>5</xdr:col>
                    <xdr:colOff>241300</xdr:colOff>
                    <xdr:row>1</xdr:row>
                    <xdr:rowOff>178435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name="Check Box 2" r:id="rId4">
              <controlPr defaultSize="0">
                <anchor moveWithCells="1">
                  <from>
                    <xdr:col>3</xdr:col>
                    <xdr:colOff>670560</xdr:colOff>
                    <xdr:row>0</xdr:row>
                    <xdr:rowOff>27940</xdr:rowOff>
                  </from>
                  <to>
                    <xdr:col>5</xdr:col>
                    <xdr:colOff>241300</xdr:colOff>
                    <xdr:row>1</xdr:row>
                    <xdr:rowOff>31115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苍云</vt:lpstr>
      <vt:lpstr>属性</vt:lpstr>
      <vt:lpstr>木桩</vt:lpstr>
      <vt:lpstr>实战</vt:lpstr>
      <vt:lpstr>身法</vt:lpstr>
      <vt:lpstr>基础攻击</vt:lpstr>
      <vt:lpstr>会效</vt:lpstr>
      <vt:lpstr>会心</vt:lpstr>
      <vt:lpstr>命中</vt:lpstr>
      <vt:lpstr>无双</vt:lpstr>
      <vt:lpstr>基础破防</vt:lpstr>
      <vt:lpstr>武器伤害</vt:lpstr>
      <vt:lpstr>技能比例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samokii</cp:lastModifiedBy>
  <cp:revision>1</cp:revision>
  <dcterms:created xsi:type="dcterms:W3CDTF">2008-09-11T17:22:00Z</dcterms:created>
  <cp:lastPrinted>2016-10-01T09:36:00Z</cp:lastPrinted>
  <dcterms:modified xsi:type="dcterms:W3CDTF">2019-08-16T09:33:55Z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