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autoCompressPictures="0"/>
  <mc:AlternateContent xmlns:mc="http://schemas.openxmlformats.org/markup-compatibility/2006">
    <mc:Choice Requires="x15">
      <x15ac:absPath xmlns:x15ac="http://schemas.microsoft.com/office/spreadsheetml/2010/11/ac" url="/Users/jmarlowe/Google Drive/Service/Other Service/Arena Finance Analysis - 2017/"/>
    </mc:Choice>
  </mc:AlternateContent>
  <bookViews>
    <workbookView xWindow="0" yWindow="460" windowWidth="23000" windowHeight="14180" tabRatio="858"/>
  </bookViews>
  <sheets>
    <sheet name="Assumptions and Parameters" sheetId="1" r:id="rId1"/>
    <sheet name="Revenue Projections" sheetId="3" r:id="rId2"/>
    <sheet name="Scenario Assumptions" sheetId="11" r:id="rId3"/>
    <sheet name="Scenario Analysis" sheetId="10" r:id="rId4"/>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4" i="3" l="1"/>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B9" i="3"/>
  <c r="B11" i="3"/>
  <c r="B12" i="3"/>
  <c r="B13" i="3"/>
  <c r="B14" i="3"/>
  <c r="B16" i="3"/>
  <c r="B6" i="3"/>
  <c r="B7" i="3"/>
  <c r="B8" i="3"/>
  <c r="B17" i="3"/>
  <c r="B18" i="3"/>
  <c r="B19" i="3"/>
  <c r="B20" i="3"/>
  <c r="B24" i="3"/>
  <c r="B26" i="3"/>
  <c r="B28" i="3"/>
  <c r="B30" i="3"/>
  <c r="C9" i="3"/>
  <c r="C11" i="3"/>
  <c r="C12" i="3"/>
  <c r="C13" i="3"/>
  <c r="C14" i="3"/>
  <c r="C16" i="3"/>
  <c r="C6" i="3"/>
  <c r="C7" i="3"/>
  <c r="C8" i="3"/>
  <c r="C17" i="3"/>
  <c r="C18" i="3"/>
  <c r="C19" i="3"/>
  <c r="C20" i="3"/>
  <c r="C24" i="3"/>
  <c r="C26" i="3"/>
  <c r="C28" i="3"/>
  <c r="C30" i="3"/>
  <c r="D9" i="3"/>
  <c r="D12" i="3"/>
  <c r="D13" i="3"/>
  <c r="D14" i="3"/>
  <c r="D16" i="3"/>
  <c r="D6" i="3"/>
  <c r="D7" i="3"/>
  <c r="D8" i="3"/>
  <c r="D17" i="3"/>
  <c r="D18" i="3"/>
  <c r="D19" i="3"/>
  <c r="D20" i="3"/>
  <c r="D24" i="3"/>
  <c r="D26" i="3"/>
  <c r="D28" i="3"/>
  <c r="D30" i="3"/>
  <c r="E9" i="3"/>
  <c r="E12" i="3"/>
  <c r="E13" i="3"/>
  <c r="E14" i="3"/>
  <c r="E16" i="3"/>
  <c r="E6" i="3"/>
  <c r="E7" i="3"/>
  <c r="E8" i="3"/>
  <c r="E17" i="3"/>
  <c r="E18" i="3"/>
  <c r="E19" i="3"/>
  <c r="E20" i="3"/>
  <c r="E24" i="3"/>
  <c r="E26" i="3"/>
  <c r="E28" i="3"/>
  <c r="E30" i="3"/>
  <c r="F9" i="3"/>
  <c r="F12" i="3"/>
  <c r="F13" i="3"/>
  <c r="F14" i="3"/>
  <c r="F16" i="3"/>
  <c r="F6" i="3"/>
  <c r="F7" i="3"/>
  <c r="F8" i="3"/>
  <c r="F17" i="3"/>
  <c r="F18" i="3"/>
  <c r="F19" i="3"/>
  <c r="F20" i="3"/>
  <c r="F24" i="3"/>
  <c r="F26" i="3"/>
  <c r="F28" i="3"/>
  <c r="F30" i="3"/>
  <c r="G9" i="3"/>
  <c r="G12" i="3"/>
  <c r="G13" i="3"/>
  <c r="G14" i="3"/>
  <c r="G16" i="3"/>
  <c r="G6" i="3"/>
  <c r="G7" i="3"/>
  <c r="G8" i="3"/>
  <c r="G17" i="3"/>
  <c r="G18" i="3"/>
  <c r="G19" i="3"/>
  <c r="G20" i="3"/>
  <c r="G24" i="3"/>
  <c r="G26" i="3"/>
  <c r="G28" i="3"/>
  <c r="G30" i="3"/>
  <c r="H9" i="3"/>
  <c r="H12" i="3"/>
  <c r="H13" i="3"/>
  <c r="H14" i="3"/>
  <c r="H16" i="3"/>
  <c r="H6" i="3"/>
  <c r="H7" i="3"/>
  <c r="H8" i="3"/>
  <c r="H17" i="3"/>
  <c r="H18" i="3"/>
  <c r="H19" i="3"/>
  <c r="H20" i="3"/>
  <c r="H24" i="3"/>
  <c r="H26" i="3"/>
  <c r="H28" i="3"/>
  <c r="H30" i="3"/>
  <c r="I9" i="3"/>
  <c r="I12" i="3"/>
  <c r="I13" i="3"/>
  <c r="I14" i="3"/>
  <c r="I16" i="3"/>
  <c r="I6" i="3"/>
  <c r="I7" i="3"/>
  <c r="I8" i="3"/>
  <c r="I17" i="3"/>
  <c r="I18" i="3"/>
  <c r="I19" i="3"/>
  <c r="I20" i="3"/>
  <c r="I24" i="3"/>
  <c r="I26" i="3"/>
  <c r="I28" i="3"/>
  <c r="I30" i="3"/>
  <c r="J9" i="3"/>
  <c r="J12" i="3"/>
  <c r="J13" i="3"/>
  <c r="J14" i="3"/>
  <c r="J16" i="3"/>
  <c r="J6" i="3"/>
  <c r="J7" i="3"/>
  <c r="J8" i="3"/>
  <c r="J17" i="3"/>
  <c r="J18" i="3"/>
  <c r="J19" i="3"/>
  <c r="J20" i="3"/>
  <c r="J24" i="3"/>
  <c r="J26" i="3"/>
  <c r="J28" i="3"/>
  <c r="J30" i="3"/>
  <c r="K9" i="3"/>
  <c r="K12" i="3"/>
  <c r="K13" i="3"/>
  <c r="K14" i="3"/>
  <c r="K16" i="3"/>
  <c r="K6" i="3"/>
  <c r="K7" i="3"/>
  <c r="K8" i="3"/>
  <c r="K17" i="3"/>
  <c r="K18" i="3"/>
  <c r="K19" i="3"/>
  <c r="K20" i="3"/>
  <c r="K24" i="3"/>
  <c r="K26" i="3"/>
  <c r="K28" i="3"/>
  <c r="K30" i="3"/>
  <c r="L9" i="3"/>
  <c r="L12" i="3"/>
  <c r="L13" i="3"/>
  <c r="L14" i="3"/>
  <c r="L16" i="3"/>
  <c r="L6" i="3"/>
  <c r="L7" i="3"/>
  <c r="L8" i="3"/>
  <c r="L17" i="3"/>
  <c r="L18" i="3"/>
  <c r="L19" i="3"/>
  <c r="L20" i="3"/>
  <c r="L24" i="3"/>
  <c r="L26" i="3"/>
  <c r="L28" i="3"/>
  <c r="L30" i="3"/>
  <c r="M9" i="3"/>
  <c r="M12" i="3"/>
  <c r="M13" i="3"/>
  <c r="M14" i="3"/>
  <c r="M16" i="3"/>
  <c r="M6" i="3"/>
  <c r="M7" i="3"/>
  <c r="M8" i="3"/>
  <c r="M17" i="3"/>
  <c r="M18" i="3"/>
  <c r="M19" i="3"/>
  <c r="M20" i="3"/>
  <c r="M24" i="3"/>
  <c r="M26" i="3"/>
  <c r="M28" i="3"/>
  <c r="M30" i="3"/>
  <c r="N9" i="3"/>
  <c r="N12" i="3"/>
  <c r="N13" i="3"/>
  <c r="N14" i="3"/>
  <c r="N16" i="3"/>
  <c r="N6" i="3"/>
  <c r="N7" i="3"/>
  <c r="N8" i="3"/>
  <c r="N17" i="3"/>
  <c r="N18" i="3"/>
  <c r="N19" i="3"/>
  <c r="N20" i="3"/>
  <c r="N24" i="3"/>
  <c r="N26" i="3"/>
  <c r="N28" i="3"/>
  <c r="N30" i="3"/>
  <c r="O9" i="3"/>
  <c r="O12" i="3"/>
  <c r="O13" i="3"/>
  <c r="O14" i="3"/>
  <c r="O16" i="3"/>
  <c r="O6" i="3"/>
  <c r="O7" i="3"/>
  <c r="O8" i="3"/>
  <c r="O17" i="3"/>
  <c r="O18" i="3"/>
  <c r="O19" i="3"/>
  <c r="O20" i="3"/>
  <c r="O24" i="3"/>
  <c r="O26" i="3"/>
  <c r="O28" i="3"/>
  <c r="O30" i="3"/>
  <c r="P9" i="3"/>
  <c r="P12" i="3"/>
  <c r="P13" i="3"/>
  <c r="P14" i="3"/>
  <c r="P16" i="3"/>
  <c r="P6" i="3"/>
  <c r="P7" i="3"/>
  <c r="P8" i="3"/>
  <c r="P17" i="3"/>
  <c r="P18" i="3"/>
  <c r="P19" i="3"/>
  <c r="P20" i="3"/>
  <c r="P24" i="3"/>
  <c r="P26" i="3"/>
  <c r="P28" i="3"/>
  <c r="P30" i="3"/>
  <c r="Q9" i="3"/>
  <c r="Q12" i="3"/>
  <c r="Q13" i="3"/>
  <c r="Q14" i="3"/>
  <c r="Q16" i="3"/>
  <c r="Q6" i="3"/>
  <c r="Q7" i="3"/>
  <c r="Q8" i="3"/>
  <c r="Q17" i="3"/>
  <c r="Q18" i="3"/>
  <c r="Q19" i="3"/>
  <c r="Q20" i="3"/>
  <c r="Q24" i="3"/>
  <c r="Q26" i="3"/>
  <c r="Q28" i="3"/>
  <c r="Q30" i="3"/>
  <c r="R9" i="3"/>
  <c r="R12" i="3"/>
  <c r="R13" i="3"/>
  <c r="R14" i="3"/>
  <c r="R16" i="3"/>
  <c r="R6" i="3"/>
  <c r="R7" i="3"/>
  <c r="R8" i="3"/>
  <c r="R17" i="3"/>
  <c r="R18" i="3"/>
  <c r="R19" i="3"/>
  <c r="R20" i="3"/>
  <c r="R24" i="3"/>
  <c r="R26" i="3"/>
  <c r="R28" i="3"/>
  <c r="R30" i="3"/>
  <c r="S9" i="3"/>
  <c r="S12" i="3"/>
  <c r="S13" i="3"/>
  <c r="S14" i="3"/>
  <c r="S16" i="3"/>
  <c r="S6" i="3"/>
  <c r="S7" i="3"/>
  <c r="S8" i="3"/>
  <c r="S17" i="3"/>
  <c r="S18" i="3"/>
  <c r="S19" i="3"/>
  <c r="S20" i="3"/>
  <c r="S24" i="3"/>
  <c r="S26" i="3"/>
  <c r="S28" i="3"/>
  <c r="S30" i="3"/>
  <c r="T9" i="3"/>
  <c r="T12" i="3"/>
  <c r="T13" i="3"/>
  <c r="T14" i="3"/>
  <c r="T16" i="3"/>
  <c r="T6" i="3"/>
  <c r="T7" i="3"/>
  <c r="T8" i="3"/>
  <c r="T17" i="3"/>
  <c r="T18" i="3"/>
  <c r="T19" i="3"/>
  <c r="T20" i="3"/>
  <c r="T24" i="3"/>
  <c r="T26" i="3"/>
  <c r="T28" i="3"/>
  <c r="T30" i="3"/>
  <c r="U9" i="3"/>
  <c r="U12" i="3"/>
  <c r="U13" i="3"/>
  <c r="U14" i="3"/>
  <c r="U16" i="3"/>
  <c r="U6" i="3"/>
  <c r="U7" i="3"/>
  <c r="U8" i="3"/>
  <c r="U17" i="3"/>
  <c r="U18" i="3"/>
  <c r="U19" i="3"/>
  <c r="U20" i="3"/>
  <c r="U24" i="3"/>
  <c r="U26" i="3"/>
  <c r="U28" i="3"/>
  <c r="U30" i="3"/>
  <c r="V9" i="3"/>
  <c r="V12" i="3"/>
  <c r="V13" i="3"/>
  <c r="V14" i="3"/>
  <c r="V16" i="3"/>
  <c r="V6" i="3"/>
  <c r="V7" i="3"/>
  <c r="V8" i="3"/>
  <c r="V17" i="3"/>
  <c r="V18" i="3"/>
  <c r="V19" i="3"/>
  <c r="V20" i="3"/>
  <c r="V24" i="3"/>
  <c r="V26" i="3"/>
  <c r="V28" i="3"/>
  <c r="V30" i="3"/>
  <c r="W9" i="3"/>
  <c r="W12" i="3"/>
  <c r="W13" i="3"/>
  <c r="W14" i="3"/>
  <c r="W16" i="3"/>
  <c r="W6" i="3"/>
  <c r="W7" i="3"/>
  <c r="W8" i="3"/>
  <c r="W17" i="3"/>
  <c r="W18" i="3"/>
  <c r="W19" i="3"/>
  <c r="W20" i="3"/>
  <c r="W24" i="3"/>
  <c r="W26" i="3"/>
  <c r="W28" i="3"/>
  <c r="W30" i="3"/>
  <c r="X9" i="3"/>
  <c r="X12" i="3"/>
  <c r="X13" i="3"/>
  <c r="X14" i="3"/>
  <c r="X16" i="3"/>
  <c r="X6" i="3"/>
  <c r="X7" i="3"/>
  <c r="X8" i="3"/>
  <c r="X17" i="3"/>
  <c r="X18" i="3"/>
  <c r="X19" i="3"/>
  <c r="X20" i="3"/>
  <c r="X24" i="3"/>
  <c r="X26" i="3"/>
  <c r="X28" i="3"/>
  <c r="X30" i="3"/>
  <c r="Y9" i="3"/>
  <c r="Y12" i="3"/>
  <c r="Y13" i="3"/>
  <c r="Y14" i="3"/>
  <c r="Y16" i="3"/>
  <c r="Y6" i="3"/>
  <c r="Y7" i="3"/>
  <c r="Y8" i="3"/>
  <c r="Y17" i="3"/>
  <c r="Y18" i="3"/>
  <c r="Y19" i="3"/>
  <c r="Y20" i="3"/>
  <c r="Y24" i="3"/>
  <c r="Y26" i="3"/>
  <c r="Y28" i="3"/>
  <c r="Y30" i="3"/>
  <c r="Z9" i="3"/>
  <c r="Z12" i="3"/>
  <c r="Z13" i="3"/>
  <c r="Z14" i="3"/>
  <c r="Z16" i="3"/>
  <c r="Z6" i="3"/>
  <c r="Z7" i="3"/>
  <c r="Z8" i="3"/>
  <c r="Z17" i="3"/>
  <c r="Z18" i="3"/>
  <c r="Z19" i="3"/>
  <c r="Z20" i="3"/>
  <c r="Z24" i="3"/>
  <c r="Z26" i="3"/>
  <c r="Z28" i="3"/>
  <c r="Z30" i="3"/>
  <c r="AA9" i="3"/>
  <c r="AA12" i="3"/>
  <c r="AA13" i="3"/>
  <c r="AA14" i="3"/>
  <c r="AA16" i="3"/>
  <c r="AA6" i="3"/>
  <c r="AA7" i="3"/>
  <c r="AA8" i="3"/>
  <c r="AA17" i="3"/>
  <c r="AA18" i="3"/>
  <c r="AA19" i="3"/>
  <c r="AA20" i="3"/>
  <c r="AA24" i="3"/>
  <c r="AA26" i="3"/>
  <c r="AA28" i="3"/>
  <c r="AA30" i="3"/>
  <c r="AB9" i="3"/>
  <c r="AB12" i="3"/>
  <c r="AB13" i="3"/>
  <c r="AB14" i="3"/>
  <c r="AB16" i="3"/>
  <c r="AB6" i="3"/>
  <c r="AB7" i="3"/>
  <c r="AB8" i="3"/>
  <c r="AB17" i="3"/>
  <c r="AB18" i="3"/>
  <c r="AB19" i="3"/>
  <c r="AB20" i="3"/>
  <c r="AB24" i="3"/>
  <c r="AB26" i="3"/>
  <c r="AB28" i="3"/>
  <c r="AB30" i="3"/>
  <c r="AC9" i="3"/>
  <c r="AC12" i="3"/>
  <c r="AC13" i="3"/>
  <c r="AC14" i="3"/>
  <c r="AC16" i="3"/>
  <c r="AC6" i="3"/>
  <c r="AC7" i="3"/>
  <c r="AC8" i="3"/>
  <c r="AC17" i="3"/>
  <c r="AC18" i="3"/>
  <c r="AC19" i="3"/>
  <c r="AC20" i="3"/>
  <c r="AC24" i="3"/>
  <c r="AC26" i="3"/>
  <c r="AC28" i="3"/>
  <c r="AC30" i="3"/>
  <c r="AD9" i="3"/>
  <c r="AD12" i="3"/>
  <c r="AD13" i="3"/>
  <c r="AD14" i="3"/>
  <c r="AD16" i="3"/>
  <c r="AD6" i="3"/>
  <c r="AD7" i="3"/>
  <c r="AD8" i="3"/>
  <c r="AD17" i="3"/>
  <c r="AD18" i="3"/>
  <c r="AD19" i="3"/>
  <c r="AD20" i="3"/>
  <c r="AD24" i="3"/>
  <c r="AD26" i="3"/>
  <c r="AD28" i="3"/>
  <c r="AD30" i="3"/>
  <c r="AE9" i="3"/>
  <c r="AE12" i="3"/>
  <c r="AE13" i="3"/>
  <c r="AE14" i="3"/>
  <c r="AE16" i="3"/>
  <c r="AE6" i="3"/>
  <c r="AE7" i="3"/>
  <c r="AE8" i="3"/>
  <c r="AE17" i="3"/>
  <c r="AE18" i="3"/>
  <c r="AE19" i="3"/>
  <c r="AE20" i="3"/>
  <c r="AE24" i="3"/>
  <c r="AE26" i="3"/>
  <c r="AE28" i="3"/>
  <c r="AE30" i="3"/>
  <c r="AF9" i="3"/>
  <c r="AF12" i="3"/>
  <c r="AF13" i="3"/>
  <c r="AF14" i="3"/>
  <c r="AF16" i="3"/>
  <c r="AF6" i="3"/>
  <c r="AF7" i="3"/>
  <c r="AF8" i="3"/>
  <c r="AF17" i="3"/>
  <c r="AF18" i="3"/>
  <c r="AF19" i="3"/>
  <c r="AF20" i="3"/>
  <c r="AF24" i="3"/>
  <c r="AF26" i="3"/>
  <c r="AF28" i="3"/>
  <c r="AF30" i="3"/>
  <c r="AG9" i="3"/>
  <c r="AG12" i="3"/>
  <c r="AG13" i="3"/>
  <c r="AG14" i="3"/>
  <c r="AG16" i="3"/>
  <c r="AG6" i="3"/>
  <c r="AG7" i="3"/>
  <c r="AG8" i="3"/>
  <c r="AG17" i="3"/>
  <c r="AG18" i="3"/>
  <c r="AG19" i="3"/>
  <c r="AG20" i="3"/>
  <c r="AG24" i="3"/>
  <c r="AG26" i="3"/>
  <c r="AG28" i="3"/>
  <c r="AG30" i="3"/>
  <c r="AH9" i="3"/>
  <c r="AH12" i="3"/>
  <c r="AH13" i="3"/>
  <c r="AH14" i="3"/>
  <c r="AH16" i="3"/>
  <c r="AH6" i="3"/>
  <c r="AH7" i="3"/>
  <c r="AH8" i="3"/>
  <c r="AH17" i="3"/>
  <c r="AH18" i="3"/>
  <c r="AH19" i="3"/>
  <c r="AH20" i="3"/>
  <c r="AH24" i="3"/>
  <c r="AH26" i="3"/>
  <c r="AH28" i="3"/>
  <c r="AH30" i="3"/>
  <c r="AI9" i="3"/>
  <c r="AI12" i="3"/>
  <c r="AI13" i="3"/>
  <c r="AI14" i="3"/>
  <c r="AI16" i="3"/>
  <c r="AI6" i="3"/>
  <c r="AI7" i="3"/>
  <c r="AI8" i="3"/>
  <c r="AI17" i="3"/>
  <c r="AI18" i="3"/>
  <c r="AI19" i="3"/>
  <c r="AI20" i="3"/>
  <c r="AI24" i="3"/>
  <c r="AI26" i="3"/>
  <c r="AI28" i="3"/>
  <c r="AI30" i="3"/>
  <c r="AJ9" i="3"/>
  <c r="AJ12" i="3"/>
  <c r="AJ13" i="3"/>
  <c r="AJ14" i="3"/>
  <c r="AJ16" i="3"/>
  <c r="AJ6" i="3"/>
  <c r="AJ7" i="3"/>
  <c r="AJ8" i="3"/>
  <c r="AJ17" i="3"/>
  <c r="AJ18" i="3"/>
  <c r="AJ19" i="3"/>
  <c r="AJ20" i="3"/>
  <c r="AJ24" i="3"/>
  <c r="AJ26" i="3"/>
  <c r="AJ28" i="3"/>
  <c r="AJ30" i="3"/>
  <c r="B37" i="3"/>
  <c r="I10" i="3"/>
  <c r="B27"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B35" i="3"/>
  <c r="B23"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B33" i="3"/>
  <c r="B21"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alcChain>
</file>

<file path=xl/sharedStrings.xml><?xml version="1.0" encoding="utf-8"?>
<sst xmlns="http://schemas.openxmlformats.org/spreadsheetml/2006/main" count="324" uniqueCount="227">
  <si>
    <t>Property Tax</t>
  </si>
  <si>
    <t>Sales Tax</t>
  </si>
  <si>
    <t>B&amp;O Tax</t>
  </si>
  <si>
    <t>Leasehold Excise Tax</t>
  </si>
  <si>
    <t>Parking Tax</t>
  </si>
  <si>
    <t>Admissions Tax</t>
  </si>
  <si>
    <t xml:space="preserve">   Property Tax Impact from New Construction</t>
  </si>
  <si>
    <t xml:space="preserve">   Rate</t>
  </si>
  <si>
    <t xml:space="preserve">   Portion Traveling by Car</t>
  </si>
  <si>
    <t xml:space="preserve">   People per Car</t>
  </si>
  <si>
    <t xml:space="preserve">   Portion Parking Commercially</t>
  </si>
  <si>
    <t xml:space="preserve">   Admissions Tax Rate</t>
  </si>
  <si>
    <t xml:space="preserve">         Capacity</t>
  </si>
  <si>
    <t xml:space="preserve">         % Seats Sold</t>
  </si>
  <si>
    <t xml:space="preserve">         Club Seats</t>
  </si>
  <si>
    <t xml:space="preserve">         Suites</t>
  </si>
  <si>
    <t xml:space="preserve">         Suite Price (average)</t>
  </si>
  <si>
    <t xml:space="preserve">         Suite Attendance (%)</t>
  </si>
  <si>
    <t xml:space="preserve">         Club Seat Attendance (%)</t>
  </si>
  <si>
    <t xml:space="preserve">      NBA Team</t>
  </si>
  <si>
    <t xml:space="preserve">      NHL Team</t>
  </si>
  <si>
    <t xml:space="preserve">    NBA</t>
  </si>
  <si>
    <t xml:space="preserve">    NHL</t>
  </si>
  <si>
    <t xml:space="preserve">    Concerts</t>
  </si>
  <si>
    <t xml:space="preserve">         Average Ticket Price</t>
  </si>
  <si>
    <t xml:space="preserve">   Portion who park at facilities (i.e. Public Facilities
    District) not subject to the city parking tax</t>
  </si>
  <si>
    <t xml:space="preserve">   Parking Price Per Car</t>
  </si>
  <si>
    <t xml:space="preserve">   NBA Team Taxable Sales</t>
  </si>
  <si>
    <t xml:space="preserve">   NHL Team Taxable Sales</t>
  </si>
  <si>
    <t xml:space="preserve">       Club Seats Catering (avg. per seat)</t>
  </si>
  <si>
    <t xml:space="preserve">       Suite Catering (avg. per suite)</t>
  </si>
  <si>
    <t xml:space="preserve">    Retailing</t>
  </si>
  <si>
    <t>B&amp;O/Business License Tax</t>
  </si>
  <si>
    <t xml:space="preserve">   Rate: Service (Base is Admissions Revenue)</t>
  </si>
  <si>
    <t xml:space="preserve">   Rate: Retail (Base is Taxable Retail Sales)</t>
  </si>
  <si>
    <t xml:space="preserve">    Service</t>
  </si>
  <si>
    <t>N/A</t>
  </si>
  <si>
    <t xml:space="preserve">   Taxable Sales Price Growth (%)</t>
  </si>
  <si>
    <t xml:space="preserve">   Parking Price Growth (%)</t>
  </si>
  <si>
    <t xml:space="preserve">   Lease Annual Increase (%)</t>
  </si>
  <si>
    <t xml:space="preserve">         Annual Ticket Price Increase </t>
  </si>
  <si>
    <t>Tax Revenues</t>
  </si>
  <si>
    <t>Total Tax Revenues</t>
  </si>
  <si>
    <t>Other Assumptions</t>
  </si>
  <si>
    <t xml:space="preserve">     Discount Rate</t>
  </si>
  <si>
    <t xml:space="preserve">     Year NHL Team Occupies</t>
  </si>
  <si>
    <t xml:space="preserve">     Year NBA Team Occupies</t>
  </si>
  <si>
    <t xml:space="preserve">         Percentage Net New Admissions Tax from NHL</t>
  </si>
  <si>
    <t xml:space="preserve">         Percentage Net New Admissions Tax from NBA</t>
  </si>
  <si>
    <t xml:space="preserve">       Percentage Net New Sales Tax From NBA</t>
  </si>
  <si>
    <t xml:space="preserve">       Percentage Net New Sales Tax From NHL</t>
  </si>
  <si>
    <t xml:space="preserve">       Percentage Net New Sales Tax from Concerts</t>
  </si>
  <si>
    <t>Active Model Assumption</t>
  </si>
  <si>
    <t xml:space="preserve">         Suites Sold (%)</t>
  </si>
  <si>
    <t xml:space="preserve">         Club Seats Sold (%)</t>
  </si>
  <si>
    <t xml:space="preserve">          # of Games (average including pre-season and playoffs)</t>
  </si>
  <si>
    <t xml:space="preserve">         Annual Ticket Price Increase (%)</t>
  </si>
  <si>
    <t xml:space="preserve">    New Construction</t>
  </si>
  <si>
    <t xml:space="preserve">   Construction Sales Tax</t>
  </si>
  <si>
    <t xml:space="preserve">         Regular Seats</t>
  </si>
  <si>
    <t xml:space="preserve">         % Regular Seats Sold</t>
  </si>
  <si>
    <t xml:space="preserve">         Average Regular Seat Ticket Price</t>
  </si>
  <si>
    <t xml:space="preserve">Includes 41 home games plus preseason and conservative estimate of postseason play </t>
  </si>
  <si>
    <t xml:space="preserve">Information gathered from Statista.com, includes average of all NBA tickets </t>
  </si>
  <si>
    <t>Capacities for OVG and SP taken from RFP exec summaries, for CH taken from Seattle Times Piece on Sodo Arena</t>
  </si>
  <si>
    <t>CBS Sports.com / Team Marketing.com/ NBA Fan Cost Index</t>
  </si>
  <si>
    <t>Statistics pulled from ESPN.com, w capcities verified on stadium websites</t>
  </si>
  <si>
    <t>Suite amounts taken from RFP executive summaries, no information provided on amount of SODO suites</t>
  </si>
  <si>
    <t>Average suite prices calculated by calculating the a weighted midpoint of the reported high and low prices for each NBA team (.6xlowest + .4 xhighest)</t>
  </si>
  <si>
    <t>CBS Sports.com / Team Marketing.com/ NHL Fan Cost Index</t>
  </si>
  <si>
    <t xml:space="preserve">         Club Seat Annual Fee (average)</t>
  </si>
  <si>
    <t xml:space="preserve">         Club Seat Annual Fee (Average)</t>
  </si>
  <si>
    <t xml:space="preserve">Could not find specific data for club seats but would be similar to GA </t>
  </si>
  <si>
    <t>Could not identify specific amounts of Club Seats by proposal but the average amount at peer areanas that support NHL and NBA is 2122(Barclay's Report)</t>
  </si>
  <si>
    <t>Again not sure how this would change based on proposal but average based on peer groups is $9383 (Barclay's Report)</t>
  </si>
  <si>
    <t xml:space="preserve">Information gathered from Statista.com, includes average of all NHL tickets </t>
  </si>
  <si>
    <t>Average suite prices calculated by calculating the a weighted midpoint of the reported high and low prices for each NHL team (.6xlowest + .4 xhighest)</t>
  </si>
  <si>
    <t>Again not sure how this would change by proposal but took an average of annual fees from peer arenas</t>
  </si>
  <si>
    <t xml:space="preserve">85% calculated as a conservative estimate based on New Jersey Nets "Annual Equivalent Suite Sales" </t>
  </si>
  <si>
    <t xml:space="preserve">82% calculated as a conservative estimate based on New York Islanders "Annual Equivalent Suite Sales" </t>
  </si>
  <si>
    <t>Based on different types of events listed at Barclays this would be closer to 38 - 45%</t>
  </si>
  <si>
    <t>See above</t>
  </si>
  <si>
    <t>85 - 90% based off of Barclay's report, third party events sold with Nets Suites</t>
  </si>
  <si>
    <t>Likely close to overall third party event attendance %</t>
  </si>
  <si>
    <t>http://www.seattle.gov/Documents/Departments/economicDevelopment/2017-04-29%20Seattle%20Partners%20RFP%20Response%20-%20Redevelopment%20of%20KeyArena%20at%20Seattle%20Center.pdf</t>
  </si>
  <si>
    <t>http://www.sonicsarena.com/</t>
  </si>
  <si>
    <t>https://www.teammarketing.com/public/uploadedPDFs/NBA-FCI-2015-16.pdf</t>
  </si>
  <si>
    <t>https://www.teammarketing.com/public/uploadedPDFs/nhl%20fci%2015.pdf</t>
  </si>
  <si>
    <t>https://www.suiteexperiencegroup.com/all-suites/?ref=home_cta</t>
  </si>
  <si>
    <t>https://www.seattle.gov/business-license-tax/before-you-file/tax-rates-and-classifications</t>
  </si>
  <si>
    <t>https://www.seattle.gov/business-license-tax/other-seattle-taxes/commercial-parking-tax</t>
  </si>
  <si>
    <t>https://www.seattle.gov/Documents/Departments/economicDevelopment/Oak%20View%20Group%20Proposal%20for%20the%20Transformation%20of%20the%20arena%20at%20Seattle%20Center_redacted-for-public-view.pdf</t>
  </si>
  <si>
    <t>http://clerk.seattle.gov/~public/meetingrecords/2012/gpnf20120913_1e.pdf</t>
  </si>
  <si>
    <t>https://www.seattle.gov/business-license-tax/other-seattle-taxes/admission-tax</t>
  </si>
  <si>
    <t>https://www.wsj.com/articles/live-nation-testing-vip-lounges-pricey-drinks-to-lift-revenue-at-concerts-1479095080?mod=e2fb</t>
  </si>
  <si>
    <r>
      <t xml:space="preserve">   </t>
    </r>
    <r>
      <rPr>
        <sz val="12"/>
        <color theme="1"/>
        <rFont val="Calibri"/>
        <family val="2"/>
        <scheme val="minor"/>
      </rPr>
      <t>Value of New Construction</t>
    </r>
  </si>
  <si>
    <t>assume same as reg seats</t>
  </si>
  <si>
    <t>$9.50-$23.75</t>
  </si>
  <si>
    <t>$1,000-$2,000</t>
  </si>
  <si>
    <t>$11.82-$23.00</t>
  </si>
  <si>
    <t>40-100</t>
  </si>
  <si>
    <t>2-4</t>
  </si>
  <si>
    <t>73-105%</t>
  </si>
  <si>
    <t>2500-15000</t>
  </si>
  <si>
    <t>80-90%</t>
  </si>
  <si>
    <t>5700-16000</t>
  </si>
  <si>
    <t>45-105</t>
  </si>
  <si>
    <t>2-3</t>
  </si>
  <si>
    <t>65-110</t>
  </si>
  <si>
    <t>5500-18000</t>
  </si>
  <si>
    <t>75-90%</t>
  </si>
  <si>
    <t>1300-18750</t>
  </si>
  <si>
    <t>65-90</t>
  </si>
  <si>
    <t>45-75</t>
  </si>
  <si>
    <t>38-45%</t>
  </si>
  <si>
    <t>2250-10000</t>
  </si>
  <si>
    <t>https://www.keyarena.com/plan-your-visit/directions-parking</t>
  </si>
  <si>
    <t>1.42-3.12</t>
  </si>
  <si>
    <t>http://www.seattle.gov/transportation/docs/arena/Seattle%20Arena%20052312.pdf or https://www.seattle.gov/Documents/Departments/economicDevelopment/Strategic%20Parking%20Study%20-%20Seattle%20Center%201-2017.pdf</t>
  </si>
  <si>
    <t>66%-81% (avg. of two parking studies)</t>
  </si>
  <si>
    <t>KeyArena: 51.04% - 97.90% Hansen: 13.49%-67.13%</t>
  </si>
  <si>
    <t>This is public rate of 2-12 hours</t>
  </si>
  <si>
    <t>n/a</t>
  </si>
  <si>
    <t>Assumed</t>
  </si>
  <si>
    <t>Mariners Study</t>
  </si>
  <si>
    <t>Estimate</t>
  </si>
  <si>
    <t>RFPs</t>
  </si>
  <si>
    <t>RFP</t>
  </si>
  <si>
    <t>Estimate from trends; see above</t>
  </si>
  <si>
    <t>Range for Assumption</t>
  </si>
  <si>
    <t>Mariners study: 27% from Seattle; 43% other King Co; 23% elsewhere in WA State; 6% out of state;  Seahawks study: 15% from Seattle; 31% from other King Co.; 48% from elsewhere in WA State; and 6% out of state.</t>
  </si>
  <si>
    <t>see Mariners Study</t>
  </si>
  <si>
    <t>SODO</t>
  </si>
  <si>
    <t xml:space="preserve">         Suite Price/Game (average)</t>
  </si>
  <si>
    <t xml:space="preserve">         Club Seat Price per Event (average)</t>
  </si>
  <si>
    <t xml:space="preserve">       Regular Seats Concessions and Merchandise (avg. per person)</t>
  </si>
  <si>
    <t xml:space="preserve">    Broadcasting - NBA</t>
  </si>
  <si>
    <t xml:space="preserve">    Broadcasting - NHL</t>
  </si>
  <si>
    <t xml:space="preserve">   Intangible Revenue Annual Growth (%) (NBA and NHL)</t>
  </si>
  <si>
    <t xml:space="preserve">   Property Tax Rate</t>
  </si>
  <si>
    <t xml:space="preserve">   Sales Tax Rate</t>
  </si>
  <si>
    <t xml:space="preserve">   New Construction % Hard Cost </t>
  </si>
  <si>
    <t xml:space="preserve">   New Construction % Soft Cost </t>
  </si>
  <si>
    <t xml:space="preserve">   Year 1 Construction Completion</t>
  </si>
  <si>
    <t xml:space="preserve">   Year 2 Construction Completion</t>
  </si>
  <si>
    <t xml:space="preserve">      See Property Tax Assumptions</t>
  </si>
  <si>
    <t>Seattle Partners RFP</t>
  </si>
  <si>
    <t>YEAR</t>
  </si>
  <si>
    <t>EXEMPT</t>
  </si>
  <si>
    <t>RFP; Includes sales tax on new construction in years 1 and 2, and on arena operations for years thereafer</t>
  </si>
  <si>
    <t>City Portion Only; does not include Transportation Benefit District, Criminal Justice Levy, etc. http://www.seattle.gov/financedepartment/17proposedbudget/documents/2017-2018ProposedBudgetBook.pdf</t>
  </si>
  <si>
    <t>Sources and Other Notes</t>
  </si>
  <si>
    <t>Calculated separately due to difference in readily available nearby public spaces in each neighborhood. Not sure of the exact public parking availability in SoDo, but there are 7400 spots in public garages in Seattle Center. For SoDo, street parking and nearby SafeCo parking were the assumed public availability. see http://www.seattle.gov/transportation/docs/arena/Seattle%20Arena%20052312.pdf or https://www.seattle.gov/Documents/Departments/economicDevelopment/Strategic%20Parking%20Study%20-%20Seattle%20Center%201-2017.pdf</t>
  </si>
  <si>
    <t>The difference in the number of people who would travel by car to the event regardless of neighborhood is likely minimal, therefore the portion is flat across all proposals. See http://www.seattle.gov/transportation/docs/arena/Seattle%20Arena%20052312.pdf or https://www.seattle.gov/Documents/Departments/economicDevelopment/Strategic%20Parking%20Study%20-%20Seattle%20Center%201-2017.pdf</t>
  </si>
  <si>
    <t xml:space="preserve">         # of Concerts and other Events</t>
  </si>
  <si>
    <t xml:space="preserve">      Concerts/Other Events</t>
  </si>
  <si>
    <t xml:space="preserve">         Percentage Net New Admissions Tax from Concerts/Other Events</t>
  </si>
  <si>
    <t>The Barclays Center reports 120-160 "other" events each year. It is the 8th most attended concert venue in the world, ahead of it are Madison Square Garden, the WFC in Philadelphia, Staples in LA, and AA in Dallas. Conservative estimate for Seattle would be in the 65-75 range, with potential for more; also see Broward County, FL/Florida Panthers Study - http://www.broward.org/Arena/Documents/ExecutiveSummary10-13-15.pdf.</t>
  </si>
  <si>
    <t>Assumes tax based on actual rent paid rather than market rent; see OVG and SP proposals</t>
  </si>
  <si>
    <t xml:space="preserve">   Rate: Intangible Revenue (Base is Local TV Broadcast Rights Fee)</t>
  </si>
  <si>
    <t xml:space="preserve">   Local Broadcast Rights Fee - NBA</t>
  </si>
  <si>
    <t xml:space="preserve">   Local Broadcast Rights Fee - NHL</t>
  </si>
  <si>
    <t>Based on local TV rights fee from Miami; see https://www.forbes.com/pictures/mlh45egdj/10-miami-heat/#3cef44241b70</t>
  </si>
  <si>
    <t>Based on local TV rights fees from mid-market NHL teams; see Based on local TV revenues from Miami; see https://www.forbes.com/pictures/mlh45egdj/10-miami-heat/#3cef44241b70</t>
  </si>
  <si>
    <t>If not exempted or redirected, assumes available to City; https://www.seattle.gov/Documents/Departments/economicDevelopment/Oak%20View%20Group%20Proposal%20for%20the%20Transformation%20of%20the%20arena%20at%20Seattle%20Center_redacted-for-public-view.pdf</t>
  </si>
  <si>
    <t>see "Fan Cost Index" - https://www.teammarketing.com/btSubscriptions/fancostcontroller/index</t>
  </si>
  <si>
    <t>Based on Seattle Partners' RFP response</t>
  </si>
  <si>
    <t xml:space="preserve">   Concerts/Other Events Taxable Sales</t>
  </si>
  <si>
    <t xml:space="preserve">     Year Concerts/Other Events Begin</t>
  </si>
  <si>
    <t xml:space="preserve">    Concerts/Other Events</t>
  </si>
  <si>
    <t>Total Tax Revenue Exempted</t>
  </si>
  <si>
    <t xml:space="preserve">     City Arena Fund Revenue Sharing Threshold</t>
  </si>
  <si>
    <t>OVG RFP and Responses to Questions from City Staff</t>
  </si>
  <si>
    <t xml:space="preserve">     City Share of Annual Revenues to City Arena Fund</t>
  </si>
  <si>
    <r>
      <t xml:space="preserve">   </t>
    </r>
    <r>
      <rPr>
        <sz val="12"/>
        <color theme="1"/>
        <rFont val="Calibri"/>
        <family val="2"/>
        <scheme val="minor"/>
      </rPr>
      <t>Property Tax exempted ("EXEMPT"), to City Arena Fund ("ARENA"), or to City General Fund ("GENERAL")?</t>
    </r>
  </si>
  <si>
    <t>GENERAL</t>
  </si>
  <si>
    <t xml:space="preserve">   Sales Tax exempted ("EXEMPT"), to City Arena Fund ("ARENA"), or to City General Fund ("GENERAL")?</t>
  </si>
  <si>
    <t xml:space="preserve">   B&amp;O Tax exempted ("EXEMPT"), to City Arena Fund ("ARENA"), or to City General Fund ("GENERAL")?</t>
  </si>
  <si>
    <t xml:space="preserve">   Parking Tax exempted ("EXEMPT"), to City Arena Fund ("ARENA"), or City General Fund ("GENERAL")?</t>
  </si>
  <si>
    <t xml:space="preserve">   Leasehold Excise Tax exempted ("EXEMPT"), to City Arena Fund ("ARENA"), or to City General Fund ("GENERAL")?</t>
  </si>
  <si>
    <t>City portion only; assumes tax based on actual rent paid rather than market rent; see http://app.leg.wa.gov/RCW/default.aspx?cite=82.29A.040</t>
  </si>
  <si>
    <t xml:space="preserve">   Total Rent Amount</t>
  </si>
  <si>
    <t xml:space="preserve">   Admissions Tax exempted ("EXEMPT"), to City Arena Fund ("ARENA"), or to City General Fund ("GENERAL")?</t>
  </si>
  <si>
    <t>RCW; growth limited to 1% annually from initial assessment</t>
  </si>
  <si>
    <t>Total Gross Revenues to City Arena Fund</t>
  </si>
  <si>
    <t>Total Tax Revenue Retained in City Arena Fund</t>
  </si>
  <si>
    <t>Total Tax Revenue Directly to City General Fund</t>
  </si>
  <si>
    <t>Total Tax Revenue to General Fund</t>
  </si>
  <si>
    <t>City Arena Fund Transfer to City General Fund</t>
  </si>
  <si>
    <t>Present Value of Tax Revenue Exempted Over 30 Years</t>
  </si>
  <si>
    <t>ARENA</t>
  </si>
  <si>
    <t>OVG RFP does not mention B&amp;O so model assumes exempted</t>
  </si>
  <si>
    <t>Scenario</t>
  </si>
  <si>
    <t>Proposal</t>
  </si>
  <si>
    <t>OVG</t>
  </si>
  <si>
    <t>Base Case</t>
  </si>
  <si>
    <t>OVG Base Case</t>
  </si>
  <si>
    <t>SODO Base Case</t>
  </si>
  <si>
    <t>For OVG, assumes 100% public ownership throughout lease; Property Tax rates from http://www.seattle.gov/financedepartment/17proposedbudget/documents/2017-2018ProposedBudgetBook.pdf</t>
  </si>
  <si>
    <t>Assumption</t>
  </si>
  <si>
    <t>Conservative Case</t>
  </si>
  <si>
    <t>Aggressive Case</t>
  </si>
  <si>
    <t>NBA/NHL Per Person Concessions and Merchandise</t>
  </si>
  <si>
    <t>Concert/Other Event Per Person Concessions and Merchandise</t>
  </si>
  <si>
    <t>Average NBA Ticket Price</t>
  </si>
  <si>
    <t>Average NHL Ticket Price</t>
  </si>
  <si>
    <t>NBA Sell Rate for regular seats</t>
  </si>
  <si>
    <t>NHL Sell Rate for regular seats</t>
  </si>
  <si>
    <t>NBA Sell Rate for suites</t>
  </si>
  <si>
    <t>NBA Sell Rate for club seats</t>
  </si>
  <si>
    <t>NBA Occupancy</t>
  </si>
  <si>
    <t>NHL Occupancy</t>
  </si>
  <si>
    <t>Present Value of Tax Revenues to City Arena Fund Over 30 Years</t>
  </si>
  <si>
    <t>Present Value of Tax Revenues to City General Fund Over 30 Years</t>
  </si>
  <si>
    <t>Taxes Exempted</t>
  </si>
  <si>
    <t>Taxes to City Arena Fund</t>
  </si>
  <si>
    <t>Taxes to City General Fund</t>
  </si>
  <si>
    <t>Base Scenario</t>
  </si>
  <si>
    <t>Conservative Scenario</t>
  </si>
  <si>
    <t>Aggressive Scenario</t>
  </si>
  <si>
    <t>SODO = Year 4 OVG = Year 8</t>
  </si>
  <si>
    <t>SODO = Year 7 OVG = Year 10</t>
  </si>
  <si>
    <t>SODO = Year 2 OVG = Year 4</t>
  </si>
  <si>
    <t>SODO = Year 1 OVG = Year 2</t>
  </si>
  <si>
    <t>SODO = Year 1 OVG = Year 4</t>
  </si>
  <si>
    <t>SODO = Year 1 OVG = Year 1</t>
  </si>
  <si>
    <t>Current 30 year UST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</si>
</sst>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_(&quot;$&quot;* #,##0_);_(&quot;$&quot;* \(#,##0\);_(&quot;$&quot;* &quot;-&quot;??_);_(@_)"/>
    <numFmt numFmtId="166" formatCode="&quot;$&quot;#,##0.00"/>
    <numFmt numFmtId="167" formatCode="&quot;$&quot;#,##0"/>
    <numFmt numFmtId="168" formatCode="0.0000%"/>
    <numFmt numFmtId="169" formatCode="0.0%"/>
    <numFmt numFmtId="170" formatCode="&quot;$&quot;#,##0.0000"/>
  </numFmts>
  <fonts count="2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0"/>
      <name val="Arial"/>
      <family val="2"/>
    </font>
    <font>
      <u/>
      <sz val="12"/>
      <color theme="10"/>
      <name val="Calibri"/>
      <family val="2"/>
      <scheme val="minor"/>
    </font>
    <font>
      <u/>
      <sz val="12"/>
      <color theme="11"/>
      <name val="Calibri"/>
      <family val="2"/>
      <scheme val="minor"/>
    </font>
    <font>
      <sz val="16"/>
      <color theme="1"/>
      <name val="Calibri"/>
      <family val="2"/>
      <scheme val="minor"/>
    </font>
    <font>
      <i/>
      <sz val="12"/>
      <color theme="1"/>
      <name val="Calibri"/>
      <family val="2"/>
      <scheme val="minor"/>
    </font>
    <font>
      <sz val="14"/>
      <color theme="1"/>
      <name val="Calibri"/>
      <family val="2"/>
      <scheme val="minor"/>
    </font>
    <font>
      <u/>
      <sz val="12"/>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12"/>
      <color rgb="FF000000"/>
      <name val="Calibri"/>
      <family val="2"/>
      <scheme val="minor"/>
    </font>
    <font>
      <sz val="12"/>
      <name val="Calibri"/>
      <family val="2"/>
      <scheme val="minor"/>
    </font>
    <font>
      <sz val="12"/>
      <color theme="0"/>
      <name val="Calibri"/>
      <family val="2"/>
      <scheme val="minor"/>
    </font>
    <font>
      <b/>
      <sz val="18"/>
      <color theme="1"/>
      <name val="Calibri"/>
      <family val="2"/>
      <scheme val="minor"/>
    </font>
    <font>
      <sz val="14"/>
      <color theme="0"/>
      <name val="Calibri"/>
      <family val="2"/>
      <scheme val="minor"/>
    </font>
    <font>
      <sz val="13"/>
      <color theme="1"/>
      <name val="Calibri"/>
      <family val="2"/>
      <scheme val="minor"/>
    </font>
  </fonts>
  <fills count="5">
    <fill>
      <patternFill patternType="none"/>
    </fill>
    <fill>
      <patternFill patternType="gray125"/>
    </fill>
    <fill>
      <patternFill patternType="solid">
        <fgColor theme="4"/>
      </patternFill>
    </fill>
    <fill>
      <patternFill patternType="solid">
        <fgColor theme="5"/>
      </patternFill>
    </fill>
    <fill>
      <patternFill patternType="solid">
        <fgColor theme="9"/>
      </patternFill>
    </fill>
  </fills>
  <borders count="9">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thin">
        <color auto="1"/>
      </right>
      <top/>
      <bottom/>
      <diagonal/>
    </border>
  </borders>
  <cellStyleXfs count="32">
    <xf numFmtId="0" fontId="0" fillId="0" borderId="0"/>
    <xf numFmtId="44" fontId="4"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6" fillId="2" borderId="0" applyNumberFormat="0" applyBorder="0" applyAlignment="0" applyProtection="0"/>
    <xf numFmtId="0" fontId="16" fillId="3"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4" borderId="0" applyNumberFormat="0" applyBorder="0" applyAlignment="0" applyProtection="0"/>
  </cellStyleXfs>
  <cellXfs count="158">
    <xf numFmtId="0" fontId="0" fillId="0" borderId="0" xfId="0"/>
    <xf numFmtId="0" fontId="3" fillId="0" borderId="0" xfId="0" applyFont="1"/>
    <xf numFmtId="0" fontId="3" fillId="0" borderId="0" xfId="0" quotePrefix="1" applyFont="1"/>
    <xf numFmtId="0" fontId="0" fillId="0" borderId="0" xfId="0" applyFont="1"/>
    <xf numFmtId="0" fontId="7" fillId="0" borderId="0" xfId="0" applyFont="1"/>
    <xf numFmtId="0" fontId="9" fillId="0" borderId="0" xfId="0" applyFont="1"/>
    <xf numFmtId="0" fontId="9" fillId="0" borderId="0" xfId="0" applyFont="1" applyAlignment="1">
      <alignment horizontal="center"/>
    </xf>
    <xf numFmtId="0" fontId="11" fillId="0" borderId="0" xfId="0" applyFont="1" applyAlignment="1">
      <alignment horizontal="center"/>
    </xf>
    <xf numFmtId="165" fontId="9" fillId="0" borderId="0" xfId="0" applyNumberFormat="1" applyFont="1"/>
    <xf numFmtId="165" fontId="0" fillId="0" borderId="0" xfId="0" applyNumberFormat="1"/>
    <xf numFmtId="165" fontId="9" fillId="0" borderId="0" xfId="0" applyNumberFormat="1" applyFont="1" applyAlignment="1">
      <alignment horizontal="left" vertical="center"/>
    </xf>
    <xf numFmtId="165" fontId="9" fillId="0" borderId="0" xfId="2" applyNumberFormat="1" applyFont="1"/>
    <xf numFmtId="0" fontId="0" fillId="0" borderId="0" xfId="0" applyBorder="1"/>
    <xf numFmtId="0" fontId="7" fillId="0" borderId="1" xfId="0" applyFont="1" applyBorder="1"/>
    <xf numFmtId="165" fontId="9" fillId="0" borderId="1" xfId="0" applyNumberFormat="1" applyFont="1" applyBorder="1"/>
    <xf numFmtId="0" fontId="9" fillId="0" borderId="2" xfId="0" applyFont="1" applyBorder="1" applyAlignment="1">
      <alignment horizontal="center"/>
    </xf>
    <xf numFmtId="0" fontId="11" fillId="0" borderId="2" xfId="0" applyFont="1" applyBorder="1" applyAlignment="1">
      <alignment horizontal="center"/>
    </xf>
    <xf numFmtId="0" fontId="7" fillId="0" borderId="2" xfId="0" applyFont="1" applyBorder="1"/>
    <xf numFmtId="165" fontId="9" fillId="0" borderId="2" xfId="0" applyNumberFormat="1" applyFont="1" applyBorder="1"/>
    <xf numFmtId="0" fontId="12" fillId="0" borderId="3" xfId="0" applyFont="1" applyBorder="1" applyAlignment="1">
      <alignment horizontal="left"/>
    </xf>
    <xf numFmtId="0" fontId="11" fillId="0" borderId="3" xfId="0" applyFont="1" applyBorder="1" applyAlignment="1">
      <alignment horizontal="center"/>
    </xf>
    <xf numFmtId="0" fontId="7" fillId="0" borderId="0" xfId="0" applyFont="1" applyBorder="1"/>
    <xf numFmtId="165" fontId="9" fillId="0" borderId="0" xfId="0" applyNumberFormat="1" applyFont="1" applyBorder="1" applyAlignment="1">
      <alignment horizontal="left" vertical="center"/>
    </xf>
    <xf numFmtId="165" fontId="9" fillId="0" borderId="0" xfId="0" applyNumberFormat="1" applyFont="1" applyBorder="1"/>
    <xf numFmtId="44" fontId="9" fillId="0" borderId="0" xfId="0" applyNumberFormat="1" applyFont="1"/>
    <xf numFmtId="165" fontId="9" fillId="0" borderId="0" xfId="0" applyNumberFormat="1" applyFont="1" applyAlignment="1">
      <alignment vertical="center"/>
    </xf>
    <xf numFmtId="165" fontId="9" fillId="0" borderId="0" xfId="3" applyNumberFormat="1" applyFont="1" applyAlignment="1">
      <alignment vertical="center" wrapText="1"/>
    </xf>
    <xf numFmtId="0" fontId="3" fillId="0" borderId="0" xfId="0" applyFont="1" applyFill="1" applyBorder="1" applyAlignment="1">
      <alignment horizontal="center" vertical="center" wrapText="1"/>
    </xf>
    <xf numFmtId="0" fontId="5" fillId="0" borderId="0" xfId="25" applyFont="1" applyFill="1"/>
    <xf numFmtId="0" fontId="5" fillId="0" borderId="0" xfId="25" applyFont="1"/>
    <xf numFmtId="0" fontId="5" fillId="0" borderId="0" xfId="25" quotePrefix="1" applyFont="1" applyFill="1"/>
    <xf numFmtId="168" fontId="5" fillId="0" borderId="0" xfId="25" applyNumberFormat="1" applyFont="1" applyFill="1"/>
    <xf numFmtId="0" fontId="1" fillId="0" borderId="0" xfId="0" applyFont="1"/>
    <xf numFmtId="0" fontId="1" fillId="0" borderId="0" xfId="0" applyFont="1" applyFill="1"/>
    <xf numFmtId="166" fontId="1" fillId="0" borderId="0" xfId="0" applyNumberFormat="1" applyFont="1" applyFill="1" applyAlignment="1">
      <alignment horizontal="center"/>
    </xf>
    <xf numFmtId="168" fontId="1" fillId="0" borderId="0" xfId="0" applyNumberFormat="1" applyFont="1"/>
    <xf numFmtId="0" fontId="14" fillId="0" borderId="0" xfId="0" applyFont="1" applyFill="1"/>
    <xf numFmtId="0" fontId="1" fillId="0" borderId="0" xfId="0" applyFont="1" applyFill="1" applyBorder="1" applyAlignment="1">
      <alignment horizontal="center" vertical="center"/>
    </xf>
    <xf numFmtId="167" fontId="1" fillId="0" borderId="0" xfId="1" applyNumberFormat="1" applyFont="1" applyFill="1" applyAlignment="1">
      <alignment horizontal="center" vertical="center"/>
    </xf>
    <xf numFmtId="2" fontId="1" fillId="0" borderId="0" xfId="0" applyNumberFormat="1" applyFont="1" applyFill="1" applyAlignment="1">
      <alignment horizontal="center" vertical="center"/>
    </xf>
    <xf numFmtId="0" fontId="0" fillId="0" borderId="0" xfId="0" applyFont="1" applyFill="1"/>
    <xf numFmtId="0" fontId="5" fillId="0" borderId="0" xfId="25" applyFill="1"/>
    <xf numFmtId="0" fontId="0" fillId="0" borderId="0" xfId="0" quotePrefix="1" applyFont="1"/>
    <xf numFmtId="0" fontId="0" fillId="0" borderId="0" xfId="0" applyFont="1" applyFill="1" applyBorder="1"/>
    <xf numFmtId="168" fontId="0" fillId="0" borderId="0" xfId="0" applyNumberFormat="1" applyFont="1" applyFill="1"/>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1" fillId="0" borderId="5" xfId="0" applyFont="1" applyFill="1" applyBorder="1"/>
    <xf numFmtId="167" fontId="1" fillId="0" borderId="0" xfId="0" applyNumberFormat="1" applyFont="1" applyFill="1" applyAlignment="1">
      <alignment horizontal="center"/>
    </xf>
    <xf numFmtId="0" fontId="1" fillId="0" borderId="0" xfId="0" applyFont="1" applyFill="1" applyAlignment="1">
      <alignment horizontal="center"/>
    </xf>
    <xf numFmtId="170" fontId="1" fillId="0" borderId="0" xfId="0" applyNumberFormat="1" applyFont="1" applyFill="1" applyAlignment="1">
      <alignment horizontal="center"/>
    </xf>
    <xf numFmtId="9" fontId="1" fillId="0" borderId="0" xfId="0" applyNumberFormat="1" applyFont="1" applyFill="1" applyAlignment="1">
      <alignment horizontal="center"/>
    </xf>
    <xf numFmtId="10" fontId="1" fillId="0" borderId="0" xfId="0" applyNumberFormat="1" applyFont="1" applyFill="1" applyAlignment="1">
      <alignment horizontal="center"/>
    </xf>
    <xf numFmtId="9" fontId="1" fillId="0" borderId="0" xfId="0" applyNumberFormat="1" applyFont="1" applyFill="1" applyBorder="1" applyAlignment="1">
      <alignment horizontal="center"/>
    </xf>
    <xf numFmtId="0" fontId="1" fillId="0" borderId="0" xfId="0" quotePrefix="1" applyFont="1" applyFill="1"/>
    <xf numFmtId="2" fontId="1" fillId="0" borderId="0" xfId="0" applyNumberFormat="1" applyFont="1" applyFill="1" applyAlignment="1">
      <alignment horizontal="center"/>
    </xf>
    <xf numFmtId="0" fontId="1" fillId="0" borderId="0" xfId="0" applyFont="1" applyFill="1" applyBorder="1" applyAlignment="1">
      <alignment horizontal="center"/>
    </xf>
    <xf numFmtId="164" fontId="1" fillId="0" borderId="0" xfId="0" applyNumberFormat="1" applyFont="1" applyFill="1" applyBorder="1" applyAlignment="1">
      <alignment horizontal="center"/>
    </xf>
    <xf numFmtId="167" fontId="1" fillId="0" borderId="4" xfId="0" applyNumberFormat="1" applyFont="1" applyFill="1" applyBorder="1" applyAlignment="1">
      <alignment horizontal="center"/>
    </xf>
    <xf numFmtId="167" fontId="1" fillId="0" borderId="0" xfId="0" applyNumberFormat="1" applyFont="1" applyFill="1" applyBorder="1" applyAlignment="1">
      <alignment horizontal="center"/>
    </xf>
    <xf numFmtId="2" fontId="1" fillId="0" borderId="0" xfId="0" applyNumberFormat="1" applyFont="1" applyFill="1" applyBorder="1" applyAlignment="1">
      <alignment horizontal="center"/>
    </xf>
    <xf numFmtId="10" fontId="1" fillId="0" borderId="0" xfId="0" applyNumberFormat="1" applyFont="1" applyFill="1" applyBorder="1" applyAlignment="1">
      <alignment horizontal="center"/>
    </xf>
    <xf numFmtId="9" fontId="1" fillId="0" borderId="0" xfId="0" applyNumberFormat="1" applyFont="1" applyFill="1" applyBorder="1" applyAlignment="1">
      <alignment horizontal="left"/>
    </xf>
    <xf numFmtId="8" fontId="1" fillId="0" borderId="0" xfId="0" applyNumberFormat="1" applyFont="1" applyFill="1" applyBorder="1" applyAlignment="1">
      <alignment horizontal="center"/>
    </xf>
    <xf numFmtId="2" fontId="15" fillId="0" borderId="0" xfId="0" applyNumberFormat="1" applyFont="1" applyFill="1" applyBorder="1" applyAlignment="1">
      <alignment horizontal="center"/>
    </xf>
    <xf numFmtId="0" fontId="0" fillId="0" borderId="0" xfId="0" applyFont="1" applyFill="1" applyAlignment="1">
      <alignment horizontal="center" vertical="center"/>
    </xf>
    <xf numFmtId="0" fontId="1" fillId="0" borderId="0" xfId="0" applyFont="1" applyFill="1" applyAlignment="1">
      <alignment horizontal="center" vertical="center"/>
    </xf>
    <xf numFmtId="9" fontId="1" fillId="0" borderId="0" xfId="0" applyNumberFormat="1" applyFont="1" applyFill="1" applyAlignment="1">
      <alignment horizontal="center" vertical="center"/>
    </xf>
    <xf numFmtId="167" fontId="1" fillId="0" borderId="0" xfId="0" applyNumberFormat="1" applyFont="1" applyFill="1" applyAlignment="1">
      <alignment horizontal="center" vertical="center"/>
    </xf>
    <xf numFmtId="1" fontId="1" fillId="0" borderId="0" xfId="0" applyNumberFormat="1" applyFont="1" applyFill="1" applyBorder="1" applyAlignment="1">
      <alignment horizontal="center" vertical="center"/>
    </xf>
    <xf numFmtId="166" fontId="1" fillId="0" borderId="0" xfId="0" applyNumberFormat="1" applyFont="1" applyFill="1" applyBorder="1" applyAlignment="1">
      <alignment horizontal="center" vertical="center"/>
    </xf>
    <xf numFmtId="166" fontId="0" fillId="0" borderId="0"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2" fontId="0" fillId="0" borderId="0" xfId="0" quotePrefix="1" applyNumberFormat="1" applyFont="1" applyFill="1" applyBorder="1" applyAlignment="1">
      <alignment horizontal="center" vertical="center"/>
    </xf>
    <xf numFmtId="1" fontId="1" fillId="0" borderId="0" xfId="2" applyNumberFormat="1" applyFont="1" applyFill="1" applyBorder="1" applyAlignment="1">
      <alignment horizontal="center" vertical="center"/>
    </xf>
    <xf numFmtId="1" fontId="0" fillId="0" borderId="0" xfId="2" applyNumberFormat="1" applyFont="1" applyFill="1" applyBorder="1" applyAlignment="1">
      <alignment horizontal="center" vertical="center"/>
    </xf>
    <xf numFmtId="169" fontId="1" fillId="0" borderId="0" xfId="0" applyNumberFormat="1" applyFont="1" applyFill="1" applyBorder="1" applyAlignment="1">
      <alignment horizontal="center" vertical="center"/>
    </xf>
    <xf numFmtId="169"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67" fontId="1" fillId="0" borderId="0" xfId="0" applyNumberFormat="1" applyFont="1" applyFill="1" applyBorder="1" applyAlignment="1">
      <alignment horizontal="center" vertical="center"/>
    </xf>
    <xf numFmtId="167" fontId="0" fillId="0" borderId="0" xfId="0" applyNumberFormat="1" applyFont="1" applyFill="1" applyBorder="1" applyAlignment="1">
      <alignment horizontal="center" vertical="center"/>
    </xf>
    <xf numFmtId="9" fontId="1" fillId="0" borderId="0" xfId="0" applyNumberFormat="1" applyFont="1" applyFill="1" applyBorder="1" applyAlignment="1">
      <alignment horizontal="center" vertical="center"/>
    </xf>
    <xf numFmtId="9" fontId="0" fillId="0" borderId="0" xfId="0" applyNumberFormat="1" applyFont="1" applyFill="1" applyBorder="1" applyAlignment="1">
      <alignment horizontal="center" vertical="center"/>
    </xf>
    <xf numFmtId="6" fontId="1" fillId="0" borderId="0" xfId="0" applyNumberFormat="1" applyFont="1" applyFill="1" applyBorder="1" applyAlignment="1">
      <alignment horizontal="center" vertical="center"/>
    </xf>
    <xf numFmtId="6" fontId="0" fillId="0" borderId="0" xfId="0" applyNumberFormat="1" applyFont="1" applyFill="1" applyBorder="1" applyAlignment="1">
      <alignment horizontal="center" vertical="center"/>
    </xf>
    <xf numFmtId="1" fontId="1" fillId="0" borderId="0" xfId="0" applyNumberFormat="1" applyFont="1" applyFill="1" applyBorder="1" applyAlignment="1">
      <alignment horizontal="center"/>
    </xf>
    <xf numFmtId="166" fontId="1"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2" fontId="0" fillId="0" borderId="0" xfId="0" quotePrefix="1" applyNumberFormat="1" applyFont="1" applyFill="1" applyBorder="1" applyAlignment="1">
      <alignment horizontal="center"/>
    </xf>
    <xf numFmtId="1" fontId="1" fillId="0" borderId="0" xfId="2" applyNumberFormat="1" applyFont="1" applyFill="1" applyBorder="1" applyAlignment="1">
      <alignment horizontal="center"/>
    </xf>
    <xf numFmtId="1" fontId="0" fillId="0" borderId="0" xfId="2" applyNumberFormat="1" applyFont="1" applyFill="1" applyBorder="1" applyAlignment="1">
      <alignment horizontal="center"/>
    </xf>
    <xf numFmtId="9" fontId="0" fillId="0" borderId="0" xfId="0" quotePrefix="1" applyNumberFormat="1" applyFont="1" applyFill="1" applyBorder="1" applyAlignment="1">
      <alignment horizontal="center"/>
    </xf>
    <xf numFmtId="1"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9" fontId="0" fillId="0" borderId="0" xfId="0" applyNumberFormat="1" applyFont="1" applyFill="1" applyBorder="1" applyAlignment="1">
      <alignment horizontal="center"/>
    </xf>
    <xf numFmtId="6" fontId="1" fillId="0" borderId="0" xfId="0" applyNumberFormat="1" applyFont="1" applyFill="1" applyBorder="1" applyAlignment="1">
      <alignment horizontal="center"/>
    </xf>
    <xf numFmtId="6" fontId="0" fillId="0" borderId="0" xfId="0" applyNumberFormat="1" applyFont="1" applyFill="1" applyBorder="1" applyAlignment="1">
      <alignment horizontal="center"/>
    </xf>
    <xf numFmtId="166" fontId="1" fillId="0" borderId="0" xfId="0" applyNumberFormat="1" applyFont="1" applyFill="1" applyAlignment="1">
      <alignment horizontal="center" vertical="center"/>
    </xf>
    <xf numFmtId="166" fontId="0" fillId="0" borderId="0" xfId="0" applyNumberFormat="1" applyFont="1" applyFill="1" applyAlignment="1">
      <alignment horizontal="center" vertical="center"/>
    </xf>
    <xf numFmtId="9" fontId="1" fillId="0" borderId="0" xfId="8" applyFont="1" applyFill="1" applyAlignment="1">
      <alignment horizontal="center" vertical="center"/>
    </xf>
    <xf numFmtId="9" fontId="0" fillId="0" borderId="0" xfId="8" applyFont="1" applyFill="1" applyAlignment="1">
      <alignment horizontal="center" vertical="center"/>
    </xf>
    <xf numFmtId="167" fontId="0" fillId="0" borderId="0" xfId="0" applyNumberFormat="1" applyFont="1" applyFill="1" applyAlignment="1">
      <alignment horizontal="center" vertical="center"/>
    </xf>
    <xf numFmtId="166" fontId="1" fillId="0" borderId="0" xfId="3" applyNumberFormat="1" applyFont="1" applyFill="1" applyAlignment="1">
      <alignment horizontal="center" vertical="center"/>
    </xf>
    <xf numFmtId="0" fontId="1" fillId="0" borderId="0" xfId="0" applyFont="1" applyFill="1" applyBorder="1"/>
    <xf numFmtId="0" fontId="10" fillId="0" borderId="0" xfId="0" applyFont="1" applyFill="1" applyBorder="1" applyAlignment="1">
      <alignment horizontal="center"/>
    </xf>
    <xf numFmtId="0" fontId="1" fillId="0" borderId="0" xfId="0" quotePrefix="1" applyFont="1" applyFill="1" applyBorder="1"/>
    <xf numFmtId="10" fontId="1" fillId="0" borderId="0" xfId="0" applyNumberFormat="1" applyFont="1" applyFill="1" applyBorder="1" applyAlignment="1">
      <alignment horizontal="center" vertical="center"/>
    </xf>
    <xf numFmtId="167" fontId="1" fillId="0" borderId="0" xfId="1" applyNumberFormat="1" applyFont="1" applyFill="1" applyBorder="1" applyAlignment="1">
      <alignment horizontal="center" vertical="center"/>
    </xf>
    <xf numFmtId="9" fontId="1" fillId="0" borderId="0" xfId="8" applyFont="1" applyFill="1" applyBorder="1" applyAlignment="1">
      <alignment horizontal="center" vertical="center"/>
    </xf>
    <xf numFmtId="166" fontId="1" fillId="0" borderId="0" xfId="3" applyNumberFormat="1" applyFont="1" applyFill="1" applyBorder="1" applyAlignment="1">
      <alignment horizontal="center" vertical="center"/>
    </xf>
    <xf numFmtId="169" fontId="1" fillId="0" borderId="0" xfId="0" applyNumberFormat="1" applyFont="1" applyFill="1" applyBorder="1" applyAlignment="1">
      <alignment horizontal="center"/>
    </xf>
    <xf numFmtId="0" fontId="11" fillId="0" borderId="6" xfId="0" applyFont="1" applyFill="1" applyBorder="1" applyAlignment="1">
      <alignment horizontal="center" vertical="center" wrapText="1"/>
    </xf>
    <xf numFmtId="0" fontId="11" fillId="0" borderId="0" xfId="0" applyFont="1" applyFill="1" applyBorder="1" applyAlignment="1">
      <alignment horizontal="center" vertical="center" wrapText="1"/>
    </xf>
    <xf numFmtId="164" fontId="0" fillId="0" borderId="0" xfId="0" applyNumberFormat="1" applyFont="1" applyFill="1" applyBorder="1" applyAlignment="1">
      <alignment horizontal="center"/>
    </xf>
    <xf numFmtId="0" fontId="1" fillId="0" borderId="0" xfId="0" applyFont="1" applyBorder="1"/>
    <xf numFmtId="169" fontId="0" fillId="0" borderId="0" xfId="0" applyNumberFormat="1" applyFont="1" applyFill="1" applyBorder="1" applyAlignment="1">
      <alignment horizontal="center"/>
    </xf>
    <xf numFmtId="0" fontId="17" fillId="0" borderId="0" xfId="0" applyFont="1" applyAlignment="1">
      <alignment horizontal="center"/>
    </xf>
    <xf numFmtId="0" fontId="8" fillId="0" borderId="0" xfId="0" applyFont="1"/>
    <xf numFmtId="165" fontId="18" fillId="2" borderId="7" xfId="27" applyNumberFormat="1" applyFont="1" applyBorder="1" applyAlignment="1">
      <alignment horizontal="center" vertical="center"/>
    </xf>
    <xf numFmtId="2" fontId="0" fillId="0" borderId="0" xfId="0" applyNumberFormat="1" applyFont="1" applyFill="1" applyBorder="1" applyAlignment="1">
      <alignment horizontal="center" vertical="center"/>
    </xf>
    <xf numFmtId="10" fontId="0" fillId="0" borderId="0" xfId="0" applyNumberFormat="1" applyFont="1" applyFill="1" applyBorder="1" applyAlignment="1">
      <alignment horizontal="center" vertical="center"/>
    </xf>
    <xf numFmtId="0" fontId="9" fillId="0" borderId="2" xfId="0" applyFont="1" applyBorder="1"/>
    <xf numFmtId="165" fontId="18" fillId="3" borderId="7" xfId="28" applyNumberFormat="1" applyFont="1" applyBorder="1" applyAlignment="1">
      <alignment horizontal="center" vertical="center"/>
    </xf>
    <xf numFmtId="0" fontId="3" fillId="0" borderId="0" xfId="0" applyFont="1" applyFill="1"/>
    <xf numFmtId="0" fontId="0" fillId="0" borderId="0" xfId="0" quotePrefix="1" applyFont="1" applyFill="1"/>
    <xf numFmtId="0" fontId="8" fillId="0" borderId="0" xfId="0" quotePrefix="1" applyFont="1" applyFill="1"/>
    <xf numFmtId="0" fontId="1" fillId="0" borderId="0" xfId="0" quotePrefix="1" applyFont="1" applyFill="1" applyAlignment="1">
      <alignment wrapText="1"/>
    </xf>
    <xf numFmtId="0" fontId="0" fillId="0" borderId="0" xfId="0" applyFont="1" applyFill="1" applyAlignment="1">
      <alignment wrapText="1"/>
    </xf>
    <xf numFmtId="0" fontId="3" fillId="0" borderId="0" xfId="0" applyFont="1" applyAlignment="1">
      <alignment horizontal="left" wrapText="1"/>
    </xf>
    <xf numFmtId="0" fontId="18" fillId="4" borderId="7" xfId="31" applyFont="1" applyBorder="1" applyAlignment="1">
      <alignment horizontal="center" wrapText="1"/>
    </xf>
    <xf numFmtId="165" fontId="18" fillId="4" borderId="7" xfId="31" applyNumberFormat="1" applyFont="1" applyBorder="1" applyAlignment="1">
      <alignment horizontal="center" vertical="center"/>
    </xf>
    <xf numFmtId="0" fontId="0" fillId="0" borderId="8" xfId="0" applyFont="1" applyFill="1" applyBorder="1" applyAlignment="1">
      <alignment wrapText="1"/>
    </xf>
    <xf numFmtId="0" fontId="0" fillId="0" borderId="2" xfId="0" applyBorder="1"/>
    <xf numFmtId="0" fontId="9" fillId="0" borderId="0" xfId="0" applyFont="1" applyBorder="1"/>
    <xf numFmtId="0" fontId="0" fillId="0" borderId="0" xfId="0" applyFont="1" applyBorder="1"/>
    <xf numFmtId="6" fontId="1" fillId="0" borderId="0" xfId="0" applyNumberFormat="1" applyFont="1" applyFill="1" applyBorder="1"/>
    <xf numFmtId="0" fontId="9" fillId="0" borderId="0" xfId="0" applyFont="1" applyFill="1" applyBorder="1"/>
    <xf numFmtId="0" fontId="19" fillId="0" borderId="0" xfId="0" applyFont="1" applyBorder="1"/>
    <xf numFmtId="0" fontId="19" fillId="0" borderId="0" xfId="0" applyFont="1"/>
    <xf numFmtId="0" fontId="0" fillId="0" borderId="2" xfId="0" applyFont="1" applyBorder="1"/>
    <xf numFmtId="0" fontId="9" fillId="0" borderId="2" xfId="0" applyFont="1" applyFill="1" applyBorder="1"/>
    <xf numFmtId="0" fontId="18" fillId="2" borderId="7" xfId="27" applyFont="1" applyBorder="1" applyAlignment="1">
      <alignment horizontal="center" wrapText="1"/>
    </xf>
    <xf numFmtId="0" fontId="18" fillId="3" borderId="7" xfId="28" applyFont="1" applyBorder="1" applyAlignment="1">
      <alignment horizontal="center" wrapText="1"/>
    </xf>
    <xf numFmtId="0" fontId="3" fillId="0" borderId="0" xfId="0" applyFont="1" applyAlignment="1">
      <alignment horizontal="center"/>
    </xf>
    <xf numFmtId="0" fontId="0" fillId="0" borderId="0" xfId="0" applyAlignment="1">
      <alignment horizontal="center" vertical="center" wrapText="1"/>
    </xf>
    <xf numFmtId="0" fontId="8" fillId="0" borderId="0" xfId="0" applyFont="1" applyFill="1" applyBorder="1"/>
    <xf numFmtId="8" fontId="0" fillId="0" borderId="0" xfId="0" applyNumberFormat="1" applyAlignment="1">
      <alignment horizontal="center" vertical="center"/>
    </xf>
    <xf numFmtId="6" fontId="0" fillId="0" borderId="0" xfId="0" applyNumberFormat="1" applyAlignment="1">
      <alignment horizontal="center" vertical="center"/>
    </xf>
    <xf numFmtId="6" fontId="0" fillId="0" borderId="0" xfId="0" applyNumberFormat="1" applyFont="1" applyAlignment="1">
      <alignment horizontal="center" vertical="center"/>
    </xf>
    <xf numFmtId="10" fontId="0" fillId="0" borderId="0" xfId="0" applyNumberFormat="1" applyAlignment="1">
      <alignment horizontal="center" vertical="center"/>
    </xf>
    <xf numFmtId="9" fontId="0" fillId="0" borderId="0" xfId="0" applyNumberFormat="1" applyAlignment="1">
      <alignment horizontal="center" vertical="center"/>
    </xf>
    <xf numFmtId="9" fontId="0" fillId="0" borderId="0" xfId="0" applyNumberFormat="1" applyFont="1" applyAlignment="1">
      <alignment horizontal="center" vertical="center"/>
    </xf>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center" vertical="center" wrapText="1"/>
    </xf>
    <xf numFmtId="0" fontId="3" fillId="0" borderId="2" xfId="0" applyFont="1" applyBorder="1" applyAlignment="1">
      <alignment vertical="center"/>
    </xf>
    <xf numFmtId="0" fontId="3" fillId="0" borderId="2" xfId="0" applyFont="1" applyBorder="1" applyAlignment="1">
      <alignment horizontal="center" vertical="center" wrapText="1"/>
    </xf>
  </cellXfs>
  <cellStyles count="32">
    <cellStyle name="Accent1" xfId="27" builtinId="29"/>
    <cellStyle name="Accent2" xfId="28" builtinId="33"/>
    <cellStyle name="Accent6" xfId="31" builtinId="49"/>
    <cellStyle name="Comma" xfId="2" builtinId="3"/>
    <cellStyle name="Currency" xfId="3" builtinId="4"/>
    <cellStyle name="Currency 2 5" xfId="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0" builtinId="9"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cellStyle name="Normal" xfId="0" builtinId="0"/>
    <cellStyle name="Percent" xfId="8"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9" Type="http://schemas.openxmlformats.org/officeDocument/2006/relationships/hyperlink" Target="https://www.suiteexperiencegroup.com/all-suites/?ref=home_cta" TargetMode="External"/><Relationship Id="rId20" Type="http://schemas.openxmlformats.org/officeDocument/2006/relationships/hyperlink" Target="http://www.seattle.gov/transportation/docs/arena/Seattle%20Arena%20052312.pdf%20or" TargetMode="External"/><Relationship Id="rId21" Type="http://schemas.openxmlformats.org/officeDocument/2006/relationships/hyperlink" Target="https://www.seattle.gov/business-license-tax/before-you-file/tax-rates-and-classifications" TargetMode="External"/><Relationship Id="rId22" Type="http://schemas.openxmlformats.org/officeDocument/2006/relationships/hyperlink" Target="http://www.seattle.gov/financedepartment/17proposedbudget/documents/2017-2018ProposedBudgetBook.pdf" TargetMode="External"/><Relationship Id="rId23" Type="http://schemas.openxmlformats.org/officeDocument/2006/relationships/printerSettings" Target="../printerSettings/printerSettings1.bin"/><Relationship Id="rId10" Type="http://schemas.openxmlformats.org/officeDocument/2006/relationships/hyperlink" Target="https://www.seattle.gov/business-license-tax/before-you-file/tax-rates-and-classifications" TargetMode="External"/><Relationship Id="rId11" Type="http://schemas.openxmlformats.org/officeDocument/2006/relationships/hyperlink" Target="https://www.seattle.gov/business-license-tax/before-you-file/tax-rates-and-classifications" TargetMode="External"/><Relationship Id="rId12" Type="http://schemas.openxmlformats.org/officeDocument/2006/relationships/hyperlink" Target="https://www.seattle.gov/business-license-tax/other-seattle-taxes/commercial-parking-tax" TargetMode="External"/><Relationship Id="rId13" Type="http://schemas.openxmlformats.org/officeDocument/2006/relationships/hyperlink" Target="http://dor.wa.gov/content/findtaxesandrates/othertaxes/tax_leasehold.aspx" TargetMode="External"/><Relationship Id="rId14" Type="http://schemas.openxmlformats.org/officeDocument/2006/relationships/hyperlink" Target="http://www.seattle.gov/Documents/Departments/economicDevelopment/2017-04-29%20Seattle%20Partners%20RFP%20Response%20-%20Redevelopment%20of%20KeyArena%20at%20Seattle%20Center.pdf" TargetMode="External"/><Relationship Id="rId15" Type="http://schemas.openxmlformats.org/officeDocument/2006/relationships/hyperlink" Target="http://clerk.seattle.gov/~public/meetingrecords/2012/gpnf20120913_1e.pdf" TargetMode="External"/><Relationship Id="rId16" Type="http://schemas.openxmlformats.org/officeDocument/2006/relationships/hyperlink" Target="http://www.seattle.gov/Documents/Departments/economicDevelopment/2017-04-29%20Seattle%20Partners%20RFP%20Response%20-%20Redevelopment%20of%20KeyArena%20at%20Seattle%20Center.pdf" TargetMode="External"/><Relationship Id="rId17" Type="http://schemas.openxmlformats.org/officeDocument/2006/relationships/hyperlink" Target="https://www.seattle.gov/business-license-tax/other-seattle-taxes/admission-tax" TargetMode="External"/><Relationship Id="rId18" Type="http://schemas.openxmlformats.org/officeDocument/2006/relationships/hyperlink" Target="https://www.wsj.com/articles/live-nation-testing-vip-lounges-pricey-drinks-to-lift-revenue-at-concerts-1479095080?mod=e2fb" TargetMode="External"/><Relationship Id="rId19" Type="http://schemas.openxmlformats.org/officeDocument/2006/relationships/hyperlink" Target="https://www.keyarena.com/plan-your-visit/directions-parking" TargetMode="External"/><Relationship Id="rId1" Type="http://schemas.openxmlformats.org/officeDocument/2006/relationships/hyperlink" Target="http://www.seattle.gov/Documents/Departments/economicDevelopment/2017-04-29%20Seattle%20Partners%20RFP%20Response%20-%20Redevelopment%20of%20KeyArena%20at%20Seattle%20Center.pdf" TargetMode="External"/><Relationship Id="rId2" Type="http://schemas.openxmlformats.org/officeDocument/2006/relationships/hyperlink" Target="http://www.sonicsarena.com/" TargetMode="External"/><Relationship Id="rId3" Type="http://schemas.openxmlformats.org/officeDocument/2006/relationships/hyperlink" Target="http://www.seattle.gov/Documents/Departments/economicDevelopment/2017-04-29%20Seattle%20Partners%20RFP%20Response%20-%20Redevelopment%20of%20KeyArena%20at%20Seattle%20Center.pdf" TargetMode="External"/><Relationship Id="rId4" Type="http://schemas.openxmlformats.org/officeDocument/2006/relationships/hyperlink" Target="http://www.sonicsarena.com/" TargetMode="External"/><Relationship Id="rId5" Type="http://schemas.openxmlformats.org/officeDocument/2006/relationships/hyperlink" Target="https://www.teammarketing.com/public/uploadedPDFs/NBA-FCI-2015-16.pdf" TargetMode="External"/><Relationship Id="rId6" Type="http://schemas.openxmlformats.org/officeDocument/2006/relationships/hyperlink" Target="https://www.teammarketing.com/public/uploadedPDFs/nhl%20fci%2015.pdf" TargetMode="External"/><Relationship Id="rId7" Type="http://schemas.openxmlformats.org/officeDocument/2006/relationships/hyperlink" Target="https://www.suiteexperiencegroup.com/all-suites/?ref=home_cta" TargetMode="External"/><Relationship Id="rId8" Type="http://schemas.openxmlformats.org/officeDocument/2006/relationships/hyperlink" Target="https://www.suiteexperiencegroup.com/all-suites/?ref=home_c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
  <sheetViews>
    <sheetView tabSelected="1" zoomScale="80" zoomScaleNormal="80" zoomScalePageLayoutView="90" workbookViewId="0">
      <pane ySplit="1" topLeftCell="A2" activePane="bottomLeft" state="frozen"/>
      <selection pane="bottomLeft" activeCell="G107" sqref="G107"/>
    </sheetView>
  </sheetViews>
  <sheetFormatPr baseColWidth="10" defaultColWidth="11" defaultRowHeight="16" x14ac:dyDescent="0.2"/>
  <cols>
    <col min="1" max="1" width="76.83203125" style="115" customWidth="1"/>
    <col min="2" max="3" width="15" style="104" customWidth="1"/>
    <col min="4" max="4" width="14.5" style="104" customWidth="1"/>
    <col min="5" max="5" width="8.83203125" style="33" customWidth="1"/>
    <col min="6" max="6" width="14.5" style="33" customWidth="1"/>
    <col min="7" max="7" width="255.6640625" style="33" bestFit="1" customWidth="1"/>
    <col min="8" max="16384" width="11" style="32"/>
  </cols>
  <sheetData>
    <row r="1" spans="1:9" ht="35" customHeight="1" x14ac:dyDescent="0.2">
      <c r="A1" s="32"/>
      <c r="B1" s="112" t="s">
        <v>52</v>
      </c>
      <c r="C1" s="113" t="s">
        <v>196</v>
      </c>
      <c r="D1" s="113" t="s">
        <v>197</v>
      </c>
      <c r="E1" s="27"/>
      <c r="F1" s="27" t="s">
        <v>129</v>
      </c>
      <c r="G1" s="27" t="s">
        <v>151</v>
      </c>
    </row>
    <row r="2" spans="1:9" x14ac:dyDescent="0.2">
      <c r="A2" s="1" t="s">
        <v>0</v>
      </c>
      <c r="B2" s="48"/>
    </row>
    <row r="3" spans="1:9" ht="32" x14ac:dyDescent="0.2">
      <c r="A3" s="129" t="s">
        <v>174</v>
      </c>
      <c r="B3" s="46" t="s">
        <v>175</v>
      </c>
      <c r="C3" s="46" t="s">
        <v>148</v>
      </c>
      <c r="D3" s="46" t="s">
        <v>175</v>
      </c>
      <c r="G3" s="47" t="s">
        <v>126</v>
      </c>
    </row>
    <row r="4" spans="1:9" x14ac:dyDescent="0.2">
      <c r="A4" s="2" t="s">
        <v>95</v>
      </c>
      <c r="B4" s="60">
        <v>564000000</v>
      </c>
      <c r="C4" s="60">
        <v>564000000</v>
      </c>
      <c r="D4" s="60">
        <v>600000000</v>
      </c>
      <c r="E4" s="49"/>
      <c r="F4" s="49"/>
      <c r="G4" s="28" t="s">
        <v>164</v>
      </c>
      <c r="H4" s="29" t="s">
        <v>84</v>
      </c>
      <c r="I4" s="29" t="s">
        <v>85</v>
      </c>
    </row>
    <row r="5" spans="1:9" x14ac:dyDescent="0.2">
      <c r="A5" s="42" t="s">
        <v>141</v>
      </c>
      <c r="B5" s="116">
        <v>0.67</v>
      </c>
      <c r="C5" s="116">
        <v>0.67</v>
      </c>
      <c r="D5" s="116">
        <v>0.67</v>
      </c>
      <c r="E5" s="49"/>
      <c r="F5" s="49"/>
      <c r="G5" s="40" t="s">
        <v>146</v>
      </c>
      <c r="H5" s="29"/>
      <c r="I5" s="29"/>
    </row>
    <row r="6" spans="1:9" x14ac:dyDescent="0.2">
      <c r="A6" s="42" t="s">
        <v>142</v>
      </c>
      <c r="B6" s="111">
        <v>0.33</v>
      </c>
      <c r="C6" s="111">
        <v>0.33</v>
      </c>
      <c r="D6" s="111">
        <v>0.33</v>
      </c>
      <c r="E6" s="49"/>
      <c r="F6" s="49"/>
      <c r="G6" s="40" t="s">
        <v>146</v>
      </c>
      <c r="H6" s="29"/>
      <c r="I6" s="29"/>
    </row>
    <row r="7" spans="1:9" x14ac:dyDescent="0.2">
      <c r="A7" s="42" t="s">
        <v>143</v>
      </c>
      <c r="B7" s="54">
        <v>0.5</v>
      </c>
      <c r="C7" s="54">
        <v>0.5</v>
      </c>
      <c r="D7" s="54">
        <v>0.5</v>
      </c>
      <c r="E7" s="49"/>
      <c r="F7" s="49"/>
      <c r="G7" s="40" t="s">
        <v>125</v>
      </c>
      <c r="H7" s="29"/>
      <c r="I7" s="29"/>
    </row>
    <row r="8" spans="1:9" x14ac:dyDescent="0.2">
      <c r="A8" s="42" t="s">
        <v>144</v>
      </c>
      <c r="B8" s="54">
        <v>0.5</v>
      </c>
      <c r="C8" s="54">
        <v>0.5</v>
      </c>
      <c r="D8" s="95">
        <v>0.5</v>
      </c>
      <c r="E8" s="49"/>
      <c r="F8" s="49"/>
      <c r="G8" s="40" t="s">
        <v>125</v>
      </c>
      <c r="H8" s="29"/>
      <c r="I8" s="29"/>
    </row>
    <row r="9" spans="1:9" x14ac:dyDescent="0.2">
      <c r="A9" s="42" t="s">
        <v>139</v>
      </c>
      <c r="B9" s="64">
        <v>3.05</v>
      </c>
      <c r="C9" s="64">
        <v>0</v>
      </c>
      <c r="D9" s="87">
        <v>3.05</v>
      </c>
      <c r="E9" s="51"/>
      <c r="F9" s="51"/>
      <c r="G9" s="28" t="s">
        <v>198</v>
      </c>
    </row>
    <row r="10" spans="1:9" x14ac:dyDescent="0.2">
      <c r="A10" s="125" t="s">
        <v>6</v>
      </c>
      <c r="B10" s="54">
        <v>0</v>
      </c>
      <c r="C10" s="54">
        <v>0</v>
      </c>
      <c r="D10" s="54">
        <v>0.01</v>
      </c>
      <c r="E10" s="52"/>
      <c r="F10" s="52"/>
      <c r="G10" s="40" t="s">
        <v>183</v>
      </c>
    </row>
    <row r="11" spans="1:9" x14ac:dyDescent="0.2">
      <c r="A11" s="33"/>
      <c r="B11" s="57"/>
      <c r="C11" s="57"/>
      <c r="D11" s="57"/>
      <c r="E11" s="50"/>
      <c r="F11" s="50"/>
    </row>
    <row r="12" spans="1:9" x14ac:dyDescent="0.2">
      <c r="A12" s="124" t="s">
        <v>1</v>
      </c>
      <c r="B12" s="57"/>
      <c r="C12" s="57"/>
      <c r="D12" s="57"/>
      <c r="E12" s="50"/>
      <c r="F12" s="50"/>
    </row>
    <row r="13" spans="1:9" ht="32" x14ac:dyDescent="0.2">
      <c r="A13" s="128" t="s">
        <v>176</v>
      </c>
      <c r="B13" s="46" t="s">
        <v>190</v>
      </c>
      <c r="C13" s="46" t="s">
        <v>190</v>
      </c>
      <c r="D13" s="46" t="s">
        <v>175</v>
      </c>
      <c r="E13" s="50"/>
      <c r="F13" s="50"/>
      <c r="G13" s="47" t="s">
        <v>149</v>
      </c>
    </row>
    <row r="14" spans="1:9" x14ac:dyDescent="0.2">
      <c r="A14" s="40" t="s">
        <v>140</v>
      </c>
      <c r="B14" s="58">
        <v>8.5000000000000006E-3</v>
      </c>
      <c r="C14" s="58">
        <v>8.5000000000000006E-3</v>
      </c>
      <c r="D14" s="114">
        <v>8.5000000000000006E-3</v>
      </c>
      <c r="E14" s="53"/>
      <c r="F14" s="53"/>
      <c r="G14" s="41" t="s">
        <v>150</v>
      </c>
    </row>
    <row r="15" spans="1:9" x14ac:dyDescent="0.2">
      <c r="A15" s="126" t="s">
        <v>58</v>
      </c>
      <c r="B15" s="62"/>
      <c r="C15" s="62"/>
      <c r="D15" s="62"/>
      <c r="E15" s="53"/>
      <c r="F15" s="53"/>
    </row>
    <row r="16" spans="1:9" x14ac:dyDescent="0.2">
      <c r="A16" s="126" t="s">
        <v>145</v>
      </c>
      <c r="B16" s="60"/>
      <c r="C16" s="60"/>
      <c r="D16" s="60"/>
      <c r="E16" s="49"/>
      <c r="F16" s="49"/>
      <c r="G16" s="28" t="s">
        <v>91</v>
      </c>
      <c r="H16" s="29" t="s">
        <v>84</v>
      </c>
      <c r="I16" s="29" t="s">
        <v>85</v>
      </c>
    </row>
    <row r="17" spans="1:7" x14ac:dyDescent="0.2">
      <c r="A17" s="126" t="s">
        <v>27</v>
      </c>
      <c r="B17" s="105"/>
      <c r="C17" s="105"/>
      <c r="D17" s="106"/>
      <c r="E17" s="55"/>
      <c r="F17" s="55"/>
    </row>
    <row r="18" spans="1:7" x14ac:dyDescent="0.2">
      <c r="A18" s="125" t="s">
        <v>135</v>
      </c>
      <c r="B18" s="87">
        <v>16.95</v>
      </c>
      <c r="C18" s="87">
        <v>16.95</v>
      </c>
      <c r="D18" s="87">
        <v>16.95</v>
      </c>
      <c r="E18" s="34"/>
      <c r="F18" s="34" t="s">
        <v>97</v>
      </c>
      <c r="G18" s="30" t="s">
        <v>86</v>
      </c>
    </row>
    <row r="19" spans="1:7" x14ac:dyDescent="0.2">
      <c r="A19" s="55" t="s">
        <v>29</v>
      </c>
      <c r="B19" s="87">
        <v>16.95</v>
      </c>
      <c r="C19" s="87">
        <v>16.95</v>
      </c>
      <c r="D19" s="87">
        <v>16.95</v>
      </c>
      <c r="E19" s="34"/>
      <c r="F19" s="34" t="s">
        <v>97</v>
      </c>
      <c r="G19" s="33" t="s">
        <v>96</v>
      </c>
    </row>
    <row r="20" spans="1:7" x14ac:dyDescent="0.2">
      <c r="A20" s="55" t="s">
        <v>30</v>
      </c>
      <c r="B20" s="87">
        <v>1000</v>
      </c>
      <c r="C20" s="87">
        <v>1000</v>
      </c>
      <c r="D20" s="87">
        <v>1000</v>
      </c>
      <c r="E20" s="34"/>
      <c r="F20" s="34" t="s">
        <v>98</v>
      </c>
      <c r="G20" s="28" t="s">
        <v>88</v>
      </c>
    </row>
    <row r="21" spans="1:7" x14ac:dyDescent="0.2">
      <c r="A21" s="55" t="s">
        <v>49</v>
      </c>
      <c r="B21" s="54">
        <v>0.72</v>
      </c>
      <c r="C21" s="54">
        <v>0.72</v>
      </c>
      <c r="D21" s="54">
        <v>0.72</v>
      </c>
      <c r="E21" s="52"/>
      <c r="F21" s="52"/>
      <c r="G21" s="3" t="s">
        <v>130</v>
      </c>
    </row>
    <row r="22" spans="1:7" x14ac:dyDescent="0.2">
      <c r="A22" s="126" t="s">
        <v>28</v>
      </c>
      <c r="B22" s="57"/>
      <c r="C22" s="57"/>
    </row>
    <row r="23" spans="1:7" x14ac:dyDescent="0.2">
      <c r="A23" s="125" t="s">
        <v>135</v>
      </c>
      <c r="B23" s="87">
        <v>16.850000000000001</v>
      </c>
      <c r="C23" s="87">
        <v>16.850000000000001</v>
      </c>
      <c r="D23" s="87">
        <v>16.850000000000001</v>
      </c>
      <c r="E23" s="34"/>
      <c r="F23" s="34" t="s">
        <v>99</v>
      </c>
      <c r="G23" s="28" t="s">
        <v>87</v>
      </c>
    </row>
    <row r="24" spans="1:7" x14ac:dyDescent="0.2">
      <c r="A24" s="55" t="s">
        <v>29</v>
      </c>
      <c r="B24" s="87">
        <v>16.850000000000001</v>
      </c>
      <c r="C24" s="87">
        <v>16.850000000000001</v>
      </c>
      <c r="D24" s="87">
        <v>16.850000000000001</v>
      </c>
      <c r="E24" s="34"/>
      <c r="F24" s="34" t="s">
        <v>99</v>
      </c>
      <c r="G24" s="33" t="s">
        <v>96</v>
      </c>
    </row>
    <row r="25" spans="1:7" x14ac:dyDescent="0.2">
      <c r="A25" s="55" t="s">
        <v>30</v>
      </c>
      <c r="B25" s="87">
        <v>1500</v>
      </c>
      <c r="C25" s="87">
        <v>1500</v>
      </c>
      <c r="D25" s="87">
        <v>1500</v>
      </c>
      <c r="E25" s="34"/>
      <c r="F25" s="34" t="s">
        <v>98</v>
      </c>
      <c r="G25" s="28" t="s">
        <v>88</v>
      </c>
    </row>
    <row r="26" spans="1:7" x14ac:dyDescent="0.2">
      <c r="A26" s="55" t="s">
        <v>50</v>
      </c>
      <c r="B26" s="54">
        <v>0.85</v>
      </c>
      <c r="C26" s="54">
        <v>0.85</v>
      </c>
      <c r="D26" s="54">
        <v>0.85</v>
      </c>
      <c r="E26" s="52"/>
      <c r="F26" s="52"/>
      <c r="G26" s="43" t="s">
        <v>131</v>
      </c>
    </row>
    <row r="27" spans="1:7" x14ac:dyDescent="0.2">
      <c r="A27" s="126" t="s">
        <v>167</v>
      </c>
      <c r="B27" s="57"/>
      <c r="C27" s="57"/>
    </row>
    <row r="28" spans="1:7" x14ac:dyDescent="0.2">
      <c r="A28" s="125" t="s">
        <v>135</v>
      </c>
      <c r="B28" s="87">
        <v>22</v>
      </c>
      <c r="C28" s="87">
        <v>22</v>
      </c>
      <c r="D28" s="87">
        <v>22</v>
      </c>
      <c r="E28" s="34"/>
      <c r="F28" s="34"/>
      <c r="G28" s="28" t="s">
        <v>94</v>
      </c>
    </row>
    <row r="29" spans="1:7" x14ac:dyDescent="0.2">
      <c r="A29" s="55" t="s">
        <v>29</v>
      </c>
      <c r="B29" s="87">
        <v>22</v>
      </c>
      <c r="C29" s="87">
        <v>22</v>
      </c>
      <c r="D29" s="87">
        <v>22</v>
      </c>
      <c r="E29" s="34"/>
      <c r="F29" s="34"/>
      <c r="G29" s="33" t="s">
        <v>96</v>
      </c>
    </row>
    <row r="30" spans="1:7" x14ac:dyDescent="0.2">
      <c r="A30" s="55" t="s">
        <v>30</v>
      </c>
      <c r="B30" s="87">
        <v>1500</v>
      </c>
      <c r="C30" s="87">
        <v>1500</v>
      </c>
      <c r="D30" s="87">
        <v>1500</v>
      </c>
      <c r="E30" s="34"/>
      <c r="F30" s="34" t="s">
        <v>98</v>
      </c>
      <c r="G30" s="28" t="s">
        <v>88</v>
      </c>
    </row>
    <row r="31" spans="1:7" x14ac:dyDescent="0.2">
      <c r="A31" s="55" t="s">
        <v>51</v>
      </c>
      <c r="B31" s="54">
        <v>0.85</v>
      </c>
      <c r="C31" s="54">
        <v>0.85</v>
      </c>
      <c r="D31" s="54">
        <v>0.85</v>
      </c>
      <c r="E31" s="52"/>
      <c r="F31" s="52"/>
      <c r="G31" s="43" t="s">
        <v>125</v>
      </c>
    </row>
    <row r="32" spans="1:7" x14ac:dyDescent="0.2">
      <c r="A32" s="55" t="s">
        <v>37</v>
      </c>
      <c r="B32" s="61">
        <v>3</v>
      </c>
      <c r="C32" s="61">
        <v>3</v>
      </c>
      <c r="D32" s="61">
        <v>3</v>
      </c>
      <c r="E32" s="56"/>
      <c r="F32" s="56"/>
      <c r="G32" s="40" t="s">
        <v>165</v>
      </c>
    </row>
    <row r="33" spans="1:9" x14ac:dyDescent="0.2">
      <c r="A33" s="55"/>
      <c r="B33" s="61"/>
      <c r="C33" s="61"/>
    </row>
    <row r="34" spans="1:9" x14ac:dyDescent="0.2">
      <c r="A34" s="124" t="s">
        <v>32</v>
      </c>
      <c r="B34" s="57"/>
      <c r="C34" s="57"/>
    </row>
    <row r="35" spans="1:9" ht="32" x14ac:dyDescent="0.2">
      <c r="A35" s="128" t="s">
        <v>177</v>
      </c>
      <c r="B35" s="46" t="s">
        <v>148</v>
      </c>
      <c r="C35" s="46" t="s">
        <v>148</v>
      </c>
      <c r="D35" s="46" t="s">
        <v>175</v>
      </c>
      <c r="E35" s="57"/>
      <c r="F35" s="57"/>
      <c r="G35" s="47" t="s">
        <v>191</v>
      </c>
    </row>
    <row r="36" spans="1:9" x14ac:dyDescent="0.2">
      <c r="A36" s="55" t="s">
        <v>34</v>
      </c>
      <c r="B36" s="58">
        <v>2.15E-3</v>
      </c>
      <c r="C36" s="58">
        <v>2.15E-3</v>
      </c>
      <c r="D36" s="58">
        <v>2.15E-3</v>
      </c>
      <c r="E36" s="58"/>
      <c r="F36" s="58"/>
      <c r="G36" s="31" t="s">
        <v>89</v>
      </c>
      <c r="H36" s="35"/>
      <c r="I36" s="35"/>
    </row>
    <row r="37" spans="1:9" x14ac:dyDescent="0.2">
      <c r="A37" s="55" t="s">
        <v>33</v>
      </c>
      <c r="B37" s="58">
        <v>4.15E-3</v>
      </c>
      <c r="C37" s="58">
        <v>4.15E-3</v>
      </c>
      <c r="D37" s="58">
        <v>4.15E-3</v>
      </c>
      <c r="E37" s="58"/>
      <c r="F37" s="58"/>
      <c r="G37" s="31" t="s">
        <v>89</v>
      </c>
      <c r="H37" s="35"/>
      <c r="I37" s="35"/>
    </row>
    <row r="38" spans="1:9" x14ac:dyDescent="0.2">
      <c r="A38" s="125" t="s">
        <v>159</v>
      </c>
      <c r="B38" s="58">
        <v>4.15E-3</v>
      </c>
      <c r="C38" s="58">
        <v>4.15E-3</v>
      </c>
      <c r="D38" s="58">
        <v>4.15E-3</v>
      </c>
      <c r="E38" s="58"/>
      <c r="F38" s="58"/>
      <c r="G38" s="31" t="s">
        <v>89</v>
      </c>
      <c r="H38" s="35"/>
      <c r="I38" s="35"/>
    </row>
    <row r="39" spans="1:9" x14ac:dyDescent="0.2">
      <c r="A39" s="125" t="s">
        <v>160</v>
      </c>
      <c r="B39" s="59">
        <v>20000000</v>
      </c>
      <c r="C39" s="59">
        <v>20000000</v>
      </c>
      <c r="D39" s="60">
        <v>20000000</v>
      </c>
      <c r="E39" s="60"/>
      <c r="F39" s="60"/>
      <c r="G39" s="44" t="s">
        <v>162</v>
      </c>
      <c r="H39" s="35"/>
      <c r="I39" s="35"/>
    </row>
    <row r="40" spans="1:9" x14ac:dyDescent="0.2">
      <c r="A40" s="125" t="s">
        <v>161</v>
      </c>
      <c r="B40" s="59">
        <v>15000000</v>
      </c>
      <c r="C40" s="59">
        <v>15000000</v>
      </c>
      <c r="D40" s="60">
        <v>15000000</v>
      </c>
      <c r="E40" s="60"/>
      <c r="F40" s="60"/>
      <c r="G40" s="44" t="s">
        <v>163</v>
      </c>
      <c r="H40" s="35"/>
      <c r="I40" s="35"/>
    </row>
    <row r="41" spans="1:9" x14ac:dyDescent="0.2">
      <c r="A41" s="40" t="s">
        <v>138</v>
      </c>
      <c r="B41" s="61">
        <v>2</v>
      </c>
      <c r="C41" s="61">
        <v>2</v>
      </c>
      <c r="D41" s="61">
        <v>2</v>
      </c>
      <c r="E41" s="61"/>
      <c r="F41" s="61"/>
      <c r="G41" s="40" t="s">
        <v>123</v>
      </c>
    </row>
    <row r="42" spans="1:9" x14ac:dyDescent="0.2">
      <c r="A42" s="40"/>
      <c r="B42" s="57"/>
      <c r="C42" s="57"/>
    </row>
    <row r="43" spans="1:9" x14ac:dyDescent="0.2">
      <c r="A43" s="124" t="s">
        <v>4</v>
      </c>
      <c r="B43" s="57"/>
      <c r="C43" s="57"/>
    </row>
    <row r="44" spans="1:9" ht="32" x14ac:dyDescent="0.2">
      <c r="A44" s="132" t="s">
        <v>178</v>
      </c>
      <c r="B44" s="46" t="s">
        <v>190</v>
      </c>
      <c r="C44" s="46" t="s">
        <v>190</v>
      </c>
      <c r="D44" s="46" t="s">
        <v>175</v>
      </c>
      <c r="E44" s="57"/>
      <c r="F44" s="57"/>
      <c r="G44" s="47" t="s">
        <v>126</v>
      </c>
    </row>
    <row r="45" spans="1:9" x14ac:dyDescent="0.2">
      <c r="A45" s="55" t="s">
        <v>7</v>
      </c>
      <c r="B45" s="62">
        <v>0.125</v>
      </c>
      <c r="C45" s="62">
        <v>0.125</v>
      </c>
      <c r="D45" s="62">
        <v>0.125</v>
      </c>
      <c r="E45" s="62"/>
      <c r="F45" s="62"/>
      <c r="G45" s="28" t="s">
        <v>90</v>
      </c>
    </row>
    <row r="46" spans="1:9" ht="32" x14ac:dyDescent="0.2">
      <c r="A46" s="127" t="s">
        <v>25</v>
      </c>
      <c r="B46" s="54">
        <v>0.74470000000000003</v>
      </c>
      <c r="C46" s="54">
        <v>0.74470000000000003</v>
      </c>
      <c r="D46" s="54">
        <v>0.35</v>
      </c>
      <c r="E46" s="54"/>
      <c r="F46" s="63" t="s">
        <v>120</v>
      </c>
      <c r="G46" s="40" t="s">
        <v>152</v>
      </c>
    </row>
    <row r="47" spans="1:9" x14ac:dyDescent="0.2">
      <c r="A47" s="55" t="s">
        <v>8</v>
      </c>
      <c r="B47" s="54">
        <v>0.73499999999999999</v>
      </c>
      <c r="C47" s="54">
        <v>0.73499999999999999</v>
      </c>
      <c r="D47" s="54">
        <v>0.73499999999999999</v>
      </c>
      <c r="E47" s="54"/>
      <c r="F47" s="63" t="s">
        <v>119</v>
      </c>
      <c r="G47" s="40" t="s">
        <v>153</v>
      </c>
    </row>
    <row r="48" spans="1:9" x14ac:dyDescent="0.2">
      <c r="A48" s="55" t="s">
        <v>9</v>
      </c>
      <c r="B48" s="57">
        <v>2.27</v>
      </c>
      <c r="C48" s="57">
        <v>2.27</v>
      </c>
      <c r="D48" s="57">
        <v>2.27</v>
      </c>
      <c r="E48" s="57"/>
      <c r="F48" s="57" t="s">
        <v>117</v>
      </c>
      <c r="G48" s="41" t="s">
        <v>118</v>
      </c>
    </row>
    <row r="49" spans="1:9" x14ac:dyDescent="0.2">
      <c r="A49" s="55" t="s">
        <v>10</v>
      </c>
      <c r="B49" s="54">
        <v>0.3</v>
      </c>
      <c r="C49" s="54">
        <v>0.3</v>
      </c>
      <c r="D49" s="54">
        <v>0.65</v>
      </c>
      <c r="E49" s="54"/>
      <c r="F49" s="63"/>
    </row>
    <row r="50" spans="1:9" x14ac:dyDescent="0.2">
      <c r="A50" s="55" t="s">
        <v>26</v>
      </c>
      <c r="B50" s="64">
        <v>15</v>
      </c>
      <c r="C50" s="64">
        <v>15</v>
      </c>
      <c r="D50" s="64">
        <v>15</v>
      </c>
      <c r="E50" s="64"/>
      <c r="F50" s="64" t="s">
        <v>121</v>
      </c>
      <c r="G50" s="41" t="s">
        <v>116</v>
      </c>
    </row>
    <row r="51" spans="1:9" x14ac:dyDescent="0.2">
      <c r="A51" s="55" t="s">
        <v>38</v>
      </c>
      <c r="B51" s="65">
        <v>5</v>
      </c>
      <c r="C51" s="65">
        <v>5</v>
      </c>
      <c r="D51" s="65">
        <v>5</v>
      </c>
      <c r="E51" s="65"/>
      <c r="F51" s="61"/>
    </row>
    <row r="52" spans="1:9" x14ac:dyDescent="0.2">
      <c r="A52" s="33"/>
      <c r="B52" s="57"/>
      <c r="C52" s="57"/>
    </row>
    <row r="53" spans="1:9" x14ac:dyDescent="0.2">
      <c r="A53" s="124" t="s">
        <v>3</v>
      </c>
      <c r="B53" s="57"/>
      <c r="C53" s="57"/>
    </row>
    <row r="54" spans="1:9" ht="32" x14ac:dyDescent="0.2">
      <c r="A54" s="128" t="s">
        <v>179</v>
      </c>
      <c r="B54" s="46" t="s">
        <v>190</v>
      </c>
      <c r="C54" s="46" t="s">
        <v>190</v>
      </c>
      <c r="D54" s="46" t="s">
        <v>175</v>
      </c>
      <c r="E54" s="66"/>
      <c r="F54" s="67"/>
      <c r="G54" s="47" t="s">
        <v>127</v>
      </c>
    </row>
    <row r="55" spans="1:9" x14ac:dyDescent="0.2">
      <c r="A55" s="55" t="s">
        <v>7</v>
      </c>
      <c r="B55" s="121">
        <v>0.04</v>
      </c>
      <c r="C55" s="121">
        <v>0.04</v>
      </c>
      <c r="D55" s="107">
        <v>0.04</v>
      </c>
      <c r="E55" s="68"/>
      <c r="F55" s="68"/>
      <c r="G55" s="28" t="s">
        <v>180</v>
      </c>
    </row>
    <row r="56" spans="1:9" x14ac:dyDescent="0.2">
      <c r="A56" s="125" t="s">
        <v>181</v>
      </c>
      <c r="B56" s="80">
        <v>2000000</v>
      </c>
      <c r="C56" s="80">
        <v>2000000</v>
      </c>
      <c r="D56" s="108">
        <v>0</v>
      </c>
      <c r="E56" s="38"/>
      <c r="F56" s="38"/>
      <c r="G56" s="28" t="s">
        <v>158</v>
      </c>
      <c r="H56" s="29" t="s">
        <v>84</v>
      </c>
      <c r="I56" s="29" t="s">
        <v>92</v>
      </c>
    </row>
    <row r="57" spans="1:9" x14ac:dyDescent="0.2">
      <c r="A57" s="55" t="s">
        <v>39</v>
      </c>
      <c r="B57" s="73">
        <v>2</v>
      </c>
      <c r="C57" s="73">
        <v>2</v>
      </c>
      <c r="D57" s="73">
        <v>0</v>
      </c>
      <c r="E57" s="39"/>
      <c r="F57" s="39"/>
      <c r="G57" s="40" t="s">
        <v>166</v>
      </c>
      <c r="H57" s="29" t="s">
        <v>84</v>
      </c>
    </row>
    <row r="58" spans="1:9" x14ac:dyDescent="0.2">
      <c r="A58" s="33"/>
      <c r="B58" s="57"/>
      <c r="C58" s="57"/>
    </row>
    <row r="59" spans="1:9" x14ac:dyDescent="0.2">
      <c r="A59" s="124" t="s">
        <v>5</v>
      </c>
      <c r="B59" s="57"/>
      <c r="C59" s="57"/>
    </row>
    <row r="60" spans="1:9" ht="32" x14ac:dyDescent="0.2">
      <c r="A60" s="128" t="s">
        <v>182</v>
      </c>
      <c r="B60" s="46" t="s">
        <v>190</v>
      </c>
      <c r="C60" s="46" t="s">
        <v>190</v>
      </c>
      <c r="D60" s="46" t="s">
        <v>148</v>
      </c>
      <c r="E60" s="66"/>
      <c r="F60" s="67"/>
      <c r="G60" s="47" t="s">
        <v>127</v>
      </c>
    </row>
    <row r="61" spans="1:9" x14ac:dyDescent="0.2">
      <c r="A61" s="55" t="s">
        <v>11</v>
      </c>
      <c r="B61" s="82">
        <v>0.05</v>
      </c>
      <c r="C61" s="82">
        <v>0.05</v>
      </c>
      <c r="D61" s="82">
        <v>0.05</v>
      </c>
      <c r="E61" s="68"/>
      <c r="F61" s="68"/>
      <c r="G61" s="28" t="s">
        <v>93</v>
      </c>
    </row>
    <row r="62" spans="1:9" x14ac:dyDescent="0.2">
      <c r="A62" s="55"/>
      <c r="B62" s="54"/>
      <c r="C62" s="54"/>
    </row>
    <row r="63" spans="1:9" x14ac:dyDescent="0.2">
      <c r="A63" s="126" t="s">
        <v>19</v>
      </c>
      <c r="B63" s="54"/>
      <c r="C63" s="54"/>
    </row>
    <row r="64" spans="1:9" x14ac:dyDescent="0.2">
      <c r="A64" s="55" t="s">
        <v>55</v>
      </c>
      <c r="B64" s="70">
        <v>47</v>
      </c>
      <c r="C64" s="70">
        <v>47</v>
      </c>
      <c r="D64" s="70">
        <v>47</v>
      </c>
      <c r="E64" s="70"/>
      <c r="F64" s="70"/>
      <c r="G64" s="33" t="s">
        <v>62</v>
      </c>
    </row>
    <row r="65" spans="1:7" x14ac:dyDescent="0.2">
      <c r="A65" s="55" t="s">
        <v>61</v>
      </c>
      <c r="B65" s="71">
        <v>65</v>
      </c>
      <c r="C65" s="71">
        <v>65</v>
      </c>
      <c r="D65" s="71">
        <v>65</v>
      </c>
      <c r="E65" s="71"/>
      <c r="F65" s="72" t="s">
        <v>100</v>
      </c>
      <c r="G65" s="33" t="s">
        <v>63</v>
      </c>
    </row>
    <row r="66" spans="1:7" x14ac:dyDescent="0.2">
      <c r="A66" s="55" t="s">
        <v>56</v>
      </c>
      <c r="B66" s="73">
        <v>3.5</v>
      </c>
      <c r="C66" s="73">
        <v>3.5</v>
      </c>
      <c r="D66" s="73">
        <v>3.5</v>
      </c>
      <c r="E66" s="73"/>
      <c r="F66" s="74" t="s">
        <v>101</v>
      </c>
      <c r="G66" s="33" t="s">
        <v>65</v>
      </c>
    </row>
    <row r="67" spans="1:7" x14ac:dyDescent="0.2">
      <c r="A67" s="55" t="s">
        <v>59</v>
      </c>
      <c r="B67" s="75">
        <v>14690</v>
      </c>
      <c r="C67" s="75">
        <v>14690</v>
      </c>
      <c r="D67" s="75">
        <v>16000</v>
      </c>
      <c r="E67" s="75"/>
      <c r="F67" s="76" t="s">
        <v>36</v>
      </c>
      <c r="G67" s="33" t="s">
        <v>64</v>
      </c>
    </row>
    <row r="68" spans="1:7" x14ac:dyDescent="0.2">
      <c r="A68" s="55" t="s">
        <v>60</v>
      </c>
      <c r="B68" s="77">
        <v>0.93500000000000005</v>
      </c>
      <c r="C68" s="77">
        <v>0.93500000000000005</v>
      </c>
      <c r="D68" s="77">
        <v>0.93500000000000005</v>
      </c>
      <c r="E68" s="120"/>
      <c r="F68" s="78" t="s">
        <v>102</v>
      </c>
      <c r="G68" s="40" t="s">
        <v>66</v>
      </c>
    </row>
    <row r="69" spans="1:7" x14ac:dyDescent="0.2">
      <c r="A69" s="55" t="s">
        <v>15</v>
      </c>
      <c r="B69" s="70">
        <v>56</v>
      </c>
      <c r="C69" s="70">
        <v>56</v>
      </c>
      <c r="D69" s="70">
        <v>90</v>
      </c>
      <c r="E69" s="70"/>
      <c r="F69" s="79" t="s">
        <v>36</v>
      </c>
      <c r="G69" s="33" t="s">
        <v>67</v>
      </c>
    </row>
    <row r="70" spans="1:7" x14ac:dyDescent="0.2">
      <c r="A70" s="125" t="s">
        <v>16</v>
      </c>
      <c r="B70" s="80">
        <v>5250</v>
      </c>
      <c r="C70" s="80">
        <v>5250</v>
      </c>
      <c r="D70" s="80">
        <v>5250</v>
      </c>
      <c r="E70" s="80"/>
      <c r="F70" s="81" t="s">
        <v>103</v>
      </c>
      <c r="G70" s="33" t="s">
        <v>68</v>
      </c>
    </row>
    <row r="71" spans="1:7" x14ac:dyDescent="0.2">
      <c r="A71" s="55" t="s">
        <v>53</v>
      </c>
      <c r="B71" s="82">
        <v>0.85</v>
      </c>
      <c r="C71" s="82">
        <v>0.85</v>
      </c>
      <c r="D71" s="82">
        <v>0.85</v>
      </c>
      <c r="E71" s="82"/>
      <c r="F71" s="83" t="s">
        <v>104</v>
      </c>
      <c r="G71" s="33" t="s">
        <v>78</v>
      </c>
    </row>
    <row r="72" spans="1:7" x14ac:dyDescent="0.2">
      <c r="A72" s="55" t="s">
        <v>14</v>
      </c>
      <c r="B72" s="70">
        <v>3020</v>
      </c>
      <c r="C72" s="70">
        <v>3020</v>
      </c>
      <c r="D72" s="70">
        <v>2000</v>
      </c>
      <c r="E72" s="70"/>
      <c r="F72" s="79" t="s">
        <v>36</v>
      </c>
      <c r="G72" s="36" t="s">
        <v>73</v>
      </c>
    </row>
    <row r="73" spans="1:7" x14ac:dyDescent="0.2">
      <c r="A73" s="55" t="s">
        <v>71</v>
      </c>
      <c r="B73" s="84">
        <v>9383</v>
      </c>
      <c r="C73" s="84">
        <v>9383</v>
      </c>
      <c r="D73" s="84">
        <v>9383</v>
      </c>
      <c r="E73" s="84"/>
      <c r="F73" s="85" t="s">
        <v>105</v>
      </c>
      <c r="G73" s="33" t="s">
        <v>74</v>
      </c>
    </row>
    <row r="74" spans="1:7" x14ac:dyDescent="0.2">
      <c r="A74" s="33" t="s">
        <v>54</v>
      </c>
      <c r="B74" s="82">
        <v>0.93</v>
      </c>
      <c r="C74" s="82">
        <v>0.93</v>
      </c>
      <c r="D74" s="82">
        <v>0.93</v>
      </c>
      <c r="E74" s="82"/>
      <c r="F74" s="83" t="s">
        <v>36</v>
      </c>
      <c r="G74" s="33" t="s">
        <v>72</v>
      </c>
    </row>
    <row r="75" spans="1:7" x14ac:dyDescent="0.2">
      <c r="A75" s="33" t="s">
        <v>48</v>
      </c>
      <c r="B75" s="54">
        <v>0.72</v>
      </c>
      <c r="C75" s="54">
        <v>0.72</v>
      </c>
      <c r="D75" s="54">
        <v>0.72</v>
      </c>
      <c r="E75" s="54"/>
      <c r="F75" s="54"/>
      <c r="G75" s="40" t="s">
        <v>124</v>
      </c>
    </row>
    <row r="76" spans="1:7" x14ac:dyDescent="0.2">
      <c r="A76" s="33"/>
      <c r="B76" s="54"/>
      <c r="C76" s="54"/>
    </row>
    <row r="77" spans="1:7" x14ac:dyDescent="0.2">
      <c r="A77" s="126" t="s">
        <v>20</v>
      </c>
      <c r="B77" s="54"/>
      <c r="C77" s="54"/>
    </row>
    <row r="78" spans="1:7" x14ac:dyDescent="0.2">
      <c r="A78" s="55" t="s">
        <v>55</v>
      </c>
      <c r="B78" s="86">
        <v>47</v>
      </c>
      <c r="C78" s="86">
        <v>47</v>
      </c>
      <c r="D78" s="86">
        <v>47</v>
      </c>
      <c r="E78" s="86"/>
      <c r="F78" s="86"/>
      <c r="G78" s="33" t="s">
        <v>62</v>
      </c>
    </row>
    <row r="79" spans="1:7" x14ac:dyDescent="0.2">
      <c r="A79" s="55" t="s">
        <v>24</v>
      </c>
      <c r="B79" s="87">
        <v>63</v>
      </c>
      <c r="C79" s="87">
        <v>63</v>
      </c>
      <c r="D79" s="87">
        <v>63</v>
      </c>
      <c r="E79" s="87"/>
      <c r="F79" s="88" t="s">
        <v>106</v>
      </c>
      <c r="G79" s="33" t="s">
        <v>75</v>
      </c>
    </row>
    <row r="80" spans="1:7" x14ac:dyDescent="0.2">
      <c r="A80" s="55" t="s">
        <v>56</v>
      </c>
      <c r="B80" s="61">
        <v>2</v>
      </c>
      <c r="C80" s="61">
        <v>2</v>
      </c>
      <c r="D80" s="61">
        <v>2</v>
      </c>
      <c r="E80" s="61"/>
      <c r="F80" s="89" t="s">
        <v>107</v>
      </c>
      <c r="G80" s="33" t="s">
        <v>69</v>
      </c>
    </row>
    <row r="81" spans="1:7" x14ac:dyDescent="0.2">
      <c r="A81" s="55" t="s">
        <v>12</v>
      </c>
      <c r="B81" s="90">
        <v>13780</v>
      </c>
      <c r="C81" s="90">
        <v>13780</v>
      </c>
      <c r="D81" s="90">
        <v>15000</v>
      </c>
      <c r="E81" s="90"/>
      <c r="F81" s="91" t="s">
        <v>36</v>
      </c>
      <c r="G81" s="33" t="s">
        <v>64</v>
      </c>
    </row>
    <row r="82" spans="1:7" x14ac:dyDescent="0.2">
      <c r="A82" s="55" t="s">
        <v>13</v>
      </c>
      <c r="B82" s="54">
        <v>0.9</v>
      </c>
      <c r="C82" s="54">
        <v>0.9</v>
      </c>
      <c r="D82" s="54">
        <v>0.9</v>
      </c>
      <c r="E82" s="54"/>
      <c r="F82" s="92" t="s">
        <v>108</v>
      </c>
      <c r="G82" s="33" t="s">
        <v>66</v>
      </c>
    </row>
    <row r="83" spans="1:7" x14ac:dyDescent="0.2">
      <c r="A83" s="125" t="s">
        <v>15</v>
      </c>
      <c r="B83" s="86">
        <v>56</v>
      </c>
      <c r="C83" s="86">
        <v>56</v>
      </c>
      <c r="D83" s="86">
        <v>90</v>
      </c>
      <c r="E83" s="86"/>
      <c r="F83" s="93" t="s">
        <v>36</v>
      </c>
      <c r="G83" s="33" t="s">
        <v>67</v>
      </c>
    </row>
    <row r="84" spans="1:7" x14ac:dyDescent="0.2">
      <c r="A84" s="125" t="s">
        <v>133</v>
      </c>
      <c r="B84" s="60">
        <v>5150</v>
      </c>
      <c r="C84" s="60">
        <v>5150</v>
      </c>
      <c r="D84" s="60">
        <v>5150</v>
      </c>
      <c r="E84" s="60"/>
      <c r="F84" s="94" t="s">
        <v>109</v>
      </c>
      <c r="G84" s="33" t="s">
        <v>76</v>
      </c>
    </row>
    <row r="85" spans="1:7" x14ac:dyDescent="0.2">
      <c r="A85" s="55" t="s">
        <v>53</v>
      </c>
      <c r="B85" s="54">
        <v>0.82</v>
      </c>
      <c r="C85" s="54">
        <v>0.82</v>
      </c>
      <c r="D85" s="54">
        <v>0.82</v>
      </c>
      <c r="E85" s="54"/>
      <c r="F85" s="95" t="s">
        <v>110</v>
      </c>
      <c r="G85" s="33" t="s">
        <v>79</v>
      </c>
    </row>
    <row r="86" spans="1:7" x14ac:dyDescent="0.2">
      <c r="A86" s="55" t="s">
        <v>14</v>
      </c>
      <c r="B86" s="86">
        <v>2680</v>
      </c>
      <c r="C86" s="86">
        <v>2680</v>
      </c>
      <c r="D86" s="86">
        <v>2000</v>
      </c>
      <c r="E86" s="86"/>
      <c r="F86" s="93" t="s">
        <v>36</v>
      </c>
      <c r="G86" s="33" t="s">
        <v>73</v>
      </c>
    </row>
    <row r="87" spans="1:7" x14ac:dyDescent="0.2">
      <c r="A87" s="55" t="s">
        <v>70</v>
      </c>
      <c r="B87" s="96">
        <v>9383</v>
      </c>
      <c r="C87" s="96">
        <v>9383</v>
      </c>
      <c r="D87" s="96">
        <v>9383</v>
      </c>
      <c r="E87" s="96"/>
      <c r="F87" s="97" t="s">
        <v>111</v>
      </c>
      <c r="G87" s="33" t="s">
        <v>77</v>
      </c>
    </row>
    <row r="88" spans="1:7" x14ac:dyDescent="0.2">
      <c r="A88" s="33" t="s">
        <v>18</v>
      </c>
      <c r="B88" s="54">
        <v>0.9</v>
      </c>
      <c r="C88" s="54">
        <v>0.9</v>
      </c>
      <c r="D88" s="54">
        <v>0.9</v>
      </c>
      <c r="E88" s="54"/>
      <c r="F88" s="95" t="s">
        <v>36</v>
      </c>
      <c r="G88" s="33" t="s">
        <v>72</v>
      </c>
    </row>
    <row r="89" spans="1:7" x14ac:dyDescent="0.2">
      <c r="A89" s="33" t="s">
        <v>47</v>
      </c>
      <c r="B89" s="54">
        <v>0.72</v>
      </c>
      <c r="C89" s="54">
        <v>0.72</v>
      </c>
      <c r="D89" s="54">
        <v>0.72</v>
      </c>
      <c r="E89" s="54"/>
      <c r="F89" s="54"/>
      <c r="G89" s="40" t="s">
        <v>124</v>
      </c>
    </row>
    <row r="90" spans="1:7" x14ac:dyDescent="0.2">
      <c r="A90" s="33"/>
      <c r="B90" s="57"/>
      <c r="C90" s="57"/>
    </row>
    <row r="91" spans="1:7" x14ac:dyDescent="0.2">
      <c r="A91" s="126" t="s">
        <v>155</v>
      </c>
      <c r="B91" s="54"/>
      <c r="C91" s="54"/>
    </row>
    <row r="92" spans="1:7" x14ac:dyDescent="0.2">
      <c r="A92" s="125" t="s">
        <v>154</v>
      </c>
      <c r="B92" s="37">
        <v>50</v>
      </c>
      <c r="C92" s="37">
        <v>50</v>
      </c>
      <c r="D92" s="37">
        <v>50</v>
      </c>
      <c r="E92" s="67"/>
      <c r="F92" s="66" t="s">
        <v>112</v>
      </c>
      <c r="G92" s="40" t="s">
        <v>157</v>
      </c>
    </row>
    <row r="93" spans="1:7" x14ac:dyDescent="0.2">
      <c r="A93" s="55" t="s">
        <v>24</v>
      </c>
      <c r="B93" s="71">
        <v>55</v>
      </c>
      <c r="C93" s="71">
        <v>55</v>
      </c>
      <c r="D93" s="71">
        <v>55</v>
      </c>
      <c r="E93" s="98"/>
      <c r="F93" s="99" t="s">
        <v>113</v>
      </c>
      <c r="G93" s="40" t="s">
        <v>125</v>
      </c>
    </row>
    <row r="94" spans="1:7" x14ac:dyDescent="0.2">
      <c r="A94" s="55" t="s">
        <v>40</v>
      </c>
      <c r="B94" s="37">
        <v>3</v>
      </c>
      <c r="C94" s="37">
        <v>3</v>
      </c>
      <c r="D94" s="37">
        <v>3</v>
      </c>
      <c r="E94" s="67"/>
      <c r="F94" s="67"/>
      <c r="G94" s="40" t="s">
        <v>125</v>
      </c>
    </row>
    <row r="95" spans="1:7" x14ac:dyDescent="0.2">
      <c r="A95" s="55" t="s">
        <v>12</v>
      </c>
      <c r="B95" s="37">
        <v>13280</v>
      </c>
      <c r="C95" s="37">
        <v>13280</v>
      </c>
      <c r="D95" s="37">
        <v>14000</v>
      </c>
      <c r="E95" s="67"/>
      <c r="F95" s="66" t="s">
        <v>36</v>
      </c>
      <c r="G95" s="40" t="s">
        <v>125</v>
      </c>
    </row>
    <row r="96" spans="1:7" x14ac:dyDescent="0.2">
      <c r="A96" s="55" t="s">
        <v>13</v>
      </c>
      <c r="B96" s="109">
        <v>0.45</v>
      </c>
      <c r="C96" s="109">
        <v>0.45</v>
      </c>
      <c r="D96" s="109">
        <v>0.45</v>
      </c>
      <c r="E96" s="100"/>
      <c r="F96" s="101" t="s">
        <v>114</v>
      </c>
      <c r="G96" s="33" t="s">
        <v>80</v>
      </c>
    </row>
    <row r="97" spans="1:7" x14ac:dyDescent="0.2">
      <c r="A97" s="55" t="s">
        <v>15</v>
      </c>
      <c r="B97" s="37">
        <v>56</v>
      </c>
      <c r="C97" s="37">
        <v>56</v>
      </c>
      <c r="D97" s="37">
        <v>70</v>
      </c>
      <c r="E97" s="67"/>
      <c r="F97" s="66" t="s">
        <v>36</v>
      </c>
      <c r="G97" s="33" t="s">
        <v>81</v>
      </c>
    </row>
    <row r="98" spans="1:7" x14ac:dyDescent="0.2">
      <c r="A98" s="55" t="s">
        <v>16</v>
      </c>
      <c r="B98" s="80">
        <v>5000</v>
      </c>
      <c r="C98" s="80">
        <v>5000</v>
      </c>
      <c r="D98" s="80">
        <v>5000</v>
      </c>
      <c r="E98" s="69"/>
      <c r="F98" s="102" t="s">
        <v>115</v>
      </c>
      <c r="G98" s="40" t="s">
        <v>128</v>
      </c>
    </row>
    <row r="99" spans="1:7" x14ac:dyDescent="0.2">
      <c r="A99" s="55" t="s">
        <v>17</v>
      </c>
      <c r="B99" s="109">
        <v>0.85</v>
      </c>
      <c r="C99" s="109">
        <v>0.85</v>
      </c>
      <c r="D99" s="109">
        <v>0.85</v>
      </c>
      <c r="E99" s="100"/>
      <c r="F99" s="101" t="s">
        <v>104</v>
      </c>
      <c r="G99" s="33" t="s">
        <v>82</v>
      </c>
    </row>
    <row r="100" spans="1:7" x14ac:dyDescent="0.2">
      <c r="A100" s="55" t="s">
        <v>14</v>
      </c>
      <c r="B100" s="37">
        <v>3020</v>
      </c>
      <c r="C100" s="37">
        <v>3020</v>
      </c>
      <c r="D100" s="37">
        <v>2000</v>
      </c>
      <c r="E100" s="67"/>
      <c r="F100" s="66" t="s">
        <v>36</v>
      </c>
      <c r="G100" s="33" t="s">
        <v>81</v>
      </c>
    </row>
    <row r="101" spans="1:7" x14ac:dyDescent="0.2">
      <c r="A101" s="125" t="s">
        <v>134</v>
      </c>
      <c r="B101" s="110">
        <v>400</v>
      </c>
      <c r="C101" s="110">
        <v>400</v>
      </c>
      <c r="D101" s="110">
        <v>400</v>
      </c>
      <c r="E101" s="103"/>
      <c r="F101" s="97" t="s">
        <v>111</v>
      </c>
      <c r="G101" s="40" t="s">
        <v>128</v>
      </c>
    </row>
    <row r="102" spans="1:7" x14ac:dyDescent="0.2">
      <c r="A102" s="33" t="s">
        <v>18</v>
      </c>
      <c r="B102" s="109">
        <v>1</v>
      </c>
      <c r="C102" s="109">
        <v>1</v>
      </c>
      <c r="D102" s="109">
        <v>1</v>
      </c>
      <c r="E102" s="100"/>
      <c r="F102" s="100"/>
      <c r="G102" s="33" t="s">
        <v>83</v>
      </c>
    </row>
    <row r="103" spans="1:7" x14ac:dyDescent="0.2">
      <c r="A103" s="40" t="s">
        <v>156</v>
      </c>
      <c r="B103" s="54">
        <v>0.5</v>
      </c>
      <c r="C103" s="54">
        <v>0.5</v>
      </c>
      <c r="D103" s="54">
        <v>0.5</v>
      </c>
      <c r="E103" s="54"/>
      <c r="F103" s="54"/>
      <c r="G103" s="40" t="s">
        <v>125</v>
      </c>
    </row>
    <row r="104" spans="1:7" x14ac:dyDescent="0.2">
      <c r="A104" s="33"/>
      <c r="B104" s="54"/>
      <c r="C104" s="54"/>
      <c r="D104" s="54"/>
      <c r="E104" s="54"/>
      <c r="F104" s="54"/>
    </row>
    <row r="105" spans="1:7" x14ac:dyDescent="0.2">
      <c r="A105" s="124" t="s">
        <v>43</v>
      </c>
      <c r="B105" s="57"/>
      <c r="C105" s="57"/>
    </row>
    <row r="106" spans="1:7" x14ac:dyDescent="0.2">
      <c r="A106" s="33" t="s">
        <v>44</v>
      </c>
      <c r="B106" s="54">
        <v>0.03</v>
      </c>
      <c r="C106" s="54">
        <v>0.03</v>
      </c>
      <c r="D106" s="54">
        <v>0.03</v>
      </c>
      <c r="E106" s="54"/>
      <c r="F106" s="54"/>
      <c r="G106" s="40" t="s">
        <v>226</v>
      </c>
    </row>
    <row r="107" spans="1:7" x14ac:dyDescent="0.2">
      <c r="A107" s="32" t="s">
        <v>45</v>
      </c>
      <c r="B107" s="57">
        <v>2</v>
      </c>
      <c r="C107" s="57">
        <v>2</v>
      </c>
      <c r="D107" s="57">
        <v>1</v>
      </c>
      <c r="E107" s="57"/>
      <c r="F107" s="57"/>
      <c r="G107" s="40" t="s">
        <v>125</v>
      </c>
    </row>
    <row r="108" spans="1:7" x14ac:dyDescent="0.2">
      <c r="A108" s="32" t="s">
        <v>46</v>
      </c>
      <c r="B108" s="57">
        <v>8</v>
      </c>
      <c r="C108" s="57">
        <v>8</v>
      </c>
      <c r="D108" s="57">
        <v>4</v>
      </c>
      <c r="E108" s="57"/>
      <c r="F108" s="57"/>
      <c r="G108" s="40" t="s">
        <v>125</v>
      </c>
    </row>
    <row r="109" spans="1:7" x14ac:dyDescent="0.2">
      <c r="A109" s="3" t="s">
        <v>168</v>
      </c>
      <c r="B109" s="37">
        <v>2</v>
      </c>
      <c r="C109" s="37">
        <v>2</v>
      </c>
      <c r="D109" s="37">
        <v>2</v>
      </c>
      <c r="E109" s="37"/>
      <c r="F109" s="37"/>
      <c r="G109" s="40" t="s">
        <v>125</v>
      </c>
    </row>
    <row r="110" spans="1:7" x14ac:dyDescent="0.2">
      <c r="A110" s="135" t="s">
        <v>171</v>
      </c>
      <c r="B110" s="136">
        <v>40000000</v>
      </c>
      <c r="C110" s="136">
        <v>40000000</v>
      </c>
      <c r="D110" s="45" t="s">
        <v>122</v>
      </c>
      <c r="G110" s="40" t="s">
        <v>172</v>
      </c>
    </row>
    <row r="111" spans="1:7" x14ac:dyDescent="0.2">
      <c r="A111" s="43" t="s">
        <v>173</v>
      </c>
      <c r="B111" s="54">
        <v>0.1</v>
      </c>
      <c r="C111" s="54">
        <v>0.2</v>
      </c>
      <c r="D111" s="45" t="s">
        <v>122</v>
      </c>
      <c r="G111" s="40" t="s">
        <v>125</v>
      </c>
    </row>
    <row r="112" spans="1:7" x14ac:dyDescent="0.2">
      <c r="A112" s="104"/>
    </row>
    <row r="113" spans="1:2" x14ac:dyDescent="0.2">
      <c r="A113" s="43"/>
    </row>
    <row r="115" spans="1:2" x14ac:dyDescent="0.2">
      <c r="B115" s="146"/>
    </row>
  </sheetData>
  <phoneticPr fontId="13" type="noConversion"/>
  <hyperlinks>
    <hyperlink ref="H4" r:id="rId1"/>
    <hyperlink ref="I4" r:id="rId2"/>
    <hyperlink ref="H16" r:id="rId3"/>
    <hyperlink ref="I16" r:id="rId4"/>
    <hyperlink ref="G18" r:id="rId5"/>
    <hyperlink ref="G23" r:id="rId6"/>
    <hyperlink ref="G20" r:id="rId7"/>
    <hyperlink ref="G25" r:id="rId8"/>
    <hyperlink ref="G30" r:id="rId9"/>
    <hyperlink ref="G36" r:id="rId10"/>
    <hyperlink ref="G37" r:id="rId11"/>
    <hyperlink ref="G45" r:id="rId12"/>
    <hyperlink ref="G55" r:id="rId13" display="http://dor.wa.gov/content/findtaxesandrates/othertaxes/tax_leasehold.aspx"/>
    <hyperlink ref="H56" r:id="rId14"/>
    <hyperlink ref="I56" r:id="rId15"/>
    <hyperlink ref="H57" r:id="rId16"/>
    <hyperlink ref="G61" r:id="rId17"/>
    <hyperlink ref="G28" r:id="rId18"/>
    <hyperlink ref="G50" r:id="rId19"/>
    <hyperlink ref="G48" r:id="rId20" display="http://www.seattle.gov/transportation/docs/arena/Seattle%20Arena%20052312.pdf or "/>
    <hyperlink ref="G38" r:id="rId21"/>
    <hyperlink ref="G14" r:id="rId22" display="http://www.seattle.gov/financedepartment/17proposedbudget/documents/2017-2018ProposedBudgetBook.pdf"/>
  </hyperlinks>
  <pageMargins left="0.7" right="0.7" top="0.75" bottom="0.75" header="0.3" footer="0.3"/>
  <pageSetup orientation="portrait" horizontalDpi="4294967292" verticalDpi="4294967292"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7"/>
  <sheetViews>
    <sheetView zoomScale="90" zoomScaleNormal="90" zoomScalePageLayoutView="128" workbookViewId="0">
      <selection activeCell="B11" sqref="B11"/>
    </sheetView>
  </sheetViews>
  <sheetFormatPr baseColWidth="10" defaultColWidth="11" defaultRowHeight="16" x14ac:dyDescent="0.2"/>
  <cols>
    <col min="1" max="1" width="45.6640625" customWidth="1"/>
    <col min="2" max="2" width="17" customWidth="1"/>
    <col min="3" max="3" width="18.1640625" customWidth="1"/>
    <col min="4" max="4" width="15.1640625" customWidth="1"/>
    <col min="5" max="5" width="15.5" customWidth="1"/>
    <col min="6" max="31" width="14.6640625" customWidth="1"/>
    <col min="32" max="32" width="15.83203125" customWidth="1"/>
    <col min="33" max="37" width="14.6640625" customWidth="1"/>
  </cols>
  <sheetData>
    <row r="1" spans="1:48" ht="23.5" x14ac:dyDescent="0.45">
      <c r="B1" s="117" t="s">
        <v>147</v>
      </c>
    </row>
    <row r="2" spans="1:48" s="6" customFormat="1" ht="23" customHeight="1" x14ac:dyDescent="0.35">
      <c r="A2" s="15"/>
      <c r="B2" s="16">
        <v>1</v>
      </c>
      <c r="C2" s="16">
        <v>2</v>
      </c>
      <c r="D2" s="16">
        <v>3</v>
      </c>
      <c r="E2" s="16">
        <v>4</v>
      </c>
      <c r="F2" s="16">
        <v>5</v>
      </c>
      <c r="G2" s="16">
        <v>6</v>
      </c>
      <c r="H2" s="16">
        <v>7</v>
      </c>
      <c r="I2" s="16">
        <v>8</v>
      </c>
      <c r="J2" s="16">
        <v>9</v>
      </c>
      <c r="K2" s="16">
        <v>10</v>
      </c>
      <c r="L2" s="16">
        <v>11</v>
      </c>
      <c r="M2" s="16">
        <v>12</v>
      </c>
      <c r="N2" s="16">
        <v>13</v>
      </c>
      <c r="O2" s="16">
        <v>14</v>
      </c>
      <c r="P2" s="16">
        <v>15</v>
      </c>
      <c r="Q2" s="16">
        <v>16</v>
      </c>
      <c r="R2" s="16">
        <v>17</v>
      </c>
      <c r="S2" s="16">
        <v>18</v>
      </c>
      <c r="T2" s="16">
        <v>19</v>
      </c>
      <c r="U2" s="16">
        <v>20</v>
      </c>
      <c r="V2" s="16">
        <v>21</v>
      </c>
      <c r="W2" s="16">
        <v>22</v>
      </c>
      <c r="X2" s="16">
        <v>23</v>
      </c>
      <c r="Y2" s="16">
        <v>24</v>
      </c>
      <c r="Z2" s="16">
        <v>25</v>
      </c>
      <c r="AA2" s="16">
        <v>26</v>
      </c>
      <c r="AB2" s="16">
        <v>27</v>
      </c>
      <c r="AC2" s="16">
        <v>28</v>
      </c>
      <c r="AD2" s="16">
        <v>29</v>
      </c>
      <c r="AE2" s="16">
        <v>30</v>
      </c>
      <c r="AF2" s="16">
        <v>31</v>
      </c>
      <c r="AG2" s="16">
        <v>32</v>
      </c>
      <c r="AH2" s="16">
        <v>33</v>
      </c>
      <c r="AI2" s="16">
        <v>34</v>
      </c>
      <c r="AJ2" s="16">
        <v>35</v>
      </c>
    </row>
    <row r="3" spans="1:48" s="6" customFormat="1" ht="21" x14ac:dyDescent="0.4">
      <c r="A3" s="19" t="s">
        <v>41</v>
      </c>
      <c r="B3" s="20"/>
      <c r="C3" s="20"/>
      <c r="D3" s="20"/>
      <c r="E3" s="20"/>
      <c r="F3" s="20"/>
      <c r="G3" s="20"/>
      <c r="H3" s="7"/>
      <c r="I3" s="7"/>
      <c r="J3" s="7"/>
      <c r="K3" s="7"/>
      <c r="L3" s="7"/>
      <c r="M3" s="7"/>
      <c r="N3" s="7"/>
      <c r="O3" s="7"/>
      <c r="P3" s="7"/>
      <c r="Q3" s="7"/>
      <c r="R3" s="7"/>
      <c r="S3" s="7"/>
      <c r="T3" s="7"/>
      <c r="U3" s="7"/>
      <c r="V3" s="7"/>
      <c r="W3" s="7"/>
      <c r="X3" s="7"/>
      <c r="Y3" s="7"/>
      <c r="Z3" s="7"/>
      <c r="AA3" s="7"/>
      <c r="AB3" s="7"/>
      <c r="AC3" s="7"/>
      <c r="AD3" s="7"/>
      <c r="AE3" s="7"/>
      <c r="AF3" s="7"/>
      <c r="AG3" s="7"/>
    </row>
    <row r="4" spans="1:48" ht="21" x14ac:dyDescent="0.4">
      <c r="A4" s="21" t="s">
        <v>0</v>
      </c>
      <c r="B4" s="22">
        <f>(('Assumptions and Parameters'!$B$4/1000)*'Assumptions and Parameters'!B7)*'Assumptions and Parameters'!$B$9</f>
        <v>860100</v>
      </c>
      <c r="C4" s="22">
        <f>'Assumptions and Parameters'!$B$4/1000*'Assumptions and Parameters'!$B$9</f>
        <v>1720200</v>
      </c>
      <c r="D4" s="22">
        <f>C4*(1+'Assumptions and Parameters'!$B$10)</f>
        <v>1720200</v>
      </c>
      <c r="E4" s="22">
        <f>D4*(1+'Assumptions and Parameters'!$B$10)</f>
        <v>1720200</v>
      </c>
      <c r="F4" s="22">
        <f>E4*(1+'Assumptions and Parameters'!$B$10)</f>
        <v>1720200</v>
      </c>
      <c r="G4" s="22">
        <f>F4*(1+'Assumptions and Parameters'!$B$10)</f>
        <v>1720200</v>
      </c>
      <c r="H4" s="22">
        <f>G4*(1+'Assumptions and Parameters'!$B$10)</f>
        <v>1720200</v>
      </c>
      <c r="I4" s="22">
        <f>H4*(1+'Assumptions and Parameters'!$B$10)</f>
        <v>1720200</v>
      </c>
      <c r="J4" s="22">
        <f>I4*(1+'Assumptions and Parameters'!$B$10)</f>
        <v>1720200</v>
      </c>
      <c r="K4" s="22">
        <f>J4*(1+'Assumptions and Parameters'!$B$10)</f>
        <v>1720200</v>
      </c>
      <c r="L4" s="22">
        <f>K4*(1+'Assumptions and Parameters'!$B$10)</f>
        <v>1720200</v>
      </c>
      <c r="M4" s="22">
        <f>L4*(1+'Assumptions and Parameters'!$B$10)</f>
        <v>1720200</v>
      </c>
      <c r="N4" s="22">
        <f>M4*(1+'Assumptions and Parameters'!$B$10)</f>
        <v>1720200</v>
      </c>
      <c r="O4" s="22">
        <f>N4*(1+'Assumptions and Parameters'!$B$10)</f>
        <v>1720200</v>
      </c>
      <c r="P4" s="22">
        <f>O4*(1+'Assumptions and Parameters'!$B$10)</f>
        <v>1720200</v>
      </c>
      <c r="Q4" s="22">
        <f>P4*(1+'Assumptions and Parameters'!$B$10)</f>
        <v>1720200</v>
      </c>
      <c r="R4" s="22">
        <f>Q4*(1+'Assumptions and Parameters'!$B$10)</f>
        <v>1720200</v>
      </c>
      <c r="S4" s="22">
        <f>R4*(1+'Assumptions and Parameters'!$B$10)</f>
        <v>1720200</v>
      </c>
      <c r="T4" s="22">
        <f>S4*(1+'Assumptions and Parameters'!$B$10)</f>
        <v>1720200</v>
      </c>
      <c r="U4" s="22">
        <f>T4*(1+'Assumptions and Parameters'!$B$10)</f>
        <v>1720200</v>
      </c>
      <c r="V4" s="22">
        <f>U4*(1+'Assumptions and Parameters'!$B$10)</f>
        <v>1720200</v>
      </c>
      <c r="W4" s="22">
        <f>V4*(1+'Assumptions and Parameters'!$B$10)</f>
        <v>1720200</v>
      </c>
      <c r="X4" s="22">
        <f>W4*(1+'Assumptions and Parameters'!$B$10)</f>
        <v>1720200</v>
      </c>
      <c r="Y4" s="22">
        <f>X4*(1+'Assumptions and Parameters'!$B$10)</f>
        <v>1720200</v>
      </c>
      <c r="Z4" s="22">
        <f>Y4*(1+'Assumptions and Parameters'!$B$10)</f>
        <v>1720200</v>
      </c>
      <c r="AA4" s="22">
        <f>Z4*(1+'Assumptions and Parameters'!$B$10)</f>
        <v>1720200</v>
      </c>
      <c r="AB4" s="22">
        <f>AA4*(1+'Assumptions and Parameters'!$B$10)</f>
        <v>1720200</v>
      </c>
      <c r="AC4" s="22">
        <f>AB4*(1+'Assumptions and Parameters'!$B$10)</f>
        <v>1720200</v>
      </c>
      <c r="AD4" s="22">
        <f>AC4*(1+'Assumptions and Parameters'!$B$10)</f>
        <v>1720200</v>
      </c>
      <c r="AE4" s="22">
        <f>AD4*(1+'Assumptions and Parameters'!$B$10)</f>
        <v>1720200</v>
      </c>
      <c r="AF4" s="22">
        <f>AE4*(1+'Assumptions and Parameters'!$B$10)</f>
        <v>1720200</v>
      </c>
      <c r="AG4" s="22">
        <f>AF4*(1+'Assumptions and Parameters'!$B$10)</f>
        <v>1720200</v>
      </c>
      <c r="AH4" s="22">
        <f>AG4*(1+'Assumptions and Parameters'!$B$10)</f>
        <v>1720200</v>
      </c>
      <c r="AI4" s="22">
        <f>AH4*(1+'Assumptions and Parameters'!$B$10)</f>
        <v>1720200</v>
      </c>
      <c r="AJ4" s="22">
        <f>AI4*(1+'Assumptions and Parameters'!$B$10)</f>
        <v>1720200</v>
      </c>
      <c r="AK4" s="5"/>
      <c r="AL4" s="5"/>
      <c r="AM4" s="5"/>
      <c r="AN4" s="5"/>
      <c r="AO4" s="5"/>
      <c r="AP4" s="5"/>
      <c r="AQ4" s="5"/>
      <c r="AR4" s="5"/>
      <c r="AS4" s="5"/>
      <c r="AT4" s="5"/>
      <c r="AU4" s="5"/>
      <c r="AV4" s="5"/>
    </row>
    <row r="5" spans="1:48" ht="21" x14ac:dyDescent="0.4">
      <c r="A5" s="4" t="s">
        <v>5</v>
      </c>
      <c r="B5" s="5"/>
      <c r="C5" s="10"/>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row>
    <row r="6" spans="1:48" ht="18" x14ac:dyDescent="0.35">
      <c r="A6" s="5" t="s">
        <v>21</v>
      </c>
      <c r="B6" s="25">
        <f>IF('Assumptions and Parameters'!$B$108&gt;'Revenue Projections'!B2,0,(((('Assumptions and Parameters'!$B$64*'Assumptions and Parameters'!$B$65*'Assumptions and Parameters'!$B$67*'Assumptions and Parameters'!$B$68)*(1+'Assumptions and Parameters'!$B$66/100)^(B2-$B$2))+
(('Assumptions and Parameters'!$B$64*'Assumptions and Parameters'!$B$69*'Assumptions and Parameters'!$B$70*'Assumptions and Parameters'!$B$71)*(1+'Assumptions and Parameters'!$B$66/100)^(B2-$B$2))+
(('Assumptions and Parameters'!$B$72*'Assumptions and Parameters'!$B$73*'Assumptions and Parameters'!$B$74)*(1+'Assumptions and Parameters'!$B$66/100)^(B2-$B$2)))*'Assumptions and Parameters'!$B$61)*'Assumptions and Parameters'!$B$75)</f>
        <v>0</v>
      </c>
      <c r="C6" s="25">
        <f>IF('Assumptions and Parameters'!$B$108&gt;'Revenue Projections'!C2,0,(((('Assumptions and Parameters'!$B$64*'Assumptions and Parameters'!$B$65*'Assumptions and Parameters'!$B$67*'Assumptions and Parameters'!$B$68)*(1+'Assumptions and Parameters'!$B$66/100)^(C2-$B$2))+
(('Assumptions and Parameters'!$B$64*'Assumptions and Parameters'!$B$69*'Assumptions and Parameters'!$B$70*'Assumptions and Parameters'!$B$71)*(1+'Assumptions and Parameters'!$B$66/100)^(C2-$B$2))+
(('Assumptions and Parameters'!$B$72*'Assumptions and Parameters'!$B$73*'Assumptions and Parameters'!$B$74)*(1+'Assumptions and Parameters'!$B$66/100)^(C2-$B$2)))*'Assumptions and Parameters'!$B$61)*'Assumptions and Parameters'!$B$75)</f>
        <v>0</v>
      </c>
      <c r="D6" s="25">
        <f>IF('Assumptions and Parameters'!$B$108&gt;'Revenue Projections'!D2,0,(((('Assumptions and Parameters'!$B$64*'Assumptions and Parameters'!$B$65*'Assumptions and Parameters'!$B$67*'Assumptions and Parameters'!$B$68)*(1+'Assumptions and Parameters'!$B$66/100)^(D2-$B$2))+
(('Assumptions and Parameters'!$B$64*'Assumptions and Parameters'!$B$69*'Assumptions and Parameters'!$B$70*'Assumptions and Parameters'!$B$71)*(1+'Assumptions and Parameters'!$B$66/100)^(D2-$B$2))+
(('Assumptions and Parameters'!$B$72*'Assumptions and Parameters'!$B$73*'Assumptions and Parameters'!$B$74)*(1+'Assumptions and Parameters'!$B$66/100)^(D2-$B$2)))*'Assumptions and Parameters'!$B$61)*'Assumptions and Parameters'!$B$75)</f>
        <v>0</v>
      </c>
      <c r="E6" s="25">
        <f>IF('Assumptions and Parameters'!$B$108&gt;'Revenue Projections'!E2,0,(((('Assumptions and Parameters'!$B$64*'Assumptions and Parameters'!$B$65*'Assumptions and Parameters'!$B$67*'Assumptions and Parameters'!$B$68)*(1+'Assumptions and Parameters'!$B$66/100)^(E2-$B$2))+
(('Assumptions and Parameters'!$B$64*'Assumptions and Parameters'!$B$69*'Assumptions and Parameters'!$B$70*'Assumptions and Parameters'!$B$71)*(1+'Assumptions and Parameters'!$B$66/100)^(E2-$B$2))+
(('Assumptions and Parameters'!$B$72*'Assumptions and Parameters'!$B$73*'Assumptions and Parameters'!$B$74)*(1+'Assumptions and Parameters'!$B$66/100)^(E2-$B$2)))*'Assumptions and Parameters'!$B$61)*'Assumptions and Parameters'!$B$75)</f>
        <v>0</v>
      </c>
      <c r="F6" s="25">
        <f>IF('Assumptions and Parameters'!$B$108&gt;'Revenue Projections'!F2,0,(((('Assumptions and Parameters'!$B$64*'Assumptions and Parameters'!$B$65*'Assumptions and Parameters'!$B$67*'Assumptions and Parameters'!$B$68)*(1+'Assumptions and Parameters'!$B$66/100)^(F2-$B$2))+
(('Assumptions and Parameters'!$B$64*'Assumptions and Parameters'!$B$69*'Assumptions and Parameters'!$B$70*'Assumptions and Parameters'!$B$71)*(1+'Assumptions and Parameters'!$B$66/100)^(F2-$B$2))+
(('Assumptions and Parameters'!$B$72*'Assumptions and Parameters'!$B$73*'Assumptions and Parameters'!$B$74)*(1+'Assumptions and Parameters'!$B$66/100)^(F2-$B$2)))*'Assumptions and Parameters'!$B$61)*'Assumptions and Parameters'!$B$75)</f>
        <v>0</v>
      </c>
      <c r="G6" s="25">
        <f>IF('Assumptions and Parameters'!$B$108&gt;'Revenue Projections'!G2,0,(((('Assumptions and Parameters'!$B$64*'Assumptions and Parameters'!$B$65*'Assumptions and Parameters'!$B$67*'Assumptions and Parameters'!$B$68)*(1+'Assumptions and Parameters'!$B$66/100)^(G2-$B$2))+
(('Assumptions and Parameters'!$B$64*'Assumptions and Parameters'!$B$69*'Assumptions and Parameters'!$B$70*'Assumptions and Parameters'!$B$71)*(1+'Assumptions and Parameters'!$B$66/100)^(G2-$B$2))+
(('Assumptions and Parameters'!$B$72*'Assumptions and Parameters'!$B$73*'Assumptions and Parameters'!$B$74)*(1+'Assumptions and Parameters'!$B$66/100)^(G2-$B$2)))*'Assumptions and Parameters'!$B$61)*'Assumptions and Parameters'!$B$75)</f>
        <v>0</v>
      </c>
      <c r="H6" s="25">
        <f>IF('Assumptions and Parameters'!$B$108&gt;'Revenue Projections'!H2,0,(((('Assumptions and Parameters'!$B$64*'Assumptions and Parameters'!$B$65*'Assumptions and Parameters'!$B$67*'Assumptions and Parameters'!$B$68)*(1+'Assumptions and Parameters'!$B$66/100)^(H2-$B$2))+
(('Assumptions and Parameters'!$B$64*'Assumptions and Parameters'!$B$69*'Assumptions and Parameters'!$B$70*'Assumptions and Parameters'!$B$71)*(1+'Assumptions and Parameters'!$B$66/100)^(H2-$B$2))+
(('Assumptions and Parameters'!$B$72*'Assumptions and Parameters'!$B$73*'Assumptions and Parameters'!$B$74)*(1+'Assumptions and Parameters'!$B$66/100)^(H2-$B$2)))*'Assumptions and Parameters'!$B$61)*'Assumptions and Parameters'!$B$75)</f>
        <v>0</v>
      </c>
      <c r="I6" s="25">
        <f>IF('Assumptions and Parameters'!$B$108&gt;'Revenue Projections'!I2,0,(((('Assumptions and Parameters'!$B$64*'Assumptions and Parameters'!$B$65*'Assumptions and Parameters'!$B$67*'Assumptions and Parameters'!$B$68)*(1+'Assumptions and Parameters'!$B$66/100)^(I2-$B$2))+
(('Assumptions and Parameters'!$B$64*'Assumptions and Parameters'!$B$69*'Assumptions and Parameters'!$B$70*'Assumptions and Parameters'!$B$71)*(1+'Assumptions and Parameters'!$B$66/100)^(I2-$B$2))+
(('Assumptions and Parameters'!$B$72*'Assumptions and Parameters'!$B$73*'Assumptions and Parameters'!$B$74)*(1+'Assumptions and Parameters'!$B$66/100)^(I2-$B$2)))*'Assumptions and Parameters'!$B$61)*'Assumptions and Parameters'!$B$75)</f>
        <v>3666879.2873807577</v>
      </c>
      <c r="J6" s="25">
        <f>IF('Assumptions and Parameters'!$B$108&gt;'Revenue Projections'!J2,0,(((('Assumptions and Parameters'!$B$64*'Assumptions and Parameters'!$B$65*'Assumptions and Parameters'!$B$67*'Assumptions and Parameters'!$B$68)*(1+'Assumptions and Parameters'!$B$66/100)^(J2-$B$2))+
(('Assumptions and Parameters'!$B$64*'Assumptions and Parameters'!$B$69*'Assumptions and Parameters'!$B$70*'Assumptions and Parameters'!$B$71)*(1+'Assumptions and Parameters'!$B$66/100)^(J2-$B$2))+
(('Assumptions and Parameters'!$B$72*'Assumptions and Parameters'!$B$73*'Assumptions and Parameters'!$B$74)*(1+'Assumptions and Parameters'!$B$66/100)^(J2-$B$2)))*'Assumptions and Parameters'!$B$61)*'Assumptions and Parameters'!$B$75)</f>
        <v>3795220.0624390841</v>
      </c>
      <c r="K6" s="25">
        <f>IF('Assumptions and Parameters'!$B$108&gt;'Revenue Projections'!K2,0,(((('Assumptions and Parameters'!$B$64*'Assumptions and Parameters'!$B$65*'Assumptions and Parameters'!$B$67*'Assumptions and Parameters'!$B$68)*(1+'Assumptions and Parameters'!$B$66/100)^(K2-$B$2))+
(('Assumptions and Parameters'!$B$64*'Assumptions and Parameters'!$B$69*'Assumptions and Parameters'!$B$70*'Assumptions and Parameters'!$B$71)*(1+'Assumptions and Parameters'!$B$66/100)^(K2-$B$2))+
(('Assumptions and Parameters'!$B$72*'Assumptions and Parameters'!$B$73*'Assumptions and Parameters'!$B$74)*(1+'Assumptions and Parameters'!$B$66/100)^(K2-$B$2)))*'Assumptions and Parameters'!$B$61)*'Assumptions and Parameters'!$B$75)</f>
        <v>3928052.7646244513</v>
      </c>
      <c r="L6" s="25">
        <f>IF('Assumptions and Parameters'!$B$108&gt;'Revenue Projections'!L2,0,(((('Assumptions and Parameters'!$B$64*'Assumptions and Parameters'!$B$65*'Assumptions and Parameters'!$B$67*'Assumptions and Parameters'!$B$68)*(1+'Assumptions and Parameters'!$B$66/100)^(L2-$B$2))+
(('Assumptions and Parameters'!$B$64*'Assumptions and Parameters'!$B$69*'Assumptions and Parameters'!$B$70*'Assumptions and Parameters'!$B$71)*(1+'Assumptions and Parameters'!$B$66/100)^(L2-$B$2))+
(('Assumptions and Parameters'!$B$72*'Assumptions and Parameters'!$B$73*'Assumptions and Parameters'!$B$74)*(1+'Assumptions and Parameters'!$B$66/100)^(L2-$B$2)))*'Assumptions and Parameters'!$B$61)*'Assumptions and Parameters'!$B$75)</f>
        <v>4065534.6113863066</v>
      </c>
      <c r="M6" s="25">
        <f>IF('Assumptions and Parameters'!$B$108&gt;'Revenue Projections'!M2,0,(((('Assumptions and Parameters'!$B$64*'Assumptions and Parameters'!$B$65*'Assumptions and Parameters'!$B$67*'Assumptions and Parameters'!$B$68)*(1+'Assumptions and Parameters'!$B$66/100)^(M2-$B$2))+
(('Assumptions and Parameters'!$B$64*'Assumptions and Parameters'!$B$69*'Assumptions and Parameters'!$B$70*'Assumptions and Parameters'!$B$71)*(1+'Assumptions and Parameters'!$B$66/100)^(M2-$B$2))+
(('Assumptions and Parameters'!$B$72*'Assumptions and Parameters'!$B$73*'Assumptions and Parameters'!$B$74)*(1+'Assumptions and Parameters'!$B$66/100)^(M2-$B$2)))*'Assumptions and Parameters'!$B$61)*'Assumptions and Parameters'!$B$75)</f>
        <v>4207828.3227848271</v>
      </c>
      <c r="N6" s="25">
        <f>IF('Assumptions and Parameters'!$B$108&gt;'Revenue Projections'!N2,0,(((('Assumptions and Parameters'!$B$64*'Assumptions and Parameters'!$B$65*'Assumptions and Parameters'!$B$67*'Assumptions and Parameters'!$B$68)*(1+'Assumptions and Parameters'!$B$66/100)^(N2-$B$2))+
(('Assumptions and Parameters'!$B$64*'Assumptions and Parameters'!$B$69*'Assumptions and Parameters'!$B$70*'Assumptions and Parameters'!$B$71)*(1+'Assumptions and Parameters'!$B$66/100)^(N2-$B$2))+
(('Assumptions and Parameters'!$B$72*'Assumptions and Parameters'!$B$73*'Assumptions and Parameters'!$B$74)*(1+'Assumptions and Parameters'!$B$66/100)^(N2-$B$2)))*'Assumptions and Parameters'!$B$61)*'Assumptions and Parameters'!$B$75)</f>
        <v>4355102.3140822966</v>
      </c>
      <c r="O6" s="25">
        <f>IF('Assumptions and Parameters'!$B$108&gt;'Revenue Projections'!O2,0,(((('Assumptions and Parameters'!$B$64*'Assumptions and Parameters'!$B$65*'Assumptions and Parameters'!$B$67*'Assumptions and Parameters'!$B$68)*(1+'Assumptions and Parameters'!$B$66/100)^(O2-$B$2))+
(('Assumptions and Parameters'!$B$64*'Assumptions and Parameters'!$B$69*'Assumptions and Parameters'!$B$70*'Assumptions and Parameters'!$B$71)*(1+'Assumptions and Parameters'!$B$66/100)^(O2-$B$2))+
(('Assumptions and Parameters'!$B$72*'Assumptions and Parameters'!$B$73*'Assumptions and Parameters'!$B$74)*(1+'Assumptions and Parameters'!$B$66/100)^(O2-$B$2)))*'Assumptions and Parameters'!$B$61)*'Assumptions and Parameters'!$B$75)</f>
        <v>4507530.8950751759</v>
      </c>
      <c r="P6" s="25">
        <f>IF('Assumptions and Parameters'!$B$108&gt;'Revenue Projections'!P2,0,(((('Assumptions and Parameters'!$B$64*'Assumptions and Parameters'!$B$65*'Assumptions and Parameters'!$B$67*'Assumptions and Parameters'!$B$68)*(1+'Assumptions and Parameters'!$B$66/100)^(P2-$B$2))+
(('Assumptions and Parameters'!$B$64*'Assumptions and Parameters'!$B$69*'Assumptions and Parameters'!$B$70*'Assumptions and Parameters'!$B$71)*(1+'Assumptions and Parameters'!$B$66/100)^(P2-$B$2))+
(('Assumptions and Parameters'!$B$72*'Assumptions and Parameters'!$B$73*'Assumptions and Parameters'!$B$74)*(1+'Assumptions and Parameters'!$B$66/100)^(P2-$B$2)))*'Assumptions and Parameters'!$B$61)*'Assumptions and Parameters'!$B$75)</f>
        <v>4665294.476402807</v>
      </c>
      <c r="Q6" s="25">
        <f>IF('Assumptions and Parameters'!$B$108&gt;'Revenue Projections'!Q2,0,(((('Assumptions and Parameters'!$B$64*'Assumptions and Parameters'!$B$65*'Assumptions and Parameters'!$B$67*'Assumptions and Parameters'!$B$68)*(1+'Assumptions and Parameters'!$B$66/100)^(Q2-$B$2))+
(('Assumptions and Parameters'!$B$64*'Assumptions and Parameters'!$B$69*'Assumptions and Parameters'!$B$70*'Assumptions and Parameters'!$B$71)*(1+'Assumptions and Parameters'!$B$66/100)^(Q2-$B$2))+
(('Assumptions and Parameters'!$B$72*'Assumptions and Parameters'!$B$73*'Assumptions and Parameters'!$B$74)*(1+'Assumptions and Parameters'!$B$66/100)^(Q2-$B$2)))*'Assumptions and Parameters'!$B$61)*'Assumptions and Parameters'!$B$75)</f>
        <v>4828579.7830769038</v>
      </c>
      <c r="R6" s="25">
        <f>IF('Assumptions and Parameters'!$B$108&gt;'Revenue Projections'!R2,0,(((('Assumptions and Parameters'!$B$64*'Assumptions and Parameters'!$B$65*'Assumptions and Parameters'!$B$67*'Assumptions and Parameters'!$B$68)*(1+'Assumptions and Parameters'!$B$66/100)^(R2-$B$2))+
(('Assumptions and Parameters'!$B$64*'Assumptions and Parameters'!$B$69*'Assumptions and Parameters'!$B$70*'Assumptions and Parameters'!$B$71)*(1+'Assumptions and Parameters'!$B$66/100)^(R2-$B$2))+
(('Assumptions and Parameters'!$B$72*'Assumptions and Parameters'!$B$73*'Assumptions and Parameters'!$B$74)*(1+'Assumptions and Parameters'!$B$66/100)^(R2-$B$2)))*'Assumptions and Parameters'!$B$61)*'Assumptions and Parameters'!$B$75)</f>
        <v>4997580.0754845962</v>
      </c>
      <c r="S6" s="25">
        <f>IF('Assumptions and Parameters'!$B$108&gt;'Revenue Projections'!S2,0,(((('Assumptions and Parameters'!$B$64*'Assumptions and Parameters'!$B$65*'Assumptions and Parameters'!$B$67*'Assumptions and Parameters'!$B$68)*(1+'Assumptions and Parameters'!$B$66/100)^(S2-$B$2))+
(('Assumptions and Parameters'!$B$64*'Assumptions and Parameters'!$B$69*'Assumptions and Parameters'!$B$70*'Assumptions and Parameters'!$B$71)*(1+'Assumptions and Parameters'!$B$66/100)^(S2-$B$2))+
(('Assumptions and Parameters'!$B$72*'Assumptions and Parameters'!$B$73*'Assumptions and Parameters'!$B$74)*(1+'Assumptions and Parameters'!$B$66/100)^(S2-$B$2)))*'Assumptions and Parameters'!$B$61)*'Assumptions and Parameters'!$B$75)</f>
        <v>5172495.3781265561</v>
      </c>
      <c r="T6" s="25">
        <f>IF('Assumptions and Parameters'!$B$108&gt;'Revenue Projections'!T2,0,(((('Assumptions and Parameters'!$B$64*'Assumptions and Parameters'!$B$65*'Assumptions and Parameters'!$B$67*'Assumptions and Parameters'!$B$68)*(1+'Assumptions and Parameters'!$B$66/100)^(T2-$B$2))+
(('Assumptions and Parameters'!$B$64*'Assumptions and Parameters'!$B$69*'Assumptions and Parameters'!$B$70*'Assumptions and Parameters'!$B$71)*(1+'Assumptions and Parameters'!$B$66/100)^(T2-$B$2))+
(('Assumptions and Parameters'!$B$72*'Assumptions and Parameters'!$B$73*'Assumptions and Parameters'!$B$74)*(1+'Assumptions and Parameters'!$B$66/100)^(T2-$B$2)))*'Assumptions and Parameters'!$B$61)*'Assumptions and Parameters'!$B$75)</f>
        <v>5353532.7163609844</v>
      </c>
      <c r="U6" s="25">
        <f>IF('Assumptions and Parameters'!$B$108&gt;'Revenue Projections'!U2,0,(((('Assumptions and Parameters'!$B$64*'Assumptions and Parameters'!$B$65*'Assumptions and Parameters'!$B$67*'Assumptions and Parameters'!$B$68)*(1+'Assumptions and Parameters'!$B$66/100)^(U2-$B$2))+
(('Assumptions and Parameters'!$B$64*'Assumptions and Parameters'!$B$69*'Assumptions and Parameters'!$B$70*'Assumptions and Parameters'!$B$71)*(1+'Assumptions and Parameters'!$B$66/100)^(U2-$B$2))+
(('Assumptions and Parameters'!$B$72*'Assumptions and Parameters'!$B$73*'Assumptions and Parameters'!$B$74)*(1+'Assumptions and Parameters'!$B$66/100)^(U2-$B$2)))*'Assumptions and Parameters'!$B$61)*'Assumptions and Parameters'!$B$75)</f>
        <v>5540906.3614336196</v>
      </c>
      <c r="V6" s="25">
        <f>IF('Assumptions and Parameters'!$B$108&gt;'Revenue Projections'!V2,0,(((('Assumptions and Parameters'!$B$64*'Assumptions and Parameters'!$B$65*'Assumptions and Parameters'!$B$67*'Assumptions and Parameters'!$B$68)*(1+'Assumptions and Parameters'!$B$66/100)^(V2-$B$2))+
(('Assumptions and Parameters'!$B$64*'Assumptions and Parameters'!$B$69*'Assumptions and Parameters'!$B$70*'Assumptions and Parameters'!$B$71)*(1+'Assumptions and Parameters'!$B$66/100)^(V2-$B$2))+
(('Assumptions and Parameters'!$B$72*'Assumptions and Parameters'!$B$73*'Assumptions and Parameters'!$B$74)*(1+'Assumptions and Parameters'!$B$66/100)^(V2-$B$2)))*'Assumptions and Parameters'!$B$61)*'Assumptions and Parameters'!$B$75)</f>
        <v>5734838.0840837946</v>
      </c>
      <c r="W6" s="25">
        <f>IF('Assumptions and Parameters'!$B$108&gt;'Revenue Projections'!W2,0,(((('Assumptions and Parameters'!$B$64*'Assumptions and Parameters'!$B$65*'Assumptions and Parameters'!$B$67*'Assumptions and Parameters'!$B$68)*(1+'Assumptions and Parameters'!$B$66/100)^(W2-$B$2))+
(('Assumptions and Parameters'!$B$64*'Assumptions and Parameters'!$B$69*'Assumptions and Parameters'!$B$70*'Assumptions and Parameters'!$B$71)*(1+'Assumptions and Parameters'!$B$66/100)^(W2-$B$2))+
(('Assumptions and Parameters'!$B$72*'Assumptions and Parameters'!$B$73*'Assumptions and Parameters'!$B$74)*(1+'Assumptions and Parameters'!$B$66/100)^(W2-$B$2)))*'Assumptions and Parameters'!$B$61)*'Assumptions and Parameters'!$B$75)</f>
        <v>5935557.4170267265</v>
      </c>
      <c r="X6" s="25">
        <f>IF('Assumptions and Parameters'!$B$108&gt;'Revenue Projections'!X2,0,(((('Assumptions and Parameters'!$B$64*'Assumptions and Parameters'!$B$65*'Assumptions and Parameters'!$B$67*'Assumptions and Parameters'!$B$68)*(1+'Assumptions and Parameters'!$B$66/100)^(X2-$B$2))+
(('Assumptions and Parameters'!$B$64*'Assumptions and Parameters'!$B$69*'Assumptions and Parameters'!$B$70*'Assumptions and Parameters'!$B$71)*(1+'Assumptions and Parameters'!$B$66/100)^(X2-$B$2))+
(('Assumptions and Parameters'!$B$72*'Assumptions and Parameters'!$B$73*'Assumptions and Parameters'!$B$74)*(1+'Assumptions and Parameters'!$B$66/100)^(X2-$B$2)))*'Assumptions and Parameters'!$B$61)*'Assumptions and Parameters'!$B$75)</f>
        <v>6143301.9266226627</v>
      </c>
      <c r="Y6" s="25">
        <f>IF('Assumptions and Parameters'!$B$108&gt;'Revenue Projections'!Y2,0,(((('Assumptions and Parameters'!$B$64*'Assumptions and Parameters'!$B$65*'Assumptions and Parameters'!$B$67*'Assumptions and Parameters'!$B$68)*(1+'Assumptions and Parameters'!$B$66/100)^(Y2-$B$2))+
(('Assumptions and Parameters'!$B$64*'Assumptions and Parameters'!$B$69*'Assumptions and Parameters'!$B$70*'Assumptions and Parameters'!$B$71)*(1+'Assumptions and Parameters'!$B$66/100)^(Y2-$B$2))+
(('Assumptions and Parameters'!$B$72*'Assumptions and Parameters'!$B$73*'Assumptions and Parameters'!$B$74)*(1+'Assumptions and Parameters'!$B$66/100)^(Y2-$B$2)))*'Assumptions and Parameters'!$B$61)*'Assumptions and Parameters'!$B$75)</f>
        <v>6358317.4940544562</v>
      </c>
      <c r="Z6" s="25">
        <f>IF('Assumptions and Parameters'!$B$108&gt;'Revenue Projections'!Z2,0,(((('Assumptions and Parameters'!$B$64*'Assumptions and Parameters'!$B$65*'Assumptions and Parameters'!$B$67*'Assumptions and Parameters'!$B$68)*(1+'Assumptions and Parameters'!$B$66/100)^(Z2-$B$2))+
(('Assumptions and Parameters'!$B$64*'Assumptions and Parameters'!$B$69*'Assumptions and Parameters'!$B$70*'Assumptions and Parameters'!$B$71)*(1+'Assumptions and Parameters'!$B$66/100)^(Z2-$B$2))+
(('Assumptions and Parameters'!$B$72*'Assumptions and Parameters'!$B$73*'Assumptions and Parameters'!$B$74)*(1+'Assumptions and Parameters'!$B$66/100)^(Z2-$B$2)))*'Assumptions and Parameters'!$B$61)*'Assumptions and Parameters'!$B$75)</f>
        <v>6580858.6063463604</v>
      </c>
      <c r="AA6" s="25">
        <f>IF('Assumptions and Parameters'!$B$108&gt;'Revenue Projections'!AA2,0,(((('Assumptions and Parameters'!$B$64*'Assumptions and Parameters'!$B$65*'Assumptions and Parameters'!$B$67*'Assumptions and Parameters'!$B$68)*(1+'Assumptions and Parameters'!$B$66/100)^(AA2-$B$2))+
(('Assumptions and Parameters'!$B$64*'Assumptions and Parameters'!$B$69*'Assumptions and Parameters'!$B$70*'Assumptions and Parameters'!$B$71)*(1+'Assumptions and Parameters'!$B$66/100)^(AA2-$B$2))+
(('Assumptions and Parameters'!$B$72*'Assumptions and Parameters'!$B$73*'Assumptions and Parameters'!$B$74)*(1+'Assumptions and Parameters'!$B$66/100)^(AA2-$B$2)))*'Assumptions and Parameters'!$B$61)*'Assumptions and Parameters'!$B$75)</f>
        <v>6811188.6575684808</v>
      </c>
      <c r="AB6" s="25">
        <f>IF('Assumptions and Parameters'!$B$108&gt;'Revenue Projections'!AB2,0,(((('Assumptions and Parameters'!$B$64*'Assumptions and Parameters'!$B$65*'Assumptions and Parameters'!$B$67*'Assumptions and Parameters'!$B$68)*(1+'Assumptions and Parameters'!$B$66/100)^(AB2-$B$2))+
(('Assumptions and Parameters'!$B$64*'Assumptions and Parameters'!$B$69*'Assumptions and Parameters'!$B$70*'Assumptions and Parameters'!$B$71)*(1+'Assumptions and Parameters'!$B$66/100)^(AB2-$B$2))+
(('Assumptions and Parameters'!$B$72*'Assumptions and Parameters'!$B$73*'Assumptions and Parameters'!$B$74)*(1+'Assumptions and Parameters'!$B$66/100)^(AB2-$B$2)))*'Assumptions and Parameters'!$B$61)*'Assumptions and Parameters'!$B$75)</f>
        <v>7049580.2605833784</v>
      </c>
      <c r="AC6" s="25">
        <f>IF('Assumptions and Parameters'!$B$108&gt;'Revenue Projections'!AC2,0,(((('Assumptions and Parameters'!$B$64*'Assumptions and Parameters'!$B$65*'Assumptions and Parameters'!$B$67*'Assumptions and Parameters'!$B$68)*(1+'Assumptions and Parameters'!$B$66/100)^(AC2-$B$2))+
(('Assumptions and Parameters'!$B$64*'Assumptions and Parameters'!$B$69*'Assumptions and Parameters'!$B$70*'Assumptions and Parameters'!$B$71)*(1+'Assumptions and Parameters'!$B$66/100)^(AC2-$B$2))+
(('Assumptions and Parameters'!$B$72*'Assumptions and Parameters'!$B$73*'Assumptions and Parameters'!$B$74)*(1+'Assumptions and Parameters'!$B$66/100)^(AC2-$B$2)))*'Assumptions and Parameters'!$B$61)*'Assumptions and Parameters'!$B$75)</f>
        <v>7296315.5697037978</v>
      </c>
      <c r="AD6" s="25">
        <f>IF('Assumptions and Parameters'!$B$108&gt;'Revenue Projections'!AD2,0,(((('Assumptions and Parameters'!$B$64*'Assumptions and Parameters'!$B$65*'Assumptions and Parameters'!$B$67*'Assumptions and Parameters'!$B$68)*(1+'Assumptions and Parameters'!$B$66/100)^(AD2-$B$2))+
(('Assumptions and Parameters'!$B$64*'Assumptions and Parameters'!$B$69*'Assumptions and Parameters'!$B$70*'Assumptions and Parameters'!$B$71)*(1+'Assumptions and Parameters'!$B$66/100)^(AD2-$B$2))+
(('Assumptions and Parameters'!$B$72*'Assumptions and Parameters'!$B$73*'Assumptions and Parameters'!$B$74)*(1+'Assumptions and Parameters'!$B$66/100)^(AD2-$B$2)))*'Assumptions and Parameters'!$B$61)*'Assumptions and Parameters'!$B$75)</f>
        <v>7551686.6146434294</v>
      </c>
      <c r="AE6" s="25">
        <f>IF('Assumptions and Parameters'!$B$108&gt;'Revenue Projections'!AE2,0,(((('Assumptions and Parameters'!$B$64*'Assumptions and Parameters'!$B$65*'Assumptions and Parameters'!$B$67*'Assumptions and Parameters'!$B$68)*(1+'Assumptions and Parameters'!$B$66/100)^(AE2-$B$2))+
(('Assumptions and Parameters'!$B$64*'Assumptions and Parameters'!$B$69*'Assumptions and Parameters'!$B$70*'Assumptions and Parameters'!$B$71)*(1+'Assumptions and Parameters'!$B$66/100)^(AE2-$B$2))+
(('Assumptions and Parameters'!$B$72*'Assumptions and Parameters'!$B$73*'Assumptions and Parameters'!$B$74)*(1+'Assumptions and Parameters'!$B$66/100)^(AE2-$B$2)))*'Assumptions and Parameters'!$B$61)*'Assumptions and Parameters'!$B$75)</f>
        <v>7815995.6461559488</v>
      </c>
      <c r="AF6" s="25">
        <f>IF('Assumptions and Parameters'!$B$108&gt;'Revenue Projections'!AF2,0,(((('Assumptions and Parameters'!$B$64*'Assumptions and Parameters'!$B$65*'Assumptions and Parameters'!$B$67*'Assumptions and Parameters'!$B$68)*(1+'Assumptions and Parameters'!$B$66/100)^(AF2-$B$2))+
(('Assumptions and Parameters'!$B$64*'Assumptions and Parameters'!$B$69*'Assumptions and Parameters'!$B$70*'Assumptions and Parameters'!$B$71)*(1+'Assumptions and Parameters'!$B$66/100)^(AF2-$B$2))+
(('Assumptions and Parameters'!$B$72*'Assumptions and Parameters'!$B$73*'Assumptions and Parameters'!$B$74)*(1+'Assumptions and Parameters'!$B$66/100)^(AF2-$B$2)))*'Assumptions and Parameters'!$B$61)*'Assumptions and Parameters'!$B$75)</f>
        <v>8089555.4937714059</v>
      </c>
      <c r="AG6" s="25">
        <f>IF('Assumptions and Parameters'!$B$108&gt;'Revenue Projections'!AG2,0,(((('Assumptions and Parameters'!$B$64*'Assumptions and Parameters'!$B$65*'Assumptions and Parameters'!$B$67*'Assumptions and Parameters'!$B$68)*(1+'Assumptions and Parameters'!$B$66/100)^(AG2-$B$2))+
(('Assumptions and Parameters'!$B$64*'Assumptions and Parameters'!$B$69*'Assumptions and Parameters'!$B$70*'Assumptions and Parameters'!$B$71)*(1+'Assumptions and Parameters'!$B$66/100)^(AG2-$B$2))+
(('Assumptions and Parameters'!$B$72*'Assumptions and Parameters'!$B$73*'Assumptions and Parameters'!$B$74)*(1+'Assumptions and Parameters'!$B$66/100)^(AG2-$B$2)))*'Assumptions and Parameters'!$B$61)*'Assumptions and Parameters'!$B$75)</f>
        <v>8372689.9360534055</v>
      </c>
      <c r="AH6" s="25">
        <f>IF('Assumptions and Parameters'!$B$108&gt;'Revenue Projections'!AH2,0,(((('Assumptions and Parameters'!$B$64*'Assumptions and Parameters'!$B$65*'Assumptions and Parameters'!$B$67*'Assumptions and Parameters'!$B$68)*(1+'Assumptions and Parameters'!$B$66/100)^(AH2-$B$2))+
(('Assumptions and Parameters'!$B$64*'Assumptions and Parameters'!$B$69*'Assumptions and Parameters'!$B$70*'Assumptions and Parameters'!$B$71)*(1+'Assumptions and Parameters'!$B$66/100)^(AH2-$B$2))+
(('Assumptions and Parameters'!$B$72*'Assumptions and Parameters'!$B$73*'Assumptions and Parameters'!$B$74)*(1+'Assumptions and Parameters'!$B$66/100)^(AH2-$B$2)))*'Assumptions and Parameters'!$B$61)*'Assumptions and Parameters'!$B$75)</f>
        <v>8665734.083815271</v>
      </c>
      <c r="AI6" s="25">
        <f>IF('Assumptions and Parameters'!$B$108&gt;'Revenue Projections'!AI2,0,(((('Assumptions and Parameters'!$B$64*'Assumptions and Parameters'!$B$65*'Assumptions and Parameters'!$B$67*'Assumptions and Parameters'!$B$68)*(1+'Assumptions and Parameters'!$B$66/100)^(AI2-$B$2))+
(('Assumptions and Parameters'!$B$64*'Assumptions and Parameters'!$B$69*'Assumptions and Parameters'!$B$70*'Assumptions and Parameters'!$B$71)*(1+'Assumptions and Parameters'!$B$66/100)^(AI2-$B$2))+
(('Assumptions and Parameters'!$B$72*'Assumptions and Parameters'!$B$73*'Assumptions and Parameters'!$B$74)*(1+'Assumptions and Parameters'!$B$66/100)^(AI2-$B$2)))*'Assumptions and Parameters'!$B$61)*'Assumptions and Parameters'!$B$75)</f>
        <v>8969034.7767488062</v>
      </c>
      <c r="AJ6" s="25">
        <f>IF('Assumptions and Parameters'!$B$108&gt;'Revenue Projections'!AJ2,0,(((('Assumptions and Parameters'!$B$64*'Assumptions and Parameters'!$B$65*'Assumptions and Parameters'!$B$67*'Assumptions and Parameters'!$B$68)*(1+'Assumptions and Parameters'!$B$66/100)^(AJ2-$B$2))+
(('Assumptions and Parameters'!$B$64*'Assumptions and Parameters'!$B$69*'Assumptions and Parameters'!$B$70*'Assumptions and Parameters'!$B$71)*(1+'Assumptions and Parameters'!$B$66/100)^(AJ2-$B$2))+
(('Assumptions and Parameters'!$B$72*'Assumptions and Parameters'!$B$73*'Assumptions and Parameters'!$B$74)*(1+'Assumptions and Parameters'!$B$66/100)^(AJ2-$B$2)))*'Assumptions and Parameters'!$B$61)*'Assumptions and Parameters'!$B$75)</f>
        <v>9282950.9939350151</v>
      </c>
      <c r="AK6" s="5"/>
      <c r="AL6" s="5"/>
      <c r="AM6" s="5"/>
      <c r="AN6" s="5"/>
      <c r="AO6" s="5"/>
      <c r="AP6" s="5"/>
      <c r="AQ6" s="5"/>
      <c r="AR6" s="5"/>
      <c r="AS6" s="5"/>
      <c r="AT6" s="5"/>
      <c r="AU6" s="5"/>
      <c r="AV6" s="5"/>
    </row>
    <row r="7" spans="1:48" ht="18" x14ac:dyDescent="0.35">
      <c r="A7" s="5" t="s">
        <v>22</v>
      </c>
      <c r="B7" s="25">
        <f>IF('Assumptions and Parameters'!$B$107&gt;'Revenue Projections'!B2,0,(((('Assumptions and Parameters'!$B$78*'Assumptions and Parameters'!$B$79*'Assumptions and Parameters'!$B$81*'Assumptions and Parameters'!$B$82)*(1+'Assumptions and Parameters'!$B$80/100)^(B2-$B$2))+
(('Assumptions and Parameters'!$B$78*'Assumptions and Parameters'!$B$83*'Assumptions and Parameters'!$B$84*'Assumptions and Parameters'!$B$85)*(1+'Assumptions and Parameters'!$B$80/100)^(B2-$B$2))+
(('Assumptions and Parameters'!$B$86*'Assumptions and Parameters'!$B$87*'Assumptions and Parameters'!$B$88)*(1+'Assumptions and Parameters'!$B$80/100)^(B2-$B$2)))*'Assumptions and Parameters'!$B$61)*'Assumptions and Parameters'!$B$89)</f>
        <v>0</v>
      </c>
      <c r="C7" s="25">
        <f>IF('Assumptions and Parameters'!$B$107&gt;'Revenue Projections'!C2,0,(((('Assumptions and Parameters'!$B$78*'Assumptions and Parameters'!$B$79*'Assumptions and Parameters'!$B$81*'Assumptions and Parameters'!$B$82)*(1+'Assumptions and Parameters'!$B$80/100)^(C2-$B$2))+
(('Assumptions and Parameters'!$B$78*'Assumptions and Parameters'!$B$83*'Assumptions and Parameters'!$B$84*'Assumptions and Parameters'!$B$85)*(1+'Assumptions and Parameters'!$B$80/100)^(C2-$B$2))+
(('Assumptions and Parameters'!$B$86*'Assumptions and Parameters'!$B$87*'Assumptions and Parameters'!$B$88)*(1+'Assumptions and Parameters'!$B$80/100)^(C2-$B$2)))*'Assumptions and Parameters'!$B$61)*'Assumptions and Parameters'!$B$89)</f>
        <v>2587623.6628800002</v>
      </c>
      <c r="D7" s="25">
        <f>IF('Assumptions and Parameters'!$B$107&gt;'Revenue Projections'!D2,0,(((('Assumptions and Parameters'!$B$78*'Assumptions and Parameters'!$B$79*'Assumptions and Parameters'!$B$81*'Assumptions and Parameters'!$B$82)*(1+'Assumptions and Parameters'!$B$80/100)^(D2-$B$2))+
(('Assumptions and Parameters'!$B$78*'Assumptions and Parameters'!$B$83*'Assumptions and Parameters'!$B$84*'Assumptions and Parameters'!$B$85)*(1+'Assumptions and Parameters'!$B$80/100)^(D2-$B$2))+
(('Assumptions and Parameters'!$B$86*'Assumptions and Parameters'!$B$87*'Assumptions and Parameters'!$B$88)*(1+'Assumptions and Parameters'!$B$80/100)^(D2-$B$2)))*'Assumptions and Parameters'!$B$61)*'Assumptions and Parameters'!$B$89)</f>
        <v>2639376.1361376001</v>
      </c>
      <c r="E7" s="25">
        <f>IF('Assumptions and Parameters'!$B$107&gt;'Revenue Projections'!E2,0,(((('Assumptions and Parameters'!$B$78*'Assumptions and Parameters'!$B$79*'Assumptions and Parameters'!$B$81*'Assumptions and Parameters'!$B$82)*(1+'Assumptions and Parameters'!$B$80/100)^(E2-$B$2))+
(('Assumptions and Parameters'!$B$78*'Assumptions and Parameters'!$B$83*'Assumptions and Parameters'!$B$84*'Assumptions and Parameters'!$B$85)*(1+'Assumptions and Parameters'!$B$80/100)^(E2-$B$2))+
(('Assumptions and Parameters'!$B$86*'Assumptions and Parameters'!$B$87*'Assumptions and Parameters'!$B$88)*(1+'Assumptions and Parameters'!$B$80/100)^(E2-$B$2)))*'Assumptions and Parameters'!$B$61)*'Assumptions and Parameters'!$B$89)</f>
        <v>2692163.6588603524</v>
      </c>
      <c r="F7" s="25">
        <f>IF('Assumptions and Parameters'!$B$107&gt;'Revenue Projections'!F2,0,(((('Assumptions and Parameters'!$B$78*'Assumptions and Parameters'!$B$79*'Assumptions and Parameters'!$B$81*'Assumptions and Parameters'!$B$82)*(1+'Assumptions and Parameters'!$B$80/100)^(F2-$B$2))+
(('Assumptions and Parameters'!$B$78*'Assumptions and Parameters'!$B$83*'Assumptions and Parameters'!$B$84*'Assumptions and Parameters'!$B$85)*(1+'Assumptions and Parameters'!$B$80/100)^(F2-$B$2))+
(('Assumptions and Parameters'!$B$86*'Assumptions and Parameters'!$B$87*'Assumptions and Parameters'!$B$88)*(1+'Assumptions and Parameters'!$B$80/100)^(F2-$B$2)))*'Assumptions and Parameters'!$B$61)*'Assumptions and Parameters'!$B$89)</f>
        <v>2746006.9320375589</v>
      </c>
      <c r="G7" s="25">
        <f>IF('Assumptions and Parameters'!$B$107&gt;'Revenue Projections'!G2,0,(((('Assumptions and Parameters'!$B$78*'Assumptions and Parameters'!$B$79*'Assumptions and Parameters'!$B$81*'Assumptions and Parameters'!$B$82)*(1+'Assumptions and Parameters'!$B$80/100)^(G2-$B$2))+
(('Assumptions and Parameters'!$B$78*'Assumptions and Parameters'!$B$83*'Assumptions and Parameters'!$B$84*'Assumptions and Parameters'!$B$85)*(1+'Assumptions and Parameters'!$B$80/100)^(G2-$B$2))+
(('Assumptions and Parameters'!$B$86*'Assumptions and Parameters'!$B$87*'Assumptions and Parameters'!$B$88)*(1+'Assumptions and Parameters'!$B$80/100)^(G2-$B$2)))*'Assumptions and Parameters'!$B$61)*'Assumptions and Parameters'!$B$89)</f>
        <v>2800927.0706783105</v>
      </c>
      <c r="H7" s="25">
        <f>IF('Assumptions and Parameters'!$B$107&gt;'Revenue Projections'!H2,0,(((('Assumptions and Parameters'!$B$78*'Assumptions and Parameters'!$B$79*'Assumptions and Parameters'!$B$81*'Assumptions and Parameters'!$B$82)*(1+'Assumptions and Parameters'!$B$80/100)^(H2-$B$2))+
(('Assumptions and Parameters'!$B$78*'Assumptions and Parameters'!$B$83*'Assumptions and Parameters'!$B$84*'Assumptions and Parameters'!$B$85)*(1+'Assumptions and Parameters'!$B$80/100)^(H2-$B$2))+
(('Assumptions and Parameters'!$B$86*'Assumptions and Parameters'!$B$87*'Assumptions and Parameters'!$B$88)*(1+'Assumptions and Parameters'!$B$80/100)^(H2-$B$2)))*'Assumptions and Parameters'!$B$61)*'Assumptions and Parameters'!$B$89)</f>
        <v>2856945.612091877</v>
      </c>
      <c r="I7" s="25">
        <f>IF('Assumptions and Parameters'!$B$107&gt;'Revenue Projections'!I2,0,(((('Assumptions and Parameters'!$B$78*'Assumptions and Parameters'!$B$79*'Assumptions and Parameters'!$B$81*'Assumptions and Parameters'!$B$82)*(1+'Assumptions and Parameters'!$B$80/100)^(I2-$B$2))+
(('Assumptions and Parameters'!$B$78*'Assumptions and Parameters'!$B$83*'Assumptions and Parameters'!$B$84*'Assumptions and Parameters'!$B$85)*(1+'Assumptions and Parameters'!$B$80/100)^(I2-$B$2))+
(('Assumptions and Parameters'!$B$86*'Assumptions and Parameters'!$B$87*'Assumptions and Parameters'!$B$88)*(1+'Assumptions and Parameters'!$B$80/100)^(I2-$B$2)))*'Assumptions and Parameters'!$B$61)*'Assumptions and Parameters'!$B$89)</f>
        <v>2914084.524333714</v>
      </c>
      <c r="J7" s="25">
        <f>IF('Assumptions and Parameters'!$B$107&gt;'Revenue Projections'!J2,0,(((('Assumptions and Parameters'!$B$78*'Assumptions and Parameters'!$B$79*'Assumptions and Parameters'!$B$81*'Assumptions and Parameters'!$B$82)*(1+'Assumptions and Parameters'!$B$80/100)^(J2-$B$2))+
(('Assumptions and Parameters'!$B$78*'Assumptions and Parameters'!$B$83*'Assumptions and Parameters'!$B$84*'Assumptions and Parameters'!$B$85)*(1+'Assumptions and Parameters'!$B$80/100)^(J2-$B$2))+
(('Assumptions and Parameters'!$B$86*'Assumptions and Parameters'!$B$87*'Assumptions and Parameters'!$B$88)*(1+'Assumptions and Parameters'!$B$80/100)^(J2-$B$2)))*'Assumptions and Parameters'!$B$61)*'Assumptions and Parameters'!$B$89)</f>
        <v>2972366.2148203882</v>
      </c>
      <c r="K7" s="25">
        <f>IF('Assumptions and Parameters'!$B$107&gt;'Revenue Projections'!K2,0,(((('Assumptions and Parameters'!$B$78*'Assumptions and Parameters'!$B$79*'Assumptions and Parameters'!$B$81*'Assumptions and Parameters'!$B$82)*(1+'Assumptions and Parameters'!$B$80/100)^(K2-$B$2))+
(('Assumptions and Parameters'!$B$78*'Assumptions and Parameters'!$B$83*'Assumptions and Parameters'!$B$84*'Assumptions and Parameters'!$B$85)*(1+'Assumptions and Parameters'!$B$80/100)^(K2-$B$2))+
(('Assumptions and Parameters'!$B$86*'Assumptions and Parameters'!$B$87*'Assumptions and Parameters'!$B$88)*(1+'Assumptions and Parameters'!$B$80/100)^(K2-$B$2)))*'Assumptions and Parameters'!$B$61)*'Assumptions and Parameters'!$B$89)</f>
        <v>3031813.5391167961</v>
      </c>
      <c r="L7" s="25">
        <f>IF('Assumptions and Parameters'!$B$107&gt;'Revenue Projections'!L2,0,(((('Assumptions and Parameters'!$B$78*'Assumptions and Parameters'!$B$79*'Assumptions and Parameters'!$B$81*'Assumptions and Parameters'!$B$82)*(1+'Assumptions and Parameters'!$B$80/100)^(L2-$B$2))+
(('Assumptions and Parameters'!$B$78*'Assumptions and Parameters'!$B$83*'Assumptions and Parameters'!$B$84*'Assumptions and Parameters'!$B$85)*(1+'Assumptions and Parameters'!$B$80/100)^(L2-$B$2))+
(('Assumptions and Parameters'!$B$86*'Assumptions and Parameters'!$B$87*'Assumptions and Parameters'!$B$88)*(1+'Assumptions and Parameters'!$B$80/100)^(L2-$B$2)))*'Assumptions and Parameters'!$B$61)*'Assumptions and Parameters'!$B$89)</f>
        <v>3092449.8098991318</v>
      </c>
      <c r="M7" s="25">
        <f>IF('Assumptions and Parameters'!$B$107&gt;'Revenue Projections'!M2,0,(((('Assumptions and Parameters'!$B$78*'Assumptions and Parameters'!$B$79*'Assumptions and Parameters'!$B$81*'Assumptions and Parameters'!$B$82)*(1+'Assumptions and Parameters'!$B$80/100)^(M2-$B$2))+
(('Assumptions and Parameters'!$B$78*'Assumptions and Parameters'!$B$83*'Assumptions and Parameters'!$B$84*'Assumptions and Parameters'!$B$85)*(1+'Assumptions and Parameters'!$B$80/100)^(M2-$B$2))+
(('Assumptions and Parameters'!$B$86*'Assumptions and Parameters'!$B$87*'Assumptions and Parameters'!$B$88)*(1+'Assumptions and Parameters'!$B$80/100)^(M2-$B$2)))*'Assumptions and Parameters'!$B$61)*'Assumptions and Parameters'!$B$89)</f>
        <v>3154298.806097114</v>
      </c>
      <c r="N7" s="25">
        <f>IF('Assumptions and Parameters'!$B$107&gt;'Revenue Projections'!N2,0,(((('Assumptions and Parameters'!$B$78*'Assumptions and Parameters'!$B$79*'Assumptions and Parameters'!$B$81*'Assumptions and Parameters'!$B$82)*(1+'Assumptions and Parameters'!$B$80/100)^(N2-$B$2))+
(('Assumptions and Parameters'!$B$78*'Assumptions and Parameters'!$B$83*'Assumptions and Parameters'!$B$84*'Assumptions and Parameters'!$B$85)*(1+'Assumptions and Parameters'!$B$80/100)^(N2-$B$2))+
(('Assumptions and Parameters'!$B$86*'Assumptions and Parameters'!$B$87*'Assumptions and Parameters'!$B$88)*(1+'Assumptions and Parameters'!$B$80/100)^(N2-$B$2)))*'Assumptions and Parameters'!$B$61)*'Assumptions and Parameters'!$B$89)</f>
        <v>3217384.7822190565</v>
      </c>
      <c r="O7" s="25">
        <f>IF('Assumptions and Parameters'!$B$107&gt;'Revenue Projections'!O2,0,(((('Assumptions and Parameters'!$B$78*'Assumptions and Parameters'!$B$79*'Assumptions and Parameters'!$B$81*'Assumptions and Parameters'!$B$82)*(1+'Assumptions and Parameters'!$B$80/100)^(O2-$B$2))+
(('Assumptions and Parameters'!$B$78*'Assumptions and Parameters'!$B$83*'Assumptions and Parameters'!$B$84*'Assumptions and Parameters'!$B$85)*(1+'Assumptions and Parameters'!$B$80/100)^(O2-$B$2))+
(('Assumptions and Parameters'!$B$86*'Assumptions and Parameters'!$B$87*'Assumptions and Parameters'!$B$88)*(1+'Assumptions and Parameters'!$B$80/100)^(O2-$B$2)))*'Assumptions and Parameters'!$B$61)*'Assumptions and Parameters'!$B$89)</f>
        <v>3281732.4778634375</v>
      </c>
      <c r="P7" s="25">
        <f>IF('Assumptions and Parameters'!$B$107&gt;'Revenue Projections'!P2,0,(((('Assumptions and Parameters'!$B$78*'Assumptions and Parameters'!$B$79*'Assumptions and Parameters'!$B$81*'Assumptions and Parameters'!$B$82)*(1+'Assumptions and Parameters'!$B$80/100)^(P2-$B$2))+
(('Assumptions and Parameters'!$B$78*'Assumptions and Parameters'!$B$83*'Assumptions and Parameters'!$B$84*'Assumptions and Parameters'!$B$85)*(1+'Assumptions and Parameters'!$B$80/100)^(P2-$B$2))+
(('Assumptions and Parameters'!$B$86*'Assumptions and Parameters'!$B$87*'Assumptions and Parameters'!$B$88)*(1+'Assumptions and Parameters'!$B$80/100)^(P2-$B$2)))*'Assumptions and Parameters'!$B$61)*'Assumptions and Parameters'!$B$89)</f>
        <v>3347367.1274207067</v>
      </c>
      <c r="Q7" s="25">
        <f>IF('Assumptions and Parameters'!$B$107&gt;'Revenue Projections'!Q2,0,(((('Assumptions and Parameters'!$B$78*'Assumptions and Parameters'!$B$79*'Assumptions and Parameters'!$B$81*'Assumptions and Parameters'!$B$82)*(1+'Assumptions and Parameters'!$B$80/100)^(Q2-$B$2))+
(('Assumptions and Parameters'!$B$78*'Assumptions and Parameters'!$B$83*'Assumptions and Parameters'!$B$84*'Assumptions and Parameters'!$B$85)*(1+'Assumptions and Parameters'!$B$80/100)^(Q2-$B$2))+
(('Assumptions and Parameters'!$B$86*'Assumptions and Parameters'!$B$87*'Assumptions and Parameters'!$B$88)*(1+'Assumptions and Parameters'!$B$80/100)^(Q2-$B$2)))*'Assumptions and Parameters'!$B$61)*'Assumptions and Parameters'!$B$89)</f>
        <v>3414314.4699691199</v>
      </c>
      <c r="R7" s="25">
        <f>IF('Assumptions and Parameters'!$B$107&gt;'Revenue Projections'!R2,0,(((('Assumptions and Parameters'!$B$78*'Assumptions and Parameters'!$B$79*'Assumptions and Parameters'!$B$81*'Assumptions and Parameters'!$B$82)*(1+'Assumptions and Parameters'!$B$80/100)^(R2-$B$2))+
(('Assumptions and Parameters'!$B$78*'Assumptions and Parameters'!$B$83*'Assumptions and Parameters'!$B$84*'Assumptions and Parameters'!$B$85)*(1+'Assumptions and Parameters'!$B$80/100)^(R2-$B$2))+
(('Assumptions and Parameters'!$B$86*'Assumptions and Parameters'!$B$87*'Assumptions and Parameters'!$B$88)*(1+'Assumptions and Parameters'!$B$80/100)^(R2-$B$2)))*'Assumptions and Parameters'!$B$61)*'Assumptions and Parameters'!$B$89)</f>
        <v>3482600.7593685025</v>
      </c>
      <c r="S7" s="25">
        <f>IF('Assumptions and Parameters'!$B$107&gt;'Revenue Projections'!S2,0,(((('Assumptions and Parameters'!$B$78*'Assumptions and Parameters'!$B$79*'Assumptions and Parameters'!$B$81*'Assumptions and Parameters'!$B$82)*(1+'Assumptions and Parameters'!$B$80/100)^(S2-$B$2))+
(('Assumptions and Parameters'!$B$78*'Assumptions and Parameters'!$B$83*'Assumptions and Parameters'!$B$84*'Assumptions and Parameters'!$B$85)*(1+'Assumptions and Parameters'!$B$80/100)^(S2-$B$2))+
(('Assumptions and Parameters'!$B$86*'Assumptions and Parameters'!$B$87*'Assumptions and Parameters'!$B$88)*(1+'Assumptions and Parameters'!$B$80/100)^(S2-$B$2)))*'Assumptions and Parameters'!$B$61)*'Assumptions and Parameters'!$B$89)</f>
        <v>3552252.7745558736</v>
      </c>
      <c r="T7" s="25">
        <f>IF('Assumptions and Parameters'!$B$107&gt;'Revenue Projections'!T2,0,(((('Assumptions and Parameters'!$B$78*'Assumptions and Parameters'!$B$79*'Assumptions and Parameters'!$B$81*'Assumptions and Parameters'!$B$82)*(1+'Assumptions and Parameters'!$B$80/100)^(T2-$B$2))+
(('Assumptions and Parameters'!$B$78*'Assumptions and Parameters'!$B$83*'Assumptions and Parameters'!$B$84*'Assumptions and Parameters'!$B$85)*(1+'Assumptions and Parameters'!$B$80/100)^(T2-$B$2))+
(('Assumptions and Parameters'!$B$86*'Assumptions and Parameters'!$B$87*'Assumptions and Parameters'!$B$88)*(1+'Assumptions and Parameters'!$B$80/100)^(T2-$B$2)))*'Assumptions and Parameters'!$B$61)*'Assumptions and Parameters'!$B$89)</f>
        <v>3623297.83004699</v>
      </c>
      <c r="U7" s="25">
        <f>IF('Assumptions and Parameters'!$B$107&gt;'Revenue Projections'!U2,0,(((('Assumptions and Parameters'!$B$78*'Assumptions and Parameters'!$B$79*'Assumptions and Parameters'!$B$81*'Assumptions and Parameters'!$B$82)*(1+'Assumptions and Parameters'!$B$80/100)^(U2-$B$2))+
(('Assumptions and Parameters'!$B$78*'Assumptions and Parameters'!$B$83*'Assumptions and Parameters'!$B$84*'Assumptions and Parameters'!$B$85)*(1+'Assumptions and Parameters'!$B$80/100)^(U2-$B$2))+
(('Assumptions and Parameters'!$B$86*'Assumptions and Parameters'!$B$87*'Assumptions and Parameters'!$B$88)*(1+'Assumptions and Parameters'!$B$80/100)^(U2-$B$2)))*'Assumptions and Parameters'!$B$61)*'Assumptions and Parameters'!$B$89)</f>
        <v>3695763.7866479298</v>
      </c>
      <c r="V7" s="25">
        <f>IF('Assumptions and Parameters'!$B$107&gt;'Revenue Projections'!V2,0,(((('Assumptions and Parameters'!$B$78*'Assumptions and Parameters'!$B$79*'Assumptions and Parameters'!$B$81*'Assumptions and Parameters'!$B$82)*(1+'Assumptions and Parameters'!$B$80/100)^(V2-$B$2))+
(('Assumptions and Parameters'!$B$78*'Assumptions and Parameters'!$B$83*'Assumptions and Parameters'!$B$84*'Assumptions and Parameters'!$B$85)*(1+'Assumptions and Parameters'!$B$80/100)^(V2-$B$2))+
(('Assumptions and Parameters'!$B$86*'Assumptions and Parameters'!$B$87*'Assumptions and Parameters'!$B$88)*(1+'Assumptions and Parameters'!$B$80/100)^(V2-$B$2)))*'Assumptions and Parameters'!$B$61)*'Assumptions and Parameters'!$B$89)</f>
        <v>3769679.0623808894</v>
      </c>
      <c r="W7" s="25">
        <f>IF('Assumptions and Parameters'!$B$107&gt;'Revenue Projections'!W2,0,(((('Assumptions and Parameters'!$B$78*'Assumptions and Parameters'!$B$79*'Assumptions and Parameters'!$B$81*'Assumptions and Parameters'!$B$82)*(1+'Assumptions and Parameters'!$B$80/100)^(W2-$B$2))+
(('Assumptions and Parameters'!$B$78*'Assumptions and Parameters'!$B$83*'Assumptions and Parameters'!$B$84*'Assumptions and Parameters'!$B$85)*(1+'Assumptions and Parameters'!$B$80/100)^(W2-$B$2))+
(('Assumptions and Parameters'!$B$86*'Assumptions and Parameters'!$B$87*'Assumptions and Parameters'!$B$88)*(1+'Assumptions and Parameters'!$B$80/100)^(W2-$B$2)))*'Assumptions and Parameters'!$B$61)*'Assumptions and Parameters'!$B$89)</f>
        <v>3845072.6436285065</v>
      </c>
      <c r="X7" s="25">
        <f>IF('Assumptions and Parameters'!$B$107&gt;'Revenue Projections'!X2,0,(((('Assumptions and Parameters'!$B$78*'Assumptions and Parameters'!$B$79*'Assumptions and Parameters'!$B$81*'Assumptions and Parameters'!$B$82)*(1+'Assumptions and Parameters'!$B$80/100)^(X2-$B$2))+
(('Assumptions and Parameters'!$B$78*'Assumptions and Parameters'!$B$83*'Assumptions and Parameters'!$B$84*'Assumptions and Parameters'!$B$85)*(1+'Assumptions and Parameters'!$B$80/100)^(X2-$B$2))+
(('Assumptions and Parameters'!$B$86*'Assumptions and Parameters'!$B$87*'Assumptions and Parameters'!$B$88)*(1+'Assumptions and Parameters'!$B$80/100)^(X2-$B$2)))*'Assumptions and Parameters'!$B$61)*'Assumptions and Parameters'!$B$89)</f>
        <v>3921974.0965010771</v>
      </c>
      <c r="Y7" s="25">
        <f>IF('Assumptions and Parameters'!$B$107&gt;'Revenue Projections'!Y2,0,(((('Assumptions and Parameters'!$B$78*'Assumptions and Parameters'!$B$79*'Assumptions and Parameters'!$B$81*'Assumptions and Parameters'!$B$82)*(1+'Assumptions and Parameters'!$B$80/100)^(Y2-$B$2))+
(('Assumptions and Parameters'!$B$78*'Assumptions and Parameters'!$B$83*'Assumptions and Parameters'!$B$84*'Assumptions and Parameters'!$B$85)*(1+'Assumptions and Parameters'!$B$80/100)^(Y2-$B$2))+
(('Assumptions and Parameters'!$B$86*'Assumptions and Parameters'!$B$87*'Assumptions and Parameters'!$B$88)*(1+'Assumptions and Parameters'!$B$80/100)^(Y2-$B$2)))*'Assumptions and Parameters'!$B$61)*'Assumptions and Parameters'!$B$89)</f>
        <v>4000413.5784310978</v>
      </c>
      <c r="Z7" s="25">
        <f>IF('Assumptions and Parameters'!$B$107&gt;'Revenue Projections'!Z2,0,(((('Assumptions and Parameters'!$B$78*'Assumptions and Parameters'!$B$79*'Assumptions and Parameters'!$B$81*'Assumptions and Parameters'!$B$82)*(1+'Assumptions and Parameters'!$B$80/100)^(Z2-$B$2))+
(('Assumptions and Parameters'!$B$78*'Assumptions and Parameters'!$B$83*'Assumptions and Parameters'!$B$84*'Assumptions and Parameters'!$B$85)*(1+'Assumptions and Parameters'!$B$80/100)^(Z2-$B$2))+
(('Assumptions and Parameters'!$B$86*'Assumptions and Parameters'!$B$87*'Assumptions and Parameters'!$B$88)*(1+'Assumptions and Parameters'!$B$80/100)^(Z2-$B$2)))*'Assumptions and Parameters'!$B$61)*'Assumptions and Parameters'!$B$89)</f>
        <v>4080421.8499997198</v>
      </c>
      <c r="AA7" s="25">
        <f>IF('Assumptions and Parameters'!$B$107&gt;'Revenue Projections'!AA2,0,(((('Assumptions and Parameters'!$B$78*'Assumptions and Parameters'!$B$79*'Assumptions and Parameters'!$B$81*'Assumptions and Parameters'!$B$82)*(1+'Assumptions and Parameters'!$B$80/100)^(AA2-$B$2))+
(('Assumptions and Parameters'!$B$78*'Assumptions and Parameters'!$B$83*'Assumptions and Parameters'!$B$84*'Assumptions and Parameters'!$B$85)*(1+'Assumptions and Parameters'!$B$80/100)^(AA2-$B$2))+
(('Assumptions and Parameters'!$B$86*'Assumptions and Parameters'!$B$87*'Assumptions and Parameters'!$B$88)*(1+'Assumptions and Parameters'!$B$80/100)^(AA2-$B$2)))*'Assumptions and Parameters'!$B$61)*'Assumptions and Parameters'!$B$89)</f>
        <v>4162030.2869997146</v>
      </c>
      <c r="AB7" s="25">
        <f>IF('Assumptions and Parameters'!$B$107&gt;'Revenue Projections'!AB2,0,(((('Assumptions and Parameters'!$B$78*'Assumptions and Parameters'!$B$79*'Assumptions and Parameters'!$B$81*'Assumptions and Parameters'!$B$82)*(1+'Assumptions and Parameters'!$B$80/100)^(AB2-$B$2))+
(('Assumptions and Parameters'!$B$78*'Assumptions and Parameters'!$B$83*'Assumptions and Parameters'!$B$84*'Assumptions and Parameters'!$B$85)*(1+'Assumptions and Parameters'!$B$80/100)^(AB2-$B$2))+
(('Assumptions and Parameters'!$B$86*'Assumptions and Parameters'!$B$87*'Assumptions and Parameters'!$B$88)*(1+'Assumptions and Parameters'!$B$80/100)^(AB2-$B$2)))*'Assumptions and Parameters'!$B$61)*'Assumptions and Parameters'!$B$89)</f>
        <v>4245270.8927397085</v>
      </c>
      <c r="AC7" s="25">
        <f>IF('Assumptions and Parameters'!$B$107&gt;'Revenue Projections'!AC2,0,(((('Assumptions and Parameters'!$B$78*'Assumptions and Parameters'!$B$79*'Assumptions and Parameters'!$B$81*'Assumptions and Parameters'!$B$82)*(1+'Assumptions and Parameters'!$B$80/100)^(AC2-$B$2))+
(('Assumptions and Parameters'!$B$78*'Assumptions and Parameters'!$B$83*'Assumptions and Parameters'!$B$84*'Assumptions and Parameters'!$B$85)*(1+'Assumptions and Parameters'!$B$80/100)^(AC2-$B$2))+
(('Assumptions and Parameters'!$B$86*'Assumptions and Parameters'!$B$87*'Assumptions and Parameters'!$B$88)*(1+'Assumptions and Parameters'!$B$80/100)^(AC2-$B$2)))*'Assumptions and Parameters'!$B$61)*'Assumptions and Parameters'!$B$89)</f>
        <v>4330176.3105945028</v>
      </c>
      <c r="AD7" s="25">
        <f>IF('Assumptions and Parameters'!$B$107&gt;'Revenue Projections'!AD2,0,(((('Assumptions and Parameters'!$B$78*'Assumptions and Parameters'!$B$79*'Assumptions and Parameters'!$B$81*'Assumptions and Parameters'!$B$82)*(1+'Assumptions and Parameters'!$B$80/100)^(AD2-$B$2))+
(('Assumptions and Parameters'!$B$78*'Assumptions and Parameters'!$B$83*'Assumptions and Parameters'!$B$84*'Assumptions and Parameters'!$B$85)*(1+'Assumptions and Parameters'!$B$80/100)^(AD2-$B$2))+
(('Assumptions and Parameters'!$B$86*'Assumptions and Parameters'!$B$87*'Assumptions and Parameters'!$B$88)*(1+'Assumptions and Parameters'!$B$80/100)^(AD2-$B$2)))*'Assumptions and Parameters'!$B$61)*'Assumptions and Parameters'!$B$89)</f>
        <v>4416779.8368063923</v>
      </c>
      <c r="AE7" s="25">
        <f>IF('Assumptions and Parameters'!$B$107&gt;'Revenue Projections'!AE2,0,(((('Assumptions and Parameters'!$B$78*'Assumptions and Parameters'!$B$79*'Assumptions and Parameters'!$B$81*'Assumptions and Parameters'!$B$82)*(1+'Assumptions and Parameters'!$B$80/100)^(AE2-$B$2))+
(('Assumptions and Parameters'!$B$78*'Assumptions and Parameters'!$B$83*'Assumptions and Parameters'!$B$84*'Assumptions and Parameters'!$B$85)*(1+'Assumptions and Parameters'!$B$80/100)^(AE2-$B$2))+
(('Assumptions and Parameters'!$B$86*'Assumptions and Parameters'!$B$87*'Assumptions and Parameters'!$B$88)*(1+'Assumptions and Parameters'!$B$80/100)^(AE2-$B$2)))*'Assumptions and Parameters'!$B$61)*'Assumptions and Parameters'!$B$89)</f>
        <v>4505115.4335425207</v>
      </c>
      <c r="AF7" s="25">
        <f>IF('Assumptions and Parameters'!$B$107&gt;'Revenue Projections'!AF2,0,(((('Assumptions and Parameters'!$B$78*'Assumptions and Parameters'!$B$79*'Assumptions and Parameters'!$B$81*'Assumptions and Parameters'!$B$82)*(1+'Assumptions and Parameters'!$B$80/100)^(AF2-$B$2))+
(('Assumptions and Parameters'!$B$78*'Assumptions and Parameters'!$B$83*'Assumptions and Parameters'!$B$84*'Assumptions and Parameters'!$B$85)*(1+'Assumptions and Parameters'!$B$80/100)^(AF2-$B$2))+
(('Assumptions and Parameters'!$B$86*'Assumptions and Parameters'!$B$87*'Assumptions and Parameters'!$B$88)*(1+'Assumptions and Parameters'!$B$80/100)^(AF2-$B$2)))*'Assumptions and Parameters'!$B$61)*'Assumptions and Parameters'!$B$89)</f>
        <v>4595217.7422133703</v>
      </c>
      <c r="AG7" s="25">
        <f>IF('Assumptions and Parameters'!$B$107&gt;'Revenue Projections'!AG2,0,(((('Assumptions and Parameters'!$B$78*'Assumptions and Parameters'!$B$79*'Assumptions and Parameters'!$B$81*'Assumptions and Parameters'!$B$82)*(1+'Assumptions and Parameters'!$B$80/100)^(AG2-$B$2))+
(('Assumptions and Parameters'!$B$78*'Assumptions and Parameters'!$B$83*'Assumptions and Parameters'!$B$84*'Assumptions and Parameters'!$B$85)*(1+'Assumptions and Parameters'!$B$80/100)^(AG2-$B$2))+
(('Assumptions and Parameters'!$B$86*'Assumptions and Parameters'!$B$87*'Assumptions and Parameters'!$B$88)*(1+'Assumptions and Parameters'!$B$80/100)^(AG2-$B$2)))*'Assumptions and Parameters'!$B$61)*'Assumptions and Parameters'!$B$89)</f>
        <v>4687122.0970576378</v>
      </c>
      <c r="AH7" s="25">
        <f>IF('Assumptions and Parameters'!$B$107&gt;'Revenue Projections'!AH2,0,(((('Assumptions and Parameters'!$B$78*'Assumptions and Parameters'!$B$79*'Assumptions and Parameters'!$B$81*'Assumptions and Parameters'!$B$82)*(1+'Assumptions and Parameters'!$B$80/100)^(AH2-$B$2))+
(('Assumptions and Parameters'!$B$78*'Assumptions and Parameters'!$B$83*'Assumptions and Parameters'!$B$84*'Assumptions and Parameters'!$B$85)*(1+'Assumptions and Parameters'!$B$80/100)^(AH2-$B$2))+
(('Assumptions and Parameters'!$B$86*'Assumptions and Parameters'!$B$87*'Assumptions and Parameters'!$B$88)*(1+'Assumptions and Parameters'!$B$80/100)^(AH2-$B$2)))*'Assumptions and Parameters'!$B$61)*'Assumptions and Parameters'!$B$89)</f>
        <v>4780864.5389987919</v>
      </c>
      <c r="AI7" s="25">
        <f>IF('Assumptions and Parameters'!$B$107&gt;'Revenue Projections'!AI2,0,(((('Assumptions and Parameters'!$B$78*'Assumptions and Parameters'!$B$79*'Assumptions and Parameters'!$B$81*'Assumptions and Parameters'!$B$82)*(1+'Assumptions and Parameters'!$B$80/100)^(AI2-$B$2))+
(('Assumptions and Parameters'!$B$78*'Assumptions and Parameters'!$B$83*'Assumptions and Parameters'!$B$84*'Assumptions and Parameters'!$B$85)*(1+'Assumptions and Parameters'!$B$80/100)^(AI2-$B$2))+
(('Assumptions and Parameters'!$B$86*'Assumptions and Parameters'!$B$87*'Assumptions and Parameters'!$B$88)*(1+'Assumptions and Parameters'!$B$80/100)^(AI2-$B$2)))*'Assumptions and Parameters'!$B$61)*'Assumptions and Parameters'!$B$89)</f>
        <v>4876481.8297787681</v>
      </c>
      <c r="AJ7" s="25">
        <f>IF('Assumptions and Parameters'!$B$107&gt;'Revenue Projections'!AJ2,0,(((('Assumptions and Parameters'!$B$78*'Assumptions and Parameters'!$B$79*'Assumptions and Parameters'!$B$81*'Assumptions and Parameters'!$B$82)*(1+'Assumptions and Parameters'!$B$80/100)^(AJ2-$B$2))+
(('Assumptions and Parameters'!$B$78*'Assumptions and Parameters'!$B$83*'Assumptions and Parameters'!$B$84*'Assumptions and Parameters'!$B$85)*(1+'Assumptions and Parameters'!$B$80/100)^(AJ2-$B$2))+
(('Assumptions and Parameters'!$B$86*'Assumptions and Parameters'!$B$87*'Assumptions and Parameters'!$B$88)*(1+'Assumptions and Parameters'!$B$80/100)^(AJ2-$B$2)))*'Assumptions and Parameters'!$B$61)*'Assumptions and Parameters'!$B$89)</f>
        <v>4974011.4663743423</v>
      </c>
      <c r="AK7" s="5"/>
      <c r="AL7" s="5"/>
      <c r="AM7" s="5"/>
      <c r="AN7" s="5"/>
      <c r="AO7" s="5"/>
      <c r="AP7" s="5"/>
      <c r="AQ7" s="5"/>
      <c r="AR7" s="5"/>
      <c r="AS7" s="5"/>
      <c r="AT7" s="5"/>
      <c r="AU7" s="5"/>
      <c r="AV7" s="5"/>
    </row>
    <row r="8" spans="1:48" ht="19" customHeight="1" x14ac:dyDescent="0.35">
      <c r="A8" s="5" t="s">
        <v>23</v>
      </c>
      <c r="B8" s="26">
        <f>IF('Assumptions and Parameters'!$B$109&gt;'Revenue Projections'!B2,0,(((('Assumptions and Parameters'!$B$92*'Assumptions and Parameters'!$B$93*'Assumptions and Parameters'!$B$95*'Assumptions and Parameters'!$B$96)*(1+'Assumptions and Parameters'!$B$94/100)^(B2-$B$2))+
(('Assumptions and Parameters'!$B$92*'Assumptions and Parameters'!$B$97*'Assumptions and Parameters'!$B$98*'Assumptions and Parameters'!$B$99)*(1+'Assumptions and Parameters'!$B$94/100)^(B2-$B$2))+
(('Assumptions and Parameters'!$B$100*'Assumptions and Parameters'!$B$101*'Assumptions and Parameters'!$B$102)*(1+'Assumptions and Parameters'!$B$94/100)^(B2-$B$2)))*'Assumptions and Parameters'!$B$61)*'Assumptions and Parameters'!$B$103)</f>
        <v>0</v>
      </c>
      <c r="C8" s="26">
        <f>IF('Assumptions and Parameters'!$B$109&gt;'Revenue Projections'!C2,0,(((('Assumptions and Parameters'!$B$92*'Assumptions and Parameters'!$B$93*'Assumptions and Parameters'!$B$95*'Assumptions and Parameters'!$B$96)*(1+'Assumptions and Parameters'!$B$94/100)^(C2-$B$2))+
(('Assumptions and Parameters'!$B$92*'Assumptions and Parameters'!$B$97*'Assumptions and Parameters'!$B$98*'Assumptions and Parameters'!$B$99)*(1+'Assumptions and Parameters'!$B$94/100)^(C2-$B$2))+
(('Assumptions and Parameters'!$B$100*'Assumptions and Parameters'!$B$101*'Assumptions and Parameters'!$B$102)*(1+'Assumptions and Parameters'!$B$94/100)^(C2-$B$2)))*'Assumptions and Parameters'!$B$61)*'Assumptions and Parameters'!$B$103)</f>
        <v>760706.5</v>
      </c>
      <c r="D8" s="26">
        <f>IF('Assumptions and Parameters'!$B$109&gt;'Revenue Projections'!D2,0,(((('Assumptions and Parameters'!$B$92*'Assumptions and Parameters'!$B$93*'Assumptions and Parameters'!$B$95*'Assumptions and Parameters'!$B$96)*(1+'Assumptions and Parameters'!$B$94/100)^(D2-$B$2))+
(('Assumptions and Parameters'!$B$92*'Assumptions and Parameters'!$B$97*'Assumptions and Parameters'!$B$98*'Assumptions and Parameters'!$B$99)*(1+'Assumptions and Parameters'!$B$94/100)^(D2-$B$2))+
(('Assumptions and Parameters'!$B$100*'Assumptions and Parameters'!$B$101*'Assumptions and Parameters'!$B$102)*(1+'Assumptions and Parameters'!$B$94/100)^(D2-$B$2)))*'Assumptions and Parameters'!$B$61)*'Assumptions and Parameters'!$B$103)</f>
        <v>783527.69499999995</v>
      </c>
      <c r="E8" s="26">
        <f>IF('Assumptions and Parameters'!$B$109&gt;'Revenue Projections'!E2,0,(((('Assumptions and Parameters'!$B$92*'Assumptions and Parameters'!$B$93*'Assumptions and Parameters'!$B$95*'Assumptions and Parameters'!$B$96)*(1+'Assumptions and Parameters'!$B$94/100)^(E2-$B$2))+
(('Assumptions and Parameters'!$B$92*'Assumptions and Parameters'!$B$97*'Assumptions and Parameters'!$B$98*'Assumptions and Parameters'!$B$99)*(1+'Assumptions and Parameters'!$B$94/100)^(E2-$B$2))+
(('Assumptions and Parameters'!$B$100*'Assumptions and Parameters'!$B$101*'Assumptions and Parameters'!$B$102)*(1+'Assumptions and Parameters'!$B$94/100)^(E2-$B$2)))*'Assumptions and Parameters'!$B$61)*'Assumptions and Parameters'!$B$103)</f>
        <v>807033.52585000009</v>
      </c>
      <c r="F8" s="26">
        <f>IF('Assumptions and Parameters'!$B$109&gt;'Revenue Projections'!F2,0,(((('Assumptions and Parameters'!$B$92*'Assumptions and Parameters'!$B$93*'Assumptions and Parameters'!$B$95*'Assumptions and Parameters'!$B$96)*(1+'Assumptions and Parameters'!$B$94/100)^(F2-$B$2))+
(('Assumptions and Parameters'!$B$92*'Assumptions and Parameters'!$B$97*'Assumptions and Parameters'!$B$98*'Assumptions and Parameters'!$B$99)*(1+'Assumptions and Parameters'!$B$94/100)^(F2-$B$2))+
(('Assumptions and Parameters'!$B$100*'Assumptions and Parameters'!$B$101*'Assumptions and Parameters'!$B$102)*(1+'Assumptions and Parameters'!$B$94/100)^(F2-$B$2)))*'Assumptions and Parameters'!$B$61)*'Assumptions and Parameters'!$B$103)</f>
        <v>831244.53162549995</v>
      </c>
      <c r="G8" s="26">
        <f>IF('Assumptions and Parameters'!$B$109&gt;'Revenue Projections'!G2,0,(((('Assumptions and Parameters'!$B$92*'Assumptions and Parameters'!$B$93*'Assumptions and Parameters'!$B$95*'Assumptions and Parameters'!$B$96)*(1+'Assumptions and Parameters'!$B$94/100)^(G2-$B$2))+
(('Assumptions and Parameters'!$B$92*'Assumptions and Parameters'!$B$97*'Assumptions and Parameters'!$B$98*'Assumptions and Parameters'!$B$99)*(1+'Assumptions and Parameters'!$B$94/100)^(G2-$B$2))+
(('Assumptions and Parameters'!$B$100*'Assumptions and Parameters'!$B$101*'Assumptions and Parameters'!$B$102)*(1+'Assumptions and Parameters'!$B$94/100)^(G2-$B$2)))*'Assumptions and Parameters'!$B$61)*'Assumptions and Parameters'!$B$103)</f>
        <v>856181.86757426488</v>
      </c>
      <c r="H8" s="26">
        <f>IF('Assumptions and Parameters'!$B$109&gt;'Revenue Projections'!H2,0,(((('Assumptions and Parameters'!$B$92*'Assumptions and Parameters'!$B$93*'Assumptions and Parameters'!$B$95*'Assumptions and Parameters'!$B$96)*(1+'Assumptions and Parameters'!$B$94/100)^(H2-$B$2))+
(('Assumptions and Parameters'!$B$92*'Assumptions and Parameters'!$B$97*'Assumptions and Parameters'!$B$98*'Assumptions and Parameters'!$B$99)*(1+'Assumptions and Parameters'!$B$94/100)^(H2-$B$2))+
(('Assumptions and Parameters'!$B$100*'Assumptions and Parameters'!$B$101*'Assumptions and Parameters'!$B$102)*(1+'Assumptions and Parameters'!$B$94/100)^(H2-$B$2)))*'Assumptions and Parameters'!$B$61)*'Assumptions and Parameters'!$B$103)</f>
        <v>881867.32360149291</v>
      </c>
      <c r="I8" s="26">
        <f>IF('Assumptions and Parameters'!$B$109&gt;'Revenue Projections'!I2,0,(((('Assumptions and Parameters'!$B$92*'Assumptions and Parameters'!$B$93*'Assumptions and Parameters'!$B$95*'Assumptions and Parameters'!$B$96)*(1+'Assumptions and Parameters'!$B$94/100)^(I2-$B$2))+
(('Assumptions and Parameters'!$B$92*'Assumptions and Parameters'!$B$97*'Assumptions and Parameters'!$B$98*'Assumptions and Parameters'!$B$99)*(1+'Assumptions and Parameters'!$B$94/100)^(I2-$B$2))+
(('Assumptions and Parameters'!$B$100*'Assumptions and Parameters'!$B$101*'Assumptions and Parameters'!$B$102)*(1+'Assumptions and Parameters'!$B$94/100)^(I2-$B$2)))*'Assumptions and Parameters'!$B$61)*'Assumptions and Parameters'!$B$103)</f>
        <v>908323.34330953774</v>
      </c>
      <c r="J8" s="26">
        <f>IF('Assumptions and Parameters'!$B$109&gt;'Revenue Projections'!J2,0,(((('Assumptions and Parameters'!$B$92*'Assumptions and Parameters'!$B$93*'Assumptions and Parameters'!$B$95*'Assumptions and Parameters'!$B$96)*(1+'Assumptions and Parameters'!$B$94/100)^(J2-$B$2))+
(('Assumptions and Parameters'!$B$92*'Assumptions and Parameters'!$B$97*'Assumptions and Parameters'!$B$98*'Assumptions and Parameters'!$B$99)*(1+'Assumptions and Parameters'!$B$94/100)^(J2-$B$2))+
(('Assumptions and Parameters'!$B$100*'Assumptions and Parameters'!$B$101*'Assumptions and Parameters'!$B$102)*(1+'Assumptions and Parameters'!$B$94/100)^(J2-$B$2)))*'Assumptions and Parameters'!$B$61)*'Assumptions and Parameters'!$B$103)</f>
        <v>935573.04360882379</v>
      </c>
      <c r="K8" s="26">
        <f>IF('Assumptions and Parameters'!$B$109&gt;'Revenue Projections'!K2,0,(((('Assumptions and Parameters'!$B$92*'Assumptions and Parameters'!$B$93*'Assumptions and Parameters'!$B$95*'Assumptions and Parameters'!$B$96)*(1+'Assumptions and Parameters'!$B$94/100)^(K2-$B$2))+
(('Assumptions and Parameters'!$B$92*'Assumptions and Parameters'!$B$97*'Assumptions and Parameters'!$B$98*'Assumptions and Parameters'!$B$99)*(1+'Assumptions and Parameters'!$B$94/100)^(K2-$B$2))+
(('Assumptions and Parameters'!$B$100*'Assumptions and Parameters'!$B$101*'Assumptions and Parameters'!$B$102)*(1+'Assumptions and Parameters'!$B$94/100)^(K2-$B$2)))*'Assumptions and Parameters'!$B$61)*'Assumptions and Parameters'!$B$103)</f>
        <v>963640.23491708841</v>
      </c>
      <c r="L8" s="26">
        <f>IF('Assumptions and Parameters'!$B$109&gt;'Revenue Projections'!L2,0,(((('Assumptions and Parameters'!$B$92*'Assumptions and Parameters'!$B$93*'Assumptions and Parameters'!$B$95*'Assumptions and Parameters'!$B$96)*(1+'Assumptions and Parameters'!$B$94/100)^(L2-$B$2))+
(('Assumptions and Parameters'!$B$92*'Assumptions and Parameters'!$B$97*'Assumptions and Parameters'!$B$98*'Assumptions and Parameters'!$B$99)*(1+'Assumptions and Parameters'!$B$94/100)^(L2-$B$2))+
(('Assumptions and Parameters'!$B$100*'Assumptions and Parameters'!$B$101*'Assumptions and Parameters'!$B$102)*(1+'Assumptions and Parameters'!$B$94/100)^(L2-$B$2)))*'Assumptions and Parameters'!$B$61)*'Assumptions and Parameters'!$B$103)</f>
        <v>992549.44196460117</v>
      </c>
      <c r="M8" s="26">
        <f>IF('Assumptions and Parameters'!$B$109&gt;'Revenue Projections'!M2,0,(((('Assumptions and Parameters'!$B$92*'Assumptions and Parameters'!$B$93*'Assumptions and Parameters'!$B$95*'Assumptions and Parameters'!$B$96)*(1+'Assumptions and Parameters'!$B$94/100)^(M2-$B$2))+
(('Assumptions and Parameters'!$B$92*'Assumptions and Parameters'!$B$97*'Assumptions and Parameters'!$B$98*'Assumptions and Parameters'!$B$99)*(1+'Assumptions and Parameters'!$B$94/100)^(M2-$B$2))+
(('Assumptions and Parameters'!$B$100*'Assumptions and Parameters'!$B$101*'Assumptions and Parameters'!$B$102)*(1+'Assumptions and Parameters'!$B$94/100)^(M2-$B$2)))*'Assumptions and Parameters'!$B$61)*'Assumptions and Parameters'!$B$103)</f>
        <v>1022325.9252235392</v>
      </c>
      <c r="N8" s="26">
        <f>IF('Assumptions and Parameters'!$B$109&gt;'Revenue Projections'!N2,0,(((('Assumptions and Parameters'!$B$92*'Assumptions and Parameters'!$B$93*'Assumptions and Parameters'!$B$95*'Assumptions and Parameters'!$B$96)*(1+'Assumptions and Parameters'!$B$94/100)^(N2-$B$2))+
(('Assumptions and Parameters'!$B$92*'Assumptions and Parameters'!$B$97*'Assumptions and Parameters'!$B$98*'Assumptions and Parameters'!$B$99)*(1+'Assumptions and Parameters'!$B$94/100)^(N2-$B$2))+
(('Assumptions and Parameters'!$B$100*'Assumptions and Parameters'!$B$101*'Assumptions and Parameters'!$B$102)*(1+'Assumptions and Parameters'!$B$94/100)^(N2-$B$2)))*'Assumptions and Parameters'!$B$61)*'Assumptions and Parameters'!$B$103)</f>
        <v>1052995.7029802452</v>
      </c>
      <c r="O8" s="26">
        <f>IF('Assumptions and Parameters'!$B$109&gt;'Revenue Projections'!O2,0,(((('Assumptions and Parameters'!$B$92*'Assumptions and Parameters'!$B$93*'Assumptions and Parameters'!$B$95*'Assumptions and Parameters'!$B$96)*(1+'Assumptions and Parameters'!$B$94/100)^(O2-$B$2))+
(('Assumptions and Parameters'!$B$92*'Assumptions and Parameters'!$B$97*'Assumptions and Parameters'!$B$98*'Assumptions and Parameters'!$B$99)*(1+'Assumptions and Parameters'!$B$94/100)^(O2-$B$2))+
(('Assumptions and Parameters'!$B$100*'Assumptions and Parameters'!$B$101*'Assumptions and Parameters'!$B$102)*(1+'Assumptions and Parameters'!$B$94/100)^(O2-$B$2)))*'Assumptions and Parameters'!$B$61)*'Assumptions and Parameters'!$B$103)</f>
        <v>1084585.5740696525</v>
      </c>
      <c r="P8" s="26">
        <f>IF('Assumptions and Parameters'!$B$109&gt;'Revenue Projections'!P2,0,(((('Assumptions and Parameters'!$B$92*'Assumptions and Parameters'!$B$93*'Assumptions and Parameters'!$B$95*'Assumptions and Parameters'!$B$96)*(1+'Assumptions and Parameters'!$B$94/100)^(P2-$B$2))+
(('Assumptions and Parameters'!$B$92*'Assumptions and Parameters'!$B$97*'Assumptions and Parameters'!$B$98*'Assumptions and Parameters'!$B$99)*(1+'Assumptions and Parameters'!$B$94/100)^(P2-$B$2))+
(('Assumptions and Parameters'!$B$100*'Assumptions and Parameters'!$B$101*'Assumptions and Parameters'!$B$102)*(1+'Assumptions and Parameters'!$B$94/100)^(P2-$B$2)))*'Assumptions and Parameters'!$B$61)*'Assumptions and Parameters'!$B$103)</f>
        <v>1117123.1412917422</v>
      </c>
      <c r="Q8" s="26">
        <f>IF('Assumptions and Parameters'!$B$109&gt;'Revenue Projections'!Q2,0,(((('Assumptions and Parameters'!$B$92*'Assumptions and Parameters'!$B$93*'Assumptions and Parameters'!$B$95*'Assumptions and Parameters'!$B$96)*(1+'Assumptions and Parameters'!$B$94/100)^(Q2-$B$2))+
(('Assumptions and Parameters'!$B$92*'Assumptions and Parameters'!$B$97*'Assumptions and Parameters'!$B$98*'Assumptions and Parameters'!$B$99)*(1+'Assumptions and Parameters'!$B$94/100)^(Q2-$B$2))+
(('Assumptions and Parameters'!$B$100*'Assumptions and Parameters'!$B$101*'Assumptions and Parameters'!$B$102)*(1+'Assumptions and Parameters'!$B$94/100)^(Q2-$B$2)))*'Assumptions and Parameters'!$B$61)*'Assumptions and Parameters'!$B$103)</f>
        <v>1150636.8355304946</v>
      </c>
      <c r="R8" s="26">
        <f>IF('Assumptions and Parameters'!$B$109&gt;'Revenue Projections'!R2,0,(((('Assumptions and Parameters'!$B$92*'Assumptions and Parameters'!$B$93*'Assumptions and Parameters'!$B$95*'Assumptions and Parameters'!$B$96)*(1+'Assumptions and Parameters'!$B$94/100)^(R2-$B$2))+
(('Assumptions and Parameters'!$B$92*'Assumptions and Parameters'!$B$97*'Assumptions and Parameters'!$B$98*'Assumptions and Parameters'!$B$99)*(1+'Assumptions and Parameters'!$B$94/100)^(R2-$B$2))+
(('Assumptions and Parameters'!$B$100*'Assumptions and Parameters'!$B$101*'Assumptions and Parameters'!$B$102)*(1+'Assumptions and Parameters'!$B$94/100)^(R2-$B$2)))*'Assumptions and Parameters'!$B$61)*'Assumptions and Parameters'!$B$103)</f>
        <v>1185155.9405964091</v>
      </c>
      <c r="S8" s="26">
        <f>IF('Assumptions and Parameters'!$B$109&gt;'Revenue Projections'!S2,0,(((('Assumptions and Parameters'!$B$92*'Assumptions and Parameters'!$B$93*'Assumptions and Parameters'!$B$95*'Assumptions and Parameters'!$B$96)*(1+'Assumptions and Parameters'!$B$94/100)^(S2-$B$2))+
(('Assumptions and Parameters'!$B$92*'Assumptions and Parameters'!$B$97*'Assumptions and Parameters'!$B$98*'Assumptions and Parameters'!$B$99)*(1+'Assumptions and Parameters'!$B$94/100)^(S2-$B$2))+
(('Assumptions and Parameters'!$B$100*'Assumptions and Parameters'!$B$101*'Assumptions and Parameters'!$B$102)*(1+'Assumptions and Parameters'!$B$94/100)^(S2-$B$2)))*'Assumptions and Parameters'!$B$61)*'Assumptions and Parameters'!$B$103)</f>
        <v>1220710.6188143014</v>
      </c>
      <c r="T8" s="26">
        <f>IF('Assumptions and Parameters'!$B$109&gt;'Revenue Projections'!T2,0,(((('Assumptions and Parameters'!$B$92*'Assumptions and Parameters'!$B$93*'Assumptions and Parameters'!$B$95*'Assumptions and Parameters'!$B$96)*(1+'Assumptions and Parameters'!$B$94/100)^(T2-$B$2))+
(('Assumptions and Parameters'!$B$92*'Assumptions and Parameters'!$B$97*'Assumptions and Parameters'!$B$98*'Assumptions and Parameters'!$B$99)*(1+'Assumptions and Parameters'!$B$94/100)^(T2-$B$2))+
(('Assumptions and Parameters'!$B$100*'Assumptions and Parameters'!$B$101*'Assumptions and Parameters'!$B$102)*(1+'Assumptions and Parameters'!$B$94/100)^(T2-$B$2)))*'Assumptions and Parameters'!$B$61)*'Assumptions and Parameters'!$B$103)</f>
        <v>1257331.9373787304</v>
      </c>
      <c r="U8" s="26">
        <f>IF('Assumptions and Parameters'!$B$109&gt;'Revenue Projections'!U2,0,(((('Assumptions and Parameters'!$B$92*'Assumptions and Parameters'!$B$93*'Assumptions and Parameters'!$B$95*'Assumptions and Parameters'!$B$96)*(1+'Assumptions and Parameters'!$B$94/100)^(U2-$B$2))+
(('Assumptions and Parameters'!$B$92*'Assumptions and Parameters'!$B$97*'Assumptions and Parameters'!$B$98*'Assumptions and Parameters'!$B$99)*(1+'Assumptions and Parameters'!$B$94/100)^(U2-$B$2))+
(('Assumptions and Parameters'!$B$100*'Assumptions and Parameters'!$B$101*'Assumptions and Parameters'!$B$102)*(1+'Assumptions and Parameters'!$B$94/100)^(U2-$B$2)))*'Assumptions and Parameters'!$B$61)*'Assumptions and Parameters'!$B$103)</f>
        <v>1295051.8955000925</v>
      </c>
      <c r="V8" s="26">
        <f>IF('Assumptions and Parameters'!$B$109&gt;'Revenue Projections'!V2,0,(((('Assumptions and Parameters'!$B$92*'Assumptions and Parameters'!$B$93*'Assumptions and Parameters'!$B$95*'Assumptions and Parameters'!$B$96)*(1+'Assumptions and Parameters'!$B$94/100)^(V2-$B$2))+
(('Assumptions and Parameters'!$B$92*'Assumptions and Parameters'!$B$97*'Assumptions and Parameters'!$B$98*'Assumptions and Parameters'!$B$99)*(1+'Assumptions and Parameters'!$B$94/100)^(V2-$B$2))+
(('Assumptions and Parameters'!$B$100*'Assumptions and Parameters'!$B$101*'Assumptions and Parameters'!$B$102)*(1+'Assumptions and Parameters'!$B$94/100)^(V2-$B$2)))*'Assumptions and Parameters'!$B$61)*'Assumptions and Parameters'!$B$103)</f>
        <v>1333903.4523650953</v>
      </c>
      <c r="W8" s="26">
        <f>IF('Assumptions and Parameters'!$B$109&gt;'Revenue Projections'!W2,0,(((('Assumptions and Parameters'!$B$92*'Assumptions and Parameters'!$B$93*'Assumptions and Parameters'!$B$95*'Assumptions and Parameters'!$B$96)*(1+'Assumptions and Parameters'!$B$94/100)^(W2-$B$2))+
(('Assumptions and Parameters'!$B$92*'Assumptions and Parameters'!$B$97*'Assumptions and Parameters'!$B$98*'Assumptions and Parameters'!$B$99)*(1+'Assumptions and Parameters'!$B$94/100)^(W2-$B$2))+
(('Assumptions and Parameters'!$B$100*'Assumptions and Parameters'!$B$101*'Assumptions and Parameters'!$B$102)*(1+'Assumptions and Parameters'!$B$94/100)^(W2-$B$2)))*'Assumptions and Parameters'!$B$61)*'Assumptions and Parameters'!$B$103)</f>
        <v>1373920.5559360478</v>
      </c>
      <c r="X8" s="26">
        <f>IF('Assumptions and Parameters'!$B$109&gt;'Revenue Projections'!X2,0,(((('Assumptions and Parameters'!$B$92*'Assumptions and Parameters'!$B$93*'Assumptions and Parameters'!$B$95*'Assumptions and Parameters'!$B$96)*(1+'Assumptions and Parameters'!$B$94/100)^(X2-$B$2))+
(('Assumptions and Parameters'!$B$92*'Assumptions and Parameters'!$B$97*'Assumptions and Parameters'!$B$98*'Assumptions and Parameters'!$B$99)*(1+'Assumptions and Parameters'!$B$94/100)^(X2-$B$2))+
(('Assumptions and Parameters'!$B$100*'Assumptions and Parameters'!$B$101*'Assumptions and Parameters'!$B$102)*(1+'Assumptions and Parameters'!$B$94/100)^(X2-$B$2)))*'Assumptions and Parameters'!$B$61)*'Assumptions and Parameters'!$B$103)</f>
        <v>1415138.1726141297</v>
      </c>
      <c r="Y8" s="26">
        <f>IF('Assumptions and Parameters'!$B$109&gt;'Revenue Projections'!Y2,0,(((('Assumptions and Parameters'!$B$92*'Assumptions and Parameters'!$B$93*'Assumptions and Parameters'!$B$95*'Assumptions and Parameters'!$B$96)*(1+'Assumptions and Parameters'!$B$94/100)^(Y2-$B$2))+
(('Assumptions and Parameters'!$B$92*'Assumptions and Parameters'!$B$97*'Assumptions and Parameters'!$B$98*'Assumptions and Parameters'!$B$99)*(1+'Assumptions and Parameters'!$B$94/100)^(Y2-$B$2))+
(('Assumptions and Parameters'!$B$100*'Assumptions and Parameters'!$B$101*'Assumptions and Parameters'!$B$102)*(1+'Assumptions and Parameters'!$B$94/100)^(Y2-$B$2)))*'Assumptions and Parameters'!$B$61)*'Assumptions and Parameters'!$B$103)</f>
        <v>1457592.3177925535</v>
      </c>
      <c r="Z8" s="26">
        <f>IF('Assumptions and Parameters'!$B$109&gt;'Revenue Projections'!Z2,0,(((('Assumptions and Parameters'!$B$92*'Assumptions and Parameters'!$B$93*'Assumptions and Parameters'!$B$95*'Assumptions and Parameters'!$B$96)*(1+'Assumptions and Parameters'!$B$94/100)^(Z2-$B$2))+
(('Assumptions and Parameters'!$B$92*'Assumptions and Parameters'!$B$97*'Assumptions and Parameters'!$B$98*'Assumptions and Parameters'!$B$99)*(1+'Assumptions and Parameters'!$B$94/100)^(Z2-$B$2))+
(('Assumptions and Parameters'!$B$100*'Assumptions and Parameters'!$B$101*'Assumptions and Parameters'!$B$102)*(1+'Assumptions and Parameters'!$B$94/100)^(Z2-$B$2)))*'Assumptions and Parameters'!$B$61)*'Assumptions and Parameters'!$B$103)</f>
        <v>1501320.0873263301</v>
      </c>
      <c r="AA8" s="26">
        <f>IF('Assumptions and Parameters'!$B$109&gt;'Revenue Projections'!AA2,0,(((('Assumptions and Parameters'!$B$92*'Assumptions and Parameters'!$B$93*'Assumptions and Parameters'!$B$95*'Assumptions and Parameters'!$B$96)*(1+'Assumptions and Parameters'!$B$94/100)^(AA2-$B$2))+
(('Assumptions and Parameters'!$B$92*'Assumptions and Parameters'!$B$97*'Assumptions and Parameters'!$B$98*'Assumptions and Parameters'!$B$99)*(1+'Assumptions and Parameters'!$B$94/100)^(AA2-$B$2))+
(('Assumptions and Parameters'!$B$100*'Assumptions and Parameters'!$B$101*'Assumptions and Parameters'!$B$102)*(1+'Assumptions and Parameters'!$B$94/100)^(AA2-$B$2)))*'Assumptions and Parameters'!$B$61)*'Assumptions and Parameters'!$B$103)</f>
        <v>1546359.6899461197</v>
      </c>
      <c r="AB8" s="26">
        <f>IF('Assumptions and Parameters'!$B$109&gt;'Revenue Projections'!AB2,0,(((('Assumptions and Parameters'!$B$92*'Assumptions and Parameters'!$B$93*'Assumptions and Parameters'!$B$95*'Assumptions and Parameters'!$B$96)*(1+'Assumptions and Parameters'!$B$94/100)^(AB2-$B$2))+
(('Assumptions and Parameters'!$B$92*'Assumptions and Parameters'!$B$97*'Assumptions and Parameters'!$B$98*'Assumptions and Parameters'!$B$99)*(1+'Assumptions and Parameters'!$B$94/100)^(AB2-$B$2))+
(('Assumptions and Parameters'!$B$100*'Assumptions and Parameters'!$B$101*'Assumptions and Parameters'!$B$102)*(1+'Assumptions and Parameters'!$B$94/100)^(AB2-$B$2)))*'Assumptions and Parameters'!$B$61)*'Assumptions and Parameters'!$B$103)</f>
        <v>1592750.4806445034</v>
      </c>
      <c r="AC8" s="26">
        <f>IF('Assumptions and Parameters'!$B$109&gt;'Revenue Projections'!AC2,0,(((('Assumptions and Parameters'!$B$92*'Assumptions and Parameters'!$B$93*'Assumptions and Parameters'!$B$95*'Assumptions and Parameters'!$B$96)*(1+'Assumptions and Parameters'!$B$94/100)^(AC2-$B$2))+
(('Assumptions and Parameters'!$B$92*'Assumptions and Parameters'!$B$97*'Assumptions and Parameters'!$B$98*'Assumptions and Parameters'!$B$99)*(1+'Assumptions and Parameters'!$B$94/100)^(AC2-$B$2))+
(('Assumptions and Parameters'!$B$100*'Assumptions and Parameters'!$B$101*'Assumptions and Parameters'!$B$102)*(1+'Assumptions and Parameters'!$B$94/100)^(AC2-$B$2)))*'Assumptions and Parameters'!$B$61)*'Assumptions and Parameters'!$B$103)</f>
        <v>1640532.9950638385</v>
      </c>
      <c r="AD8" s="26">
        <f>IF('Assumptions and Parameters'!$B$109&gt;'Revenue Projections'!AD2,0,(((('Assumptions and Parameters'!$B$92*'Assumptions and Parameters'!$B$93*'Assumptions and Parameters'!$B$95*'Assumptions and Parameters'!$B$96)*(1+'Assumptions and Parameters'!$B$94/100)^(AD2-$B$2))+
(('Assumptions and Parameters'!$B$92*'Assumptions and Parameters'!$B$97*'Assumptions and Parameters'!$B$98*'Assumptions and Parameters'!$B$99)*(1+'Assumptions and Parameters'!$B$94/100)^(AD2-$B$2))+
(('Assumptions and Parameters'!$B$100*'Assumptions and Parameters'!$B$101*'Assumptions and Parameters'!$B$102)*(1+'Assumptions and Parameters'!$B$94/100)^(AD2-$B$2)))*'Assumptions and Parameters'!$B$61)*'Assumptions and Parameters'!$B$103)</f>
        <v>1689748.9849157536</v>
      </c>
      <c r="AE8" s="26">
        <f>IF('Assumptions and Parameters'!$B$109&gt;'Revenue Projections'!AE2,0,(((('Assumptions and Parameters'!$B$92*'Assumptions and Parameters'!$B$93*'Assumptions and Parameters'!$B$95*'Assumptions and Parameters'!$B$96)*(1+'Assumptions and Parameters'!$B$94/100)^(AE2-$B$2))+
(('Assumptions and Parameters'!$B$92*'Assumptions and Parameters'!$B$97*'Assumptions and Parameters'!$B$98*'Assumptions and Parameters'!$B$99)*(1+'Assumptions and Parameters'!$B$94/100)^(AE2-$B$2))+
(('Assumptions and Parameters'!$B$100*'Assumptions and Parameters'!$B$101*'Assumptions and Parameters'!$B$102)*(1+'Assumptions and Parameters'!$B$94/100)^(AE2-$B$2)))*'Assumptions and Parameters'!$B$61)*'Assumptions and Parameters'!$B$103)</f>
        <v>1740441.454463226</v>
      </c>
      <c r="AF8" s="26">
        <f>IF('Assumptions and Parameters'!$B$109&gt;'Revenue Projections'!AF2,0,(((('Assumptions and Parameters'!$B$92*'Assumptions and Parameters'!$B$93*'Assumptions and Parameters'!$B$95*'Assumptions and Parameters'!$B$96)*(1+'Assumptions and Parameters'!$B$94/100)^(AF2-$B$2))+
(('Assumptions and Parameters'!$B$92*'Assumptions and Parameters'!$B$97*'Assumptions and Parameters'!$B$98*'Assumptions and Parameters'!$B$99)*(1+'Assumptions and Parameters'!$B$94/100)^(AF2-$B$2))+
(('Assumptions and Parameters'!$B$100*'Assumptions and Parameters'!$B$101*'Assumptions and Parameters'!$B$102)*(1+'Assumptions and Parameters'!$B$94/100)^(AF2-$B$2)))*'Assumptions and Parameters'!$B$61)*'Assumptions and Parameters'!$B$103)</f>
        <v>1792654.6980971228</v>
      </c>
      <c r="AG8" s="26">
        <f>IF('Assumptions and Parameters'!$B$109&gt;'Revenue Projections'!AG2,0,(((('Assumptions and Parameters'!$B$92*'Assumptions and Parameters'!$B$93*'Assumptions and Parameters'!$B$95*'Assumptions and Parameters'!$B$96)*(1+'Assumptions and Parameters'!$B$94/100)^(AG2-$B$2))+
(('Assumptions and Parameters'!$B$92*'Assumptions and Parameters'!$B$97*'Assumptions and Parameters'!$B$98*'Assumptions and Parameters'!$B$99)*(1+'Assumptions and Parameters'!$B$94/100)^(AG2-$B$2))+
(('Assumptions and Parameters'!$B$100*'Assumptions and Parameters'!$B$101*'Assumptions and Parameters'!$B$102)*(1+'Assumptions and Parameters'!$B$94/100)^(AG2-$B$2)))*'Assumptions and Parameters'!$B$61)*'Assumptions and Parameters'!$B$103)</f>
        <v>1846434.3390400365</v>
      </c>
      <c r="AH8" s="26">
        <f>IF('Assumptions and Parameters'!$B$109&gt;'Revenue Projections'!AH2,0,(((('Assumptions and Parameters'!$B$92*'Assumptions and Parameters'!$B$93*'Assumptions and Parameters'!$B$95*'Assumptions and Parameters'!$B$96)*(1+'Assumptions and Parameters'!$B$94/100)^(AH2-$B$2))+
(('Assumptions and Parameters'!$B$92*'Assumptions and Parameters'!$B$97*'Assumptions and Parameters'!$B$98*'Assumptions and Parameters'!$B$99)*(1+'Assumptions and Parameters'!$B$94/100)^(AH2-$B$2))+
(('Assumptions and Parameters'!$B$100*'Assumptions and Parameters'!$B$101*'Assumptions and Parameters'!$B$102)*(1+'Assumptions and Parameters'!$B$94/100)^(AH2-$B$2)))*'Assumptions and Parameters'!$B$61)*'Assumptions and Parameters'!$B$103)</f>
        <v>1901827.3692112376</v>
      </c>
      <c r="AI8" s="26">
        <f>IF('Assumptions and Parameters'!$B$109&gt;'Revenue Projections'!AI2,0,(((('Assumptions and Parameters'!$B$92*'Assumptions and Parameters'!$B$93*'Assumptions and Parameters'!$B$95*'Assumptions and Parameters'!$B$96)*(1+'Assumptions and Parameters'!$B$94/100)^(AI2-$B$2))+
(('Assumptions and Parameters'!$B$92*'Assumptions and Parameters'!$B$97*'Assumptions and Parameters'!$B$98*'Assumptions and Parameters'!$B$99)*(1+'Assumptions and Parameters'!$B$94/100)^(AI2-$B$2))+
(('Assumptions and Parameters'!$B$100*'Assumptions and Parameters'!$B$101*'Assumptions and Parameters'!$B$102)*(1+'Assumptions and Parameters'!$B$94/100)^(AI2-$B$2)))*'Assumptions and Parameters'!$B$61)*'Assumptions and Parameters'!$B$103)</f>
        <v>1958882.1902875749</v>
      </c>
      <c r="AJ8" s="26">
        <f>IF('Assumptions and Parameters'!$B$109&gt;'Revenue Projections'!AJ2,0,(((('Assumptions and Parameters'!$B$92*'Assumptions and Parameters'!$B$93*'Assumptions and Parameters'!$B$95*'Assumptions and Parameters'!$B$96)*(1+'Assumptions and Parameters'!$B$94/100)^(AJ2-$B$2))+
(('Assumptions and Parameters'!$B$92*'Assumptions and Parameters'!$B$97*'Assumptions and Parameters'!$B$98*'Assumptions and Parameters'!$B$99)*(1+'Assumptions and Parameters'!$B$94/100)^(AJ2-$B$2))+
(('Assumptions and Parameters'!$B$100*'Assumptions and Parameters'!$B$101*'Assumptions and Parameters'!$B$102)*(1+'Assumptions and Parameters'!$B$94/100)^(AJ2-$B$2)))*'Assumptions and Parameters'!$B$61)*'Assumptions and Parameters'!$B$103)</f>
        <v>2017648.6559962016</v>
      </c>
      <c r="AK8" s="5"/>
      <c r="AL8" s="5"/>
      <c r="AM8" s="5"/>
      <c r="AN8" s="5"/>
      <c r="AO8" s="5"/>
      <c r="AP8" s="5"/>
      <c r="AQ8" s="5"/>
      <c r="AR8" s="5"/>
      <c r="AS8" s="5"/>
      <c r="AT8" s="5"/>
      <c r="AU8" s="5"/>
      <c r="AV8" s="5"/>
    </row>
    <row r="9" spans="1:48" ht="21" x14ac:dyDescent="0.4">
      <c r="A9" s="4" t="s">
        <v>4</v>
      </c>
      <c r="B9" s="25">
        <f>IF('Assumptions and Parameters'!$B$109&gt;'Revenue Projections'!B2,0,((('Assumptions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Parameters'!$B$51/100)^(B2-$B$2))</f>
        <v>0</v>
      </c>
      <c r="C9" s="25">
        <f>IF('Assumptions and Parameters'!$B$109&gt;'Revenue Projections'!C2,0,((('Assumptions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Parameters'!$B$51/100)^(C2-$B$2))</f>
        <v>74564.675660279419</v>
      </c>
      <c r="D9" s="25">
        <f>IF('Assumptions and Parameters'!$B$109&gt;'Revenue Projections'!D2,0,((('Assumptions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Parameters'!$B$51/100)^(D2-$B$2))</f>
        <v>78292.909443293393</v>
      </c>
      <c r="E9" s="25">
        <f>IF('Assumptions and Parameters'!$B$109&gt;'Revenue Projections'!E2,0,((('Assumptions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Parameters'!$B$51/100)^(E2-$B$2))</f>
        <v>82207.554915458066</v>
      </c>
      <c r="F9" s="25">
        <f>IF('Assumptions and Parameters'!$B$109&gt;'Revenue Projections'!F2,0,((('Assumptions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Parameters'!$B$51/100)^(F2-$B$2))</f>
        <v>86317.932661230952</v>
      </c>
      <c r="G9" s="25">
        <f>IF('Assumptions and Parameters'!$B$109&gt;'Revenue Projections'!G2,0,((('Assumptions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Parameters'!$B$51/100)^(G2-$B$2))</f>
        <v>90633.829294292518</v>
      </c>
      <c r="H9" s="25">
        <f>IF('Assumptions and Parameters'!$B$109&gt;'Revenue Projections'!H2,0,((('Assumptions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Parameters'!$B$51/100)^(H2-$B$2))</f>
        <v>95165.520759007122</v>
      </c>
      <c r="I9" s="25">
        <f>IF('Assumptions and Parameters'!$B$109&gt;'Revenue Projections'!I2,0,((('Assumptions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Parameters'!$B$51/100)^(I2-$B$2))</f>
        <v>99923.796796957497</v>
      </c>
      <c r="J9" s="25">
        <f>IF('Assumptions and Parameters'!$B$109&gt;'Revenue Projections'!J2,0,((('Assumptions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Parameters'!$B$51/100)^(J2-$B$2))</f>
        <v>104919.98663680536</v>
      </c>
      <c r="K9" s="25">
        <f>IF('Assumptions and Parameters'!$B$109&gt;'Revenue Projections'!K2,0,((('Assumptions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Parameters'!$B$51/100)^(K2-$B$2))</f>
        <v>110165.98596864563</v>
      </c>
      <c r="L9" s="25">
        <f>IF('Assumptions and Parameters'!$B$109&gt;'Revenue Projections'!L2,0,((('Assumptions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Parameters'!$B$51/100)^(L2-$B$2))</f>
        <v>115674.28526707792</v>
      </c>
      <c r="M9" s="25">
        <f>IF('Assumptions and Parameters'!$B$109&gt;'Revenue Projections'!M2,0,((('Assumptions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Parameters'!$B$51/100)^(M2-$B$2))</f>
        <v>121457.99953043183</v>
      </c>
      <c r="N9" s="25">
        <f>IF('Assumptions and Parameters'!$B$109&gt;'Revenue Projections'!N2,0,((('Assumptions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Parameters'!$B$51/100)^(N2-$B$2))</f>
        <v>127530.8995069534</v>
      </c>
      <c r="O9" s="25">
        <f>IF('Assumptions and Parameters'!$B$109&gt;'Revenue Projections'!O2,0,((('Assumptions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Parameters'!$B$51/100)^(O2-$B$2))</f>
        <v>133907.4444823011</v>
      </c>
      <c r="P9" s="25">
        <f>IF('Assumptions and Parameters'!$B$109&gt;'Revenue Projections'!P2,0,((('Assumptions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Parameters'!$B$51/100)^(P2-$B$2))</f>
        <v>140602.81670641611</v>
      </c>
      <c r="Q9" s="25">
        <f>IF('Assumptions and Parameters'!$B$109&gt;'Revenue Projections'!Q2,0,((('Assumptions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Parameters'!$B$51/100)^(Q2-$B$2))</f>
        <v>147632.95754173698</v>
      </c>
      <c r="R9" s="25">
        <f>IF('Assumptions and Parameters'!$B$109&gt;'Revenue Projections'!R2,0,((('Assumptions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Parameters'!$B$51/100)^(R2-$B$2))</f>
        <v>155014.6054188238</v>
      </c>
      <c r="S9" s="25">
        <f>IF('Assumptions and Parameters'!$B$109&gt;'Revenue Projections'!S2,0,((('Assumptions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Parameters'!$B$51/100)^(S2-$B$2))</f>
        <v>162765.33568976502</v>
      </c>
      <c r="T9" s="25">
        <f>IF('Assumptions and Parameters'!$B$109&gt;'Revenue Projections'!T2,0,((('Assumptions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Parameters'!$B$51/100)^(T2-$B$2))</f>
        <v>170903.60247425328</v>
      </c>
      <c r="U9" s="25">
        <f>IF('Assumptions and Parameters'!$B$109&gt;'Revenue Projections'!U2,0,((('Assumptions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Parameters'!$B$51/100)^(U2-$B$2))</f>
        <v>179448.78259796594</v>
      </c>
      <c r="V9" s="25">
        <f>IF('Assumptions and Parameters'!$B$109&gt;'Revenue Projections'!V2,0,((('Assumptions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Parameters'!$B$51/100)^(V2-$B$2))</f>
        <v>188421.22172786421</v>
      </c>
      <c r="W9" s="25">
        <f>IF('Assumptions and Parameters'!$B$109&gt;'Revenue Projections'!W2,0,((('Assumptions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Parameters'!$B$51/100)^(W2-$B$2))</f>
        <v>197842.28281425743</v>
      </c>
      <c r="X9" s="25">
        <f>IF('Assumptions and Parameters'!$B$109&gt;'Revenue Projections'!X2,0,((('Assumptions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Parameters'!$B$51/100)^(X2-$B$2))</f>
        <v>207734.39695497029</v>
      </c>
      <c r="Y9" s="25">
        <f>IF('Assumptions and Parameters'!$B$109&gt;'Revenue Projections'!Y2,0,((('Assumptions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Parameters'!$B$51/100)^(Y2-$B$2))</f>
        <v>218121.11680271884</v>
      </c>
      <c r="Z9" s="25">
        <f>IF('Assumptions and Parameters'!$B$109&gt;'Revenue Projections'!Z2,0,((('Assumptions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Parameters'!$B$51/100)^(Z2-$B$2))</f>
        <v>229027.17264285474</v>
      </c>
      <c r="AA9" s="25">
        <f>IF('Assumptions and Parameters'!$B$109&gt;'Revenue Projections'!AA2,0,((('Assumptions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Parameters'!$B$51/100)^(AA2-$B$2))</f>
        <v>240478.53127499748</v>
      </c>
      <c r="AB9" s="25">
        <f>IF('Assumptions and Parameters'!$B$109&gt;'Revenue Projections'!AB2,0,((('Assumptions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Parameters'!$B$51/100)^(AB2-$B$2))</f>
        <v>252502.45783874739</v>
      </c>
      <c r="AC9" s="25">
        <f>IF('Assumptions and Parameters'!$B$109&gt;'Revenue Projections'!AC2,0,((('Assumptions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Parameters'!$B$51/100)^(AC2-$B$2))</f>
        <v>265127.58073068474</v>
      </c>
      <c r="AD9" s="25">
        <f>IF('Assumptions and Parameters'!$B$109&gt;'Revenue Projections'!AD2,0,((('Assumptions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Parameters'!$B$51/100)^(AD2-$B$2))</f>
        <v>278383.95976721897</v>
      </c>
      <c r="AE9" s="25">
        <f>IF('Assumptions and Parameters'!$B$109&gt;'Revenue Projections'!AE2,0,((('Assumptions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Parameters'!$B$51/100)^(AE2-$B$2))</f>
        <v>292303.15775557997</v>
      </c>
      <c r="AF9" s="25">
        <f>IF('Assumptions and Parameters'!$B$109&gt;'Revenue Projections'!AF2,0,((('Assumptions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Parameters'!$B$51/100)^(AF2-$B$2))</f>
        <v>306918.31564335886</v>
      </c>
      <c r="AG9" s="25">
        <f>IF('Assumptions and Parameters'!$B$109&gt;'Revenue Projections'!AG2,0,((('Assumptions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Parameters'!$B$51/100)^(AG2-$B$2))</f>
        <v>322264.23142552696</v>
      </c>
      <c r="AH9" s="25">
        <f>IF('Assumptions and Parameters'!$B$109&gt;'Revenue Projections'!AH2,0,((('Assumptions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Parameters'!$B$51/100)^(AH2-$B$2))</f>
        <v>338377.44299680326</v>
      </c>
      <c r="AI9" s="25">
        <f>IF('Assumptions and Parameters'!$B$109&gt;'Revenue Projections'!AI2,0,((('Assumptions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Parameters'!$B$51/100)^(AI2-$B$2))</f>
        <v>355296.31514664344</v>
      </c>
      <c r="AJ9" s="25">
        <f>IF('Assumptions and Parameters'!$B$109&gt;'Revenue Projections'!AJ2,0,((('Assumptions and Parameters'!$B$64*'Assumptions and Parameters'!$B$67*'Assumptions and Parameters'!$B$68)+'Assumptions and Parameters'!$B$78*'Assumptions and Parameters'!$B$81*'Assumptions and Parameters'!$B$82)+('Assumptions and Parameters'!$B$92*'Assumptions and Parameters'!$B$95*'Assumptions and Parameters'!$B$96))/'Assumptions and Parameters'!$B$48*
'Assumptions and Parameters'!$B$47*(1-'Assumptions and Parameters'!$B$46)*'Assumptions and Parameters'!$B$49*'Assumptions and Parameters'!$B$50*'Assumptions and Parameters'!$B$45*(1+'Assumptions and Parameters'!$B$51/100)^(AJ2-$B$2))</f>
        <v>373061.13090397557</v>
      </c>
      <c r="AK9" s="5"/>
      <c r="AL9" s="5"/>
      <c r="AM9" s="5"/>
      <c r="AN9" s="5"/>
      <c r="AO9" s="5"/>
      <c r="AP9" s="5"/>
      <c r="AQ9" s="5"/>
      <c r="AR9" s="5"/>
      <c r="AS9" s="5"/>
      <c r="AT9" s="5"/>
      <c r="AU9" s="5"/>
      <c r="AV9" s="5"/>
    </row>
    <row r="10" spans="1:48" ht="21" x14ac:dyDescent="0.4">
      <c r="A10" s="4" t="s">
        <v>1</v>
      </c>
      <c r="B10" s="5"/>
      <c r="C10" s="10"/>
      <c r="D10" s="5"/>
      <c r="E10" s="5"/>
      <c r="F10" s="5"/>
      <c r="G10" s="5"/>
      <c r="H10" s="5"/>
      <c r="I10" s="8">
        <f>SUM(I6:I8)</f>
        <v>7489287.1550240098</v>
      </c>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row>
    <row r="11" spans="1:48" ht="18" x14ac:dyDescent="0.35">
      <c r="A11" s="5" t="s">
        <v>57</v>
      </c>
      <c r="B11" s="8">
        <f>'Assumptions and Parameters'!B4*'Assumptions and Parameters'!B7*'Assumptions and Parameters'!B14</f>
        <v>2397000</v>
      </c>
      <c r="C11" s="10">
        <f>'Assumptions and Parameters'!B4*'Assumptions and Parameters'!B8*'Assumptions and Parameters'!B14</f>
        <v>2397000</v>
      </c>
      <c r="D11" s="24">
        <v>0</v>
      </c>
      <c r="E11" s="24">
        <v>0</v>
      </c>
      <c r="F11" s="24">
        <v>0</v>
      </c>
      <c r="G11" s="24">
        <v>0</v>
      </c>
      <c r="H11" s="24">
        <v>0</v>
      </c>
      <c r="I11" s="24">
        <v>0</v>
      </c>
      <c r="J11" s="24">
        <v>0</v>
      </c>
      <c r="K11" s="24">
        <v>0</v>
      </c>
      <c r="L11" s="24">
        <v>0</v>
      </c>
      <c r="M11" s="24">
        <v>0</v>
      </c>
      <c r="N11" s="24">
        <v>0</v>
      </c>
      <c r="O11" s="24">
        <v>0</v>
      </c>
      <c r="P11" s="24">
        <v>0</v>
      </c>
      <c r="Q11" s="24">
        <v>0</v>
      </c>
      <c r="R11" s="24">
        <v>0</v>
      </c>
      <c r="S11" s="24">
        <v>0</v>
      </c>
      <c r="T11" s="24">
        <v>0</v>
      </c>
      <c r="U11" s="24">
        <v>0</v>
      </c>
      <c r="V11" s="24">
        <v>0</v>
      </c>
      <c r="W11" s="24">
        <v>0</v>
      </c>
      <c r="X11" s="24">
        <v>0</v>
      </c>
      <c r="Y11" s="24">
        <v>0</v>
      </c>
      <c r="Z11" s="24">
        <v>0</v>
      </c>
      <c r="AA11" s="24">
        <v>0</v>
      </c>
      <c r="AB11" s="24">
        <v>0</v>
      </c>
      <c r="AC11" s="24">
        <v>0</v>
      </c>
      <c r="AD11" s="24">
        <v>0</v>
      </c>
      <c r="AE11" s="24">
        <v>0</v>
      </c>
      <c r="AF11" s="24">
        <v>0</v>
      </c>
      <c r="AG11" s="24">
        <v>0</v>
      </c>
      <c r="AH11" s="24">
        <v>0</v>
      </c>
      <c r="AI11" s="24">
        <v>0</v>
      </c>
      <c r="AJ11" s="24">
        <v>0</v>
      </c>
      <c r="AK11" s="5"/>
      <c r="AL11" s="5"/>
      <c r="AM11" s="5"/>
      <c r="AN11" s="5"/>
      <c r="AO11" s="5"/>
      <c r="AP11" s="5"/>
      <c r="AQ11" s="5"/>
      <c r="AR11" s="5"/>
      <c r="AS11" s="5"/>
      <c r="AT11" s="5"/>
      <c r="AU11" s="5"/>
      <c r="AV11" s="5"/>
    </row>
    <row r="12" spans="1:48" ht="18" x14ac:dyDescent="0.35">
      <c r="A12" s="5" t="s">
        <v>21</v>
      </c>
      <c r="B12" s="10">
        <f>IF('Assumptions and Parameters'!$B$108&gt;'Revenue Projections'!B2,0,((('Assumptions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Parameters'!$B$32/100)^(B2-$B$2))*'Assumptions and Parameters'!$B$21)</f>
        <v>0</v>
      </c>
      <c r="C12" s="10">
        <f>IF('Assumptions and Parameters'!$B$108&gt;'Revenue Projections'!C2,0,((('Assumptions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Parameters'!$B$32/100)^(C2-$B$2))*'Assumptions and Parameters'!$B$21)</f>
        <v>0</v>
      </c>
      <c r="D12" s="10">
        <f>IF('Assumptions and Parameters'!$B$108&gt;'Revenue Projections'!D2,0,((('Assumptions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Parameters'!$B$32/100)^(D2-$B$2))*'Assumptions and Parameters'!$B$21)</f>
        <v>0</v>
      </c>
      <c r="E12" s="10">
        <f>IF('Assumptions and Parameters'!$B$108&gt;'Revenue Projections'!E2,0,((('Assumptions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Parameters'!$B$32/100)^(E2-$B$2))*'Assumptions and Parameters'!$B$21)</f>
        <v>0</v>
      </c>
      <c r="F12" s="10">
        <f>IF('Assumptions and Parameters'!$B$108&gt;'Revenue Projections'!F2,0,((('Assumptions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Parameters'!$B$32/100)^(F2-$B$2))*'Assumptions and Parameters'!$B$21)</f>
        <v>0</v>
      </c>
      <c r="G12" s="10">
        <f>IF('Assumptions and Parameters'!$B$108&gt;'Revenue Projections'!G2,0,((('Assumptions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Parameters'!$B$32/100)^(G2-$B$2))*'Assumptions and Parameters'!$B$21)</f>
        <v>0</v>
      </c>
      <c r="H12" s="10">
        <f>IF('Assumptions and Parameters'!$B$108&gt;'Revenue Projections'!H2,0,((('Assumptions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Parameters'!$B$32/100)^(H2-$B$2))*'Assumptions and Parameters'!$B$21)</f>
        <v>0</v>
      </c>
      <c r="I12" s="10">
        <f>IF('Assumptions and Parameters'!$B$108&gt;'Revenue Projections'!I2,0,((('Assumptions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Parameters'!$B$32/100)^(I2-$B$2))*'Assumptions and Parameters'!$B$21)</f>
        <v>116039.4404826807</v>
      </c>
      <c r="J12" s="10">
        <f>IF('Assumptions and Parameters'!$B$108&gt;'Revenue Projections'!J2,0,((('Assumptions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Parameters'!$B$32/100)^(J2-$B$2))*'Assumptions and Parameters'!$B$21)</f>
        <v>119520.62369716112</v>
      </c>
      <c r="K12" s="10">
        <f>IF('Assumptions and Parameters'!$B$108&gt;'Revenue Projections'!K2,0,((('Assumptions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Parameters'!$B$32/100)^(K2-$B$2))*'Assumptions and Parameters'!$B$21)</f>
        <v>123106.24240807595</v>
      </c>
      <c r="L12" s="10">
        <f>IF('Assumptions and Parameters'!$B$108&gt;'Revenue Projections'!L2,0,((('Assumptions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Parameters'!$B$32/100)^(L2-$B$2))*'Assumptions and Parameters'!$B$21)</f>
        <v>126799.42968031822</v>
      </c>
      <c r="M12" s="10">
        <f>IF('Assumptions and Parameters'!$B$108&gt;'Revenue Projections'!M2,0,((('Assumptions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Parameters'!$B$32/100)^(M2-$B$2))*'Assumptions and Parameters'!$B$21)</f>
        <v>130603.41257072779</v>
      </c>
      <c r="N12" s="10">
        <f>IF('Assumptions and Parameters'!$B$108&gt;'Revenue Projections'!N2,0,((('Assumptions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Parameters'!$B$32/100)^(N2-$B$2))*'Assumptions and Parameters'!$B$21)</f>
        <v>134521.51494784959</v>
      </c>
      <c r="O12" s="10">
        <f>IF('Assumptions and Parameters'!$B$108&gt;'Revenue Projections'!O2,0,((('Assumptions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Parameters'!$B$32/100)^(O2-$B$2))*'Assumptions and Parameters'!$B$21)</f>
        <v>138557.16039628509</v>
      </c>
      <c r="P12" s="10">
        <f>IF('Assumptions and Parameters'!$B$108&gt;'Revenue Projections'!P2,0,((('Assumptions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Parameters'!$B$32/100)^(P2-$B$2))*'Assumptions and Parameters'!$B$21)</f>
        <v>142713.87520817365</v>
      </c>
      <c r="Q12" s="10">
        <f>IF('Assumptions and Parameters'!$B$108&gt;'Revenue Projections'!Q2,0,((('Assumptions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Parameters'!$B$32/100)^(Q2-$B$2))*'Assumptions and Parameters'!$B$21)</f>
        <v>146995.29146441887</v>
      </c>
      <c r="R12" s="10">
        <f>IF('Assumptions and Parameters'!$B$108&gt;'Revenue Projections'!R2,0,((('Assumptions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Parameters'!$B$32/100)^(R2-$B$2))*'Assumptions and Parameters'!$B$21)</f>
        <v>151405.15020835141</v>
      </c>
      <c r="S12" s="10">
        <f>IF('Assumptions and Parameters'!$B$108&gt;'Revenue Projections'!S2,0,((('Assumptions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Parameters'!$B$32/100)^(S2-$B$2))*'Assumptions and Parameters'!$B$21)</f>
        <v>155947.30471460195</v>
      </c>
      <c r="T12" s="10">
        <f>IF('Assumptions and Parameters'!$B$108&gt;'Revenue Projections'!T2,0,((('Assumptions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Parameters'!$B$32/100)^(T2-$B$2))*'Assumptions and Parameters'!$B$21)</f>
        <v>160625.72385604001</v>
      </c>
      <c r="U12" s="10">
        <f>IF('Assumptions and Parameters'!$B$108&gt;'Revenue Projections'!U2,0,((('Assumptions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Parameters'!$B$32/100)^(U2-$B$2))*'Assumptions and Parameters'!$B$21)</f>
        <v>165444.4955717212</v>
      </c>
      <c r="V12" s="10">
        <f>IF('Assumptions and Parameters'!$B$108&gt;'Revenue Projections'!V2,0,((('Assumptions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Parameters'!$B$32/100)^(V2-$B$2))*'Assumptions and Parameters'!$B$21)</f>
        <v>170407.83043887283</v>
      </c>
      <c r="W12" s="10">
        <f>IF('Assumptions and Parameters'!$B$108&gt;'Revenue Projections'!W2,0,((('Assumptions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Parameters'!$B$32/100)^(W2-$B$2))*'Assumptions and Parameters'!$B$21)</f>
        <v>175520.06535203898</v>
      </c>
      <c r="X12" s="10">
        <f>IF('Assumptions and Parameters'!$B$108&gt;'Revenue Projections'!X2,0,((('Assumptions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Parameters'!$B$32/100)^(X2-$B$2))*'Assumptions and Parameters'!$B$21)</f>
        <v>180785.66731260018</v>
      </c>
      <c r="Y12" s="10">
        <f>IF('Assumptions and Parameters'!$B$108&gt;'Revenue Projections'!Y2,0,((('Assumptions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Parameters'!$B$32/100)^(Y2-$B$2))*'Assumptions and Parameters'!$B$21)</f>
        <v>186209.23733197819</v>
      </c>
      <c r="Z12" s="10">
        <f>IF('Assumptions and Parameters'!$B$108&gt;'Revenue Projections'!Z2,0,((('Assumptions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Parameters'!$B$32/100)^(Z2-$B$2))*'Assumptions and Parameters'!$B$21)</f>
        <v>191795.51445193755</v>
      </c>
      <c r="AA12" s="10">
        <f>IF('Assumptions and Parameters'!$B$108&gt;'Revenue Projections'!AA2,0,((('Assumptions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Parameters'!$B$32/100)^(AA2-$B$2))*'Assumptions and Parameters'!$B$21)</f>
        <v>197549.37988549564</v>
      </c>
      <c r="AB12" s="10">
        <f>IF('Assumptions and Parameters'!$B$108&gt;'Revenue Projections'!AB2,0,((('Assumptions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Parameters'!$B$32/100)^(AB2-$B$2))*'Assumptions and Parameters'!$B$21)</f>
        <v>203475.86128206053</v>
      </c>
      <c r="AC12" s="10">
        <f>IF('Assumptions and Parameters'!$B$108&gt;'Revenue Projections'!AC2,0,((('Assumptions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Parameters'!$B$32/100)^(AC2-$B$2))*'Assumptions and Parameters'!$B$21)</f>
        <v>209580.13712052233</v>
      </c>
      <c r="AD12" s="10">
        <f>IF('Assumptions and Parameters'!$B$108&gt;'Revenue Projections'!AD2,0,((('Assumptions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Parameters'!$B$32/100)^(AD2-$B$2))*'Assumptions and Parameters'!$B$21)</f>
        <v>215867.54123413799</v>
      </c>
      <c r="AE12" s="10">
        <f>IF('Assumptions and Parameters'!$B$108&gt;'Revenue Projections'!AE2,0,((('Assumptions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Parameters'!$B$32/100)^(AE2-$B$2))*'Assumptions and Parameters'!$B$21)</f>
        <v>222343.5674711621</v>
      </c>
      <c r="AF12" s="10">
        <f>IF('Assumptions and Parameters'!$B$108&gt;'Revenue Projections'!AF2,0,((('Assumptions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Parameters'!$B$32/100)^(AF2-$B$2))*'Assumptions and Parameters'!$B$21)</f>
        <v>229013.87449529697</v>
      </c>
      <c r="AG12" s="10">
        <f>IF('Assumptions and Parameters'!$B$108&gt;'Revenue Projections'!AG2,0,((('Assumptions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Parameters'!$B$32/100)^(AG2-$B$2))*'Assumptions and Parameters'!$B$21)</f>
        <v>235884.29073015592</v>
      </c>
      <c r="AH12" s="10">
        <f>IF('Assumptions and Parameters'!$B$108&gt;'Revenue Projections'!AH2,0,((('Assumptions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Parameters'!$B$32/100)^(AH2-$B$2))*'Assumptions and Parameters'!$B$21)</f>
        <v>242960.81945206056</v>
      </c>
      <c r="AI12" s="10">
        <f>IF('Assumptions and Parameters'!$B$108&gt;'Revenue Projections'!AI2,0,((('Assumptions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Parameters'!$B$32/100)^(AI2-$B$2))*'Assumptions and Parameters'!$B$21)</f>
        <v>250249.64403562236</v>
      </c>
      <c r="AJ12" s="10">
        <f>IF('Assumptions and Parameters'!$B$108&gt;'Revenue Projections'!AJ2,0,((('Assumptions and Parameters'!$B$64*'Assumptions and Parameters'!$B$67*'Assumptions and Parameters'!$B$68*'Assumptions and Parameters'!$B$18)+
('Assumptions and Parameters'!$B$64*'Assumptions and Parameters'!$B$72*'Assumptions and Parameters'!$B$74*'Assumptions and Parameters'!$B$19)+
('Assumptions and Parameters'!$B$64*'Assumptions and Parameters'!$B$69*'Assumptions and Parameters'!$B$71*'Assumptions and Parameters'!$B$20))*
'Assumptions and Parameters'!$B$14*(1+'Assumptions and Parameters'!$B$32/100)^(AJ2-$B$2))*'Assumptions and Parameters'!$B$21)</f>
        <v>257757.13335669102</v>
      </c>
    </row>
    <row r="13" spans="1:48" ht="18" x14ac:dyDescent="0.35">
      <c r="A13" s="5" t="s">
        <v>22</v>
      </c>
      <c r="B13" s="10">
        <f>IF('Assumptions and Parameters'!$B$107&gt;'Revenue Projections'!B2,0,((('Assumptions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Parameters'!$B$32/100)^(B2-$B$2))*'Assumptions and Parameters'!$B$26)</f>
        <v>0</v>
      </c>
      <c r="C13" s="10">
        <f>IF('Assumptions and Parameters'!$B$107&gt;'Revenue Projections'!C2,0,((('Assumptions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Parameters'!$B$32/100)^(C2-$B$2))*'Assumptions and Parameters'!$B$26)</f>
        <v>111397.842599775</v>
      </c>
      <c r="D13" s="10">
        <f>IF('Assumptions and Parameters'!$B$107&gt;'Revenue Projections'!D2,0,((('Assumptions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Parameters'!$B$32/100)^(D2-$B$2))*'Assumptions and Parameters'!$B$26)</f>
        <v>114739.77787776825</v>
      </c>
      <c r="E13" s="10">
        <f>IF('Assumptions and Parameters'!$B$107&gt;'Revenue Projections'!E2,0,((('Assumptions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Parameters'!$B$32/100)^(E2-$B$2))*'Assumptions and Parameters'!$B$26)</f>
        <v>118181.9712141013</v>
      </c>
      <c r="F13" s="10">
        <f>IF('Assumptions and Parameters'!$B$107&gt;'Revenue Projections'!F2,0,((('Assumptions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Parameters'!$B$32/100)^(F2-$B$2))*'Assumptions and Parameters'!$B$26)</f>
        <v>121727.43035052433</v>
      </c>
      <c r="G13" s="10">
        <f>IF('Assumptions and Parameters'!$B$107&gt;'Revenue Projections'!G2,0,((('Assumptions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Parameters'!$B$32/100)^(G2-$B$2))*'Assumptions and Parameters'!$B$26)</f>
        <v>125379.25326104005</v>
      </c>
      <c r="H13" s="10">
        <f>IF('Assumptions and Parameters'!$B$107&gt;'Revenue Projections'!H2,0,((('Assumptions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Parameters'!$B$32/100)^(H2-$B$2))*'Assumptions and Parameters'!$B$26)</f>
        <v>129140.63085887127</v>
      </c>
      <c r="I13" s="10">
        <f>IF('Assumptions and Parameters'!$B$107&gt;'Revenue Projections'!I2,0,((('Assumptions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Parameters'!$B$32/100)^(I2-$B$2))*'Assumptions and Parameters'!$B$26)</f>
        <v>133014.84978463742</v>
      </c>
      <c r="J13" s="10">
        <f>IF('Assumptions and Parameters'!$B$107&gt;'Revenue Projections'!J2,0,((('Assumptions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Parameters'!$B$32/100)^(J2-$B$2))*'Assumptions and Parameters'!$B$26)</f>
        <v>137005.29527817652</v>
      </c>
      <c r="K13" s="10">
        <f>IF('Assumptions and Parameters'!$B$107&gt;'Revenue Projections'!K2,0,((('Assumptions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Parameters'!$B$32/100)^(K2-$B$2))*'Assumptions and Parameters'!$B$26)</f>
        <v>141115.45413652182</v>
      </c>
      <c r="L13" s="10">
        <f>IF('Assumptions and Parameters'!$B$107&gt;'Revenue Projections'!L2,0,((('Assumptions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Parameters'!$B$32/100)^(L2-$B$2))*'Assumptions and Parameters'!$B$26)</f>
        <v>145348.91776061748</v>
      </c>
      <c r="M13" s="10">
        <f>IF('Assumptions and Parameters'!$B$107&gt;'Revenue Projections'!M2,0,((('Assumptions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Parameters'!$B$32/100)^(M2-$B$2))*'Assumptions and Parameters'!$B$26)</f>
        <v>149709.385293436</v>
      </c>
      <c r="N13" s="10">
        <f>IF('Assumptions and Parameters'!$B$107&gt;'Revenue Projections'!N2,0,((('Assumptions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Parameters'!$B$32/100)^(N2-$B$2))*'Assumptions and Parameters'!$B$26)</f>
        <v>154200.66685223905</v>
      </c>
      <c r="O13" s="10">
        <f>IF('Assumptions and Parameters'!$B$107&gt;'Revenue Projections'!O2,0,((('Assumptions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Parameters'!$B$32/100)^(O2-$B$2))*'Assumptions and Parameters'!$B$26)</f>
        <v>158826.68685780623</v>
      </c>
      <c r="P13" s="10">
        <f>IF('Assumptions and Parameters'!$B$107&gt;'Revenue Projections'!P2,0,((('Assumptions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Parameters'!$B$32/100)^(P2-$B$2))*'Assumptions and Parameters'!$B$26)</f>
        <v>163591.48746354043</v>
      </c>
      <c r="Q13" s="10">
        <f>IF('Assumptions and Parameters'!$B$107&gt;'Revenue Projections'!Q2,0,((('Assumptions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Parameters'!$B$32/100)^(Q2-$B$2))*'Assumptions and Parameters'!$B$26)</f>
        <v>168499.23208744667</v>
      </c>
      <c r="R13" s="10">
        <f>IF('Assumptions and Parameters'!$B$107&gt;'Revenue Projections'!R2,0,((('Assumptions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Parameters'!$B$32/100)^(R2-$B$2))*'Assumptions and Parameters'!$B$26)</f>
        <v>173554.20905007</v>
      </c>
      <c r="S13" s="10">
        <f>IF('Assumptions and Parameters'!$B$107&gt;'Revenue Projections'!S2,0,((('Assumptions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Parameters'!$B$32/100)^(S2-$B$2))*'Assumptions and Parameters'!$B$26)</f>
        <v>178760.83532157211</v>
      </c>
      <c r="T13" s="10">
        <f>IF('Assumptions and Parameters'!$B$107&gt;'Revenue Projections'!T2,0,((('Assumptions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Parameters'!$B$32/100)^(T2-$B$2))*'Assumptions and Parameters'!$B$26)</f>
        <v>184123.66038121926</v>
      </c>
      <c r="U13" s="10">
        <f>IF('Assumptions and Parameters'!$B$107&gt;'Revenue Projections'!U2,0,((('Assumptions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Parameters'!$B$32/100)^(U2-$B$2))*'Assumptions and Parameters'!$B$26)</f>
        <v>189647.37019265586</v>
      </c>
      <c r="V13" s="10">
        <f>IF('Assumptions and Parameters'!$B$107&gt;'Revenue Projections'!V2,0,((('Assumptions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Parameters'!$B$32/100)^(V2-$B$2))*'Assumptions and Parameters'!$B$26)</f>
        <v>195336.79129843554</v>
      </c>
      <c r="W13" s="10">
        <f>IF('Assumptions and Parameters'!$B$107&gt;'Revenue Projections'!W2,0,((('Assumptions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Parameters'!$B$32/100)^(W2-$B$2))*'Assumptions and Parameters'!$B$26)</f>
        <v>201196.89503738857</v>
      </c>
      <c r="X13" s="10">
        <f>IF('Assumptions and Parameters'!$B$107&gt;'Revenue Projections'!X2,0,((('Assumptions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Parameters'!$B$32/100)^(X2-$B$2))*'Assumptions and Parameters'!$B$26)</f>
        <v>207232.80188851026</v>
      </c>
      <c r="Y13" s="10">
        <f>IF('Assumptions and Parameters'!$B$107&gt;'Revenue Projections'!Y2,0,((('Assumptions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Parameters'!$B$32/100)^(Y2-$B$2))*'Assumptions and Parameters'!$B$26)</f>
        <v>213449.78594516558</v>
      </c>
      <c r="Z13" s="10">
        <f>IF('Assumptions and Parameters'!$B$107&gt;'Revenue Projections'!Z2,0,((('Assumptions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Parameters'!$B$32/100)^(Z2-$B$2))*'Assumptions and Parameters'!$B$26)</f>
        <v>219853.2795235205</v>
      </c>
      <c r="AA13" s="10">
        <f>IF('Assumptions and Parameters'!$B$107&gt;'Revenue Projections'!AA2,0,((('Assumptions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Parameters'!$B$32/100)^(AA2-$B$2))*'Assumptions and Parameters'!$B$26)</f>
        <v>226448.87790922611</v>
      </c>
      <c r="AB13" s="10">
        <f>IF('Assumptions and Parameters'!$B$107&gt;'Revenue Projections'!AB2,0,((('Assumptions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Parameters'!$B$32/100)^(AB2-$B$2))*'Assumptions and Parameters'!$B$26)</f>
        <v>233242.34424650294</v>
      </c>
      <c r="AC13" s="10">
        <f>IF('Assumptions and Parameters'!$B$107&gt;'Revenue Projections'!AC2,0,((('Assumptions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Parameters'!$B$32/100)^(AC2-$B$2))*'Assumptions and Parameters'!$B$26)</f>
        <v>240239.61457389803</v>
      </c>
      <c r="AD13" s="10">
        <f>IF('Assumptions and Parameters'!$B$107&gt;'Revenue Projections'!AD2,0,((('Assumptions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Parameters'!$B$32/100)^(AD2-$B$2))*'Assumptions and Parameters'!$B$26)</f>
        <v>247446.80301111494</v>
      </c>
      <c r="AE13" s="10">
        <f>IF('Assumptions and Parameters'!$B$107&gt;'Revenue Projections'!AE2,0,((('Assumptions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Parameters'!$B$32/100)^(AE2-$B$2))*'Assumptions and Parameters'!$B$26)</f>
        <v>254870.20710144838</v>
      </c>
      <c r="AF13" s="10">
        <f>IF('Assumptions and Parameters'!$B$107&gt;'Revenue Projections'!AF2,0,((('Assumptions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Parameters'!$B$32/100)^(AF2-$B$2))*'Assumptions and Parameters'!$B$26)</f>
        <v>262516.31331449177</v>
      </c>
      <c r="AG13" s="10">
        <f>IF('Assumptions and Parameters'!$B$107&gt;'Revenue Projections'!AG2,0,((('Assumptions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Parameters'!$B$32/100)^(AG2-$B$2))*'Assumptions and Parameters'!$B$26)</f>
        <v>270391.80271392659</v>
      </c>
      <c r="AH13" s="10">
        <f>IF('Assumptions and Parameters'!$B$107&gt;'Revenue Projections'!AH2,0,((('Assumptions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Parameters'!$B$32/100)^(AH2-$B$2))*'Assumptions and Parameters'!$B$26)</f>
        <v>278503.55679534434</v>
      </c>
      <c r="AI13" s="10">
        <f>IF('Assumptions and Parameters'!$B$107&gt;'Revenue Projections'!AI2,0,((('Assumptions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Parameters'!$B$32/100)^(AI2-$B$2))*'Assumptions and Parameters'!$B$26)</f>
        <v>286858.66349920473</v>
      </c>
      <c r="AJ13" s="10">
        <f>IF('Assumptions and Parameters'!$B$107&gt;'Revenue Projections'!AJ2,0,((('Assumptions and Parameters'!$B$78*'Assumptions and Parameters'!$B$81*'Assumptions and Parameters'!$B$82*'Assumptions and Parameters'!$B$23)+
('Assumptions and Parameters'!$B$78*'Assumptions and Parameters'!$B$83*'Assumptions and Parameters'!$B$85*'Assumptions and Parameters'!$B$25)+
('Assumptions and Parameters'!$B$78*'Assumptions and Parameters'!$B$86*'Assumptions and Parameters'!$B$88*'Assumptions and Parameters'!$B$24))*
'Assumptions and Parameters'!$B$14*(1+'Assumptions and Parameters'!$B$32/100)^(AJ2-$B$2))*'Assumptions and Parameters'!$B$26)</f>
        <v>295464.42340418079</v>
      </c>
    </row>
    <row r="14" spans="1:48" ht="18" x14ac:dyDescent="0.35">
      <c r="A14" s="5" t="s">
        <v>169</v>
      </c>
      <c r="B14" s="10">
        <f>IF('Assumptions and Parameters'!$B$109&gt;'Revenue Projections'!B2,0,((('Assumptions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Parameters'!$B$32/100)^(B2-$B$2))*'Assumptions and Parameters'!$B$31)</f>
        <v>0</v>
      </c>
      <c r="C14" s="10">
        <f>IF('Assumptions and Parameters'!$B$109&gt;'Revenue Projections'!C2,0,((('Assumptions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Parameters'!$B$32/100)^(C2-$B$2))*'Assumptions and Parameters'!$B$31)</f>
        <v>100207.62880000001</v>
      </c>
      <c r="D14" s="10">
        <f>IF('Assumptions and Parameters'!$B$109&gt;'Revenue Projections'!D2,0,((('Assumptions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Parameters'!$B$32/100)^(D2-$B$2))*'Assumptions and Parameters'!$B$31)</f>
        <v>103213.857664</v>
      </c>
      <c r="E14" s="10">
        <f>IF('Assumptions and Parameters'!$B$109&gt;'Revenue Projections'!E2,0,((('Assumptions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Parameters'!$B$32/100)^(E2-$B$2))*'Assumptions and Parameters'!$B$31)</f>
        <v>106310.27339392001</v>
      </c>
      <c r="F14" s="10">
        <f>IF('Assumptions and Parameters'!$B$109&gt;'Revenue Projections'!F2,0,((('Assumptions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Parameters'!$B$32/100)^(F2-$B$2))*'Assumptions and Parameters'!$B$31)</f>
        <v>109499.5815957376</v>
      </c>
      <c r="G14" s="10">
        <f>IF('Assumptions and Parameters'!$B$109&gt;'Revenue Projections'!G2,0,((('Assumptions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Parameters'!$B$32/100)^(G2-$B$2))*'Assumptions and Parameters'!$B$31)</f>
        <v>112784.56904360972</v>
      </c>
      <c r="H14" s="10">
        <f>IF('Assumptions and Parameters'!$B$109&gt;'Revenue Projections'!H2,0,((('Assumptions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Parameters'!$B$32/100)^(H2-$B$2))*'Assumptions and Parameters'!$B$31)</f>
        <v>116168.10611491802</v>
      </c>
      <c r="I14" s="10">
        <f>IF('Assumptions and Parameters'!$B$109&gt;'Revenue Projections'!I2,0,((('Assumptions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Parameters'!$B$32/100)^(I2-$B$2))*'Assumptions and Parameters'!$B$31)</f>
        <v>119653.14929836556</v>
      </c>
      <c r="J14" s="10">
        <f>IF('Assumptions and Parameters'!$B$109&gt;'Revenue Projections'!J2,0,((('Assumptions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Parameters'!$B$32/100)^(J2-$B$2))*'Assumptions and Parameters'!$B$31)</f>
        <v>123242.7437773165</v>
      </c>
      <c r="K14" s="10">
        <f>IF('Assumptions and Parameters'!$B$109&gt;'Revenue Projections'!K2,0,((('Assumptions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Parameters'!$B$32/100)^(K2-$B$2))*'Assumptions and Parameters'!$B$31)</f>
        <v>126940.02609063601</v>
      </c>
      <c r="L14" s="10">
        <f>IF('Assumptions and Parameters'!$B$109&gt;'Revenue Projections'!L2,0,((('Assumptions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Parameters'!$B$32/100)^(L2-$B$2))*'Assumptions and Parameters'!$B$31)</f>
        <v>130748.2268733551</v>
      </c>
      <c r="M14" s="10">
        <f>IF('Assumptions and Parameters'!$B$109&gt;'Revenue Projections'!M2,0,((('Assumptions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Parameters'!$B$32/100)^(M2-$B$2))*'Assumptions and Parameters'!$B$31)</f>
        <v>134670.67367955574</v>
      </c>
      <c r="N14" s="10">
        <f>IF('Assumptions and Parameters'!$B$109&gt;'Revenue Projections'!N2,0,((('Assumptions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Parameters'!$B$32/100)^(N2-$B$2))*'Assumptions and Parameters'!$B$31)</f>
        <v>138710.7938899424</v>
      </c>
      <c r="O14" s="10">
        <f>IF('Assumptions and Parameters'!$B$109&gt;'Revenue Projections'!O2,0,((('Assumptions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Parameters'!$B$32/100)^(O2-$B$2))*'Assumptions and Parameters'!$B$31)</f>
        <v>142872.11770664065</v>
      </c>
      <c r="P14" s="10">
        <f>IF('Assumptions and Parameters'!$B$109&gt;'Revenue Projections'!P2,0,((('Assumptions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Parameters'!$B$32/100)^(P2-$B$2))*'Assumptions and Parameters'!$B$31)</f>
        <v>147158.2812378399</v>
      </c>
      <c r="Q14" s="10">
        <f>IF('Assumptions and Parameters'!$B$109&gt;'Revenue Projections'!Q2,0,((('Assumptions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Parameters'!$B$32/100)^(Q2-$B$2))*'Assumptions and Parameters'!$B$31)</f>
        <v>151573.02967497511</v>
      </c>
      <c r="R14" s="10">
        <f>IF('Assumptions and Parameters'!$B$109&gt;'Revenue Projections'!R2,0,((('Assumptions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Parameters'!$B$32/100)^(R2-$B$2))*'Assumptions and Parameters'!$B$31)</f>
        <v>156120.22056522436</v>
      </c>
      <c r="S14" s="10">
        <f>IF('Assumptions and Parameters'!$B$109&gt;'Revenue Projections'!S2,0,((('Assumptions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Parameters'!$B$32/100)^(S2-$B$2))*'Assumptions and Parameters'!$B$31)</f>
        <v>160803.82718218106</v>
      </c>
      <c r="T14" s="10">
        <f>IF('Assumptions and Parameters'!$B$109&gt;'Revenue Projections'!T2,0,((('Assumptions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Parameters'!$B$32/100)^(T2-$B$2))*'Assumptions and Parameters'!$B$31)</f>
        <v>165627.9419976465</v>
      </c>
      <c r="U14" s="10">
        <f>IF('Assumptions and Parameters'!$B$109&gt;'Revenue Projections'!U2,0,((('Assumptions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Parameters'!$B$32/100)^(U2-$B$2))*'Assumptions and Parameters'!$B$31)</f>
        <v>170596.78025757588</v>
      </c>
      <c r="V14" s="10">
        <f>IF('Assumptions and Parameters'!$B$109&gt;'Revenue Projections'!V2,0,((('Assumptions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Parameters'!$B$32/100)^(V2-$B$2))*'Assumptions and Parameters'!$B$31)</f>
        <v>175714.68366530316</v>
      </c>
      <c r="W14" s="10">
        <f>IF('Assumptions and Parameters'!$B$109&gt;'Revenue Projections'!W2,0,((('Assumptions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Parameters'!$B$32/100)^(W2-$B$2))*'Assumptions and Parameters'!$B$31)</f>
        <v>180986.12417526226</v>
      </c>
      <c r="X14" s="10">
        <f>IF('Assumptions and Parameters'!$B$109&gt;'Revenue Projections'!X2,0,((('Assumptions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Parameters'!$B$32/100)^(X2-$B$2))*'Assumptions and Parameters'!$B$31)</f>
        <v>186415.70790052012</v>
      </c>
      <c r="Y14" s="10">
        <f>IF('Assumptions and Parameters'!$B$109&gt;'Revenue Projections'!Y2,0,((('Assumptions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Parameters'!$B$32/100)^(Y2-$B$2))*'Assumptions and Parameters'!$B$31)</f>
        <v>192008.17913753574</v>
      </c>
      <c r="Z14" s="10">
        <f>IF('Assumptions and Parameters'!$B$109&gt;'Revenue Projections'!Z2,0,((('Assumptions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Parameters'!$B$32/100)^(Z2-$B$2))*'Assumptions and Parameters'!$B$31)</f>
        <v>197768.42451166178</v>
      </c>
      <c r="AA14" s="10">
        <f>IF('Assumptions and Parameters'!$B$109&gt;'Revenue Projections'!AA2,0,((('Assumptions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Parameters'!$B$32/100)^(AA2-$B$2))*'Assumptions and Parameters'!$B$31)</f>
        <v>203701.47724701164</v>
      </c>
      <c r="AB14" s="10">
        <f>IF('Assumptions and Parameters'!$B$109&gt;'Revenue Projections'!AB2,0,((('Assumptions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Parameters'!$B$32/100)^(AB2-$B$2))*'Assumptions and Parameters'!$B$31)</f>
        <v>209812.521564422</v>
      </c>
      <c r="AC14" s="10">
        <f>IF('Assumptions and Parameters'!$B$109&gt;'Revenue Projections'!AC2,0,((('Assumptions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Parameters'!$B$32/100)^(AC2-$B$2))*'Assumptions and Parameters'!$B$31)</f>
        <v>216106.89721135463</v>
      </c>
      <c r="AD14" s="10">
        <f>IF('Assumptions and Parameters'!$B$109&gt;'Revenue Projections'!AD2,0,((('Assumptions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Parameters'!$B$32/100)^(AD2-$B$2))*'Assumptions and Parameters'!$B$31)</f>
        <v>222590.10412769529</v>
      </c>
      <c r="AE14" s="10">
        <f>IF('Assumptions and Parameters'!$B$109&gt;'Revenue Projections'!AE2,0,((('Assumptions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Parameters'!$B$32/100)^(AE2-$B$2))*'Assumptions and Parameters'!$B$31)</f>
        <v>229267.8072515261</v>
      </c>
      <c r="AF14" s="10">
        <f>IF('Assumptions and Parameters'!$B$109&gt;'Revenue Projections'!AF2,0,((('Assumptions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Parameters'!$B$32/100)^(AF2-$B$2))*'Assumptions and Parameters'!$B$31)</f>
        <v>236145.84146907189</v>
      </c>
      <c r="AG14" s="10">
        <f>IF('Assumptions and Parameters'!$B$109&gt;'Revenue Projections'!AG2,0,((('Assumptions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Parameters'!$B$32/100)^(AG2-$B$2))*'Assumptions and Parameters'!$B$31)</f>
        <v>243230.21671314412</v>
      </c>
      <c r="AH14" s="10">
        <f>IF('Assumptions and Parameters'!$B$109&gt;'Revenue Projections'!AH2,0,((('Assumptions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Parameters'!$B$32/100)^(AH2-$B$2))*'Assumptions and Parameters'!$B$31)</f>
        <v>250527.12321453838</v>
      </c>
      <c r="AI14" s="10">
        <f>IF('Assumptions and Parameters'!$B$109&gt;'Revenue Projections'!AI2,0,((('Assumptions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Parameters'!$B$32/100)^(AI2-$B$2))*'Assumptions and Parameters'!$B$31)</f>
        <v>258042.9369109745</v>
      </c>
      <c r="AJ14" s="10">
        <f>IF('Assumptions and Parameters'!$B$109&gt;'Revenue Projections'!AJ2,0,((('Assumptions and Parameters'!$B$92*'Assumptions and Parameters'!$B$95*'Assumptions and Parameters'!$B$96*'Assumptions and Parameters'!$B$28)+
('Assumptions and Parameters'!$B$92*'Assumptions and Parameters'!$B$97*'Assumptions and Parameters'!$B$99*'Assumptions and Parameters'!$B$30)+
('Assumptions and Parameters'!$B$92*'Assumptions and Parameters'!$B$100*'Assumptions and Parameters'!$B$102*'Assumptions and Parameters'!$B$29))*
'Assumptions and Parameters'!$B$14*(1+'Assumptions and Parameters'!$B$32/100)^(AJ2-$B$2))*'Assumptions and Parameters'!$B$31)</f>
        <v>265784.22501830372</v>
      </c>
    </row>
    <row r="15" spans="1:48" ht="21" x14ac:dyDescent="0.4">
      <c r="A15" s="4" t="s">
        <v>2</v>
      </c>
      <c r="B15" s="5"/>
      <c r="C15" s="5"/>
      <c r="D15" s="5"/>
      <c r="E15" s="5"/>
      <c r="F15" s="5"/>
      <c r="G15" s="5"/>
    </row>
    <row r="16" spans="1:48" ht="18" x14ac:dyDescent="0.35">
      <c r="A16" s="5" t="s">
        <v>31</v>
      </c>
      <c r="B16" s="11">
        <f>((SUM(B12:B14)*(1/'Assumptions and Parameters'!$B$14)))*'Assumptions and Parameters'!$B$36</f>
        <v>0</v>
      </c>
      <c r="C16" s="11">
        <f>((SUM(C12:C14)*(1/'Assumptions and Parameters'!$B$14)))*'Assumptions and Parameters'!$B$36</f>
        <v>53523.736883472498</v>
      </c>
      <c r="D16" s="11">
        <f>((SUM(D12:D14)*(1/'Assumptions and Parameters'!$B$14)))*'Assumptions and Parameters'!$B$36</f>
        <v>55129.448989976678</v>
      </c>
      <c r="E16" s="11">
        <f>((SUM(E12:E14)*(1/'Assumptions and Parameters'!$B$14)))*'Assumptions and Parameters'!$B$36</f>
        <v>56783.332459675978</v>
      </c>
      <c r="F16" s="11">
        <f>((SUM(F12:F14)*(1/'Assumptions and Parameters'!$B$14)))*'Assumptions and Parameters'!$B$36</f>
        <v>58486.832433466247</v>
      </c>
      <c r="G16" s="11">
        <f>((SUM(G12:G14)*(1/'Assumptions and Parameters'!$B$14)))*'Assumptions and Parameters'!$B$36</f>
        <v>60241.437406470235</v>
      </c>
      <c r="H16" s="11">
        <f>((SUM(H12:H14)*(1/'Assumptions and Parameters'!$B$14)))*'Assumptions and Parameters'!$B$36</f>
        <v>62048.680528664343</v>
      </c>
      <c r="I16" s="11">
        <f>((SUM(I12:I14)*(1/'Assumptions and Parameters'!$B$14)))*'Assumptions and Parameters'!$B$36</f>
        <v>93261.293537202349</v>
      </c>
      <c r="J16" s="11">
        <f>((SUM(J12:J14)*(1/'Assumptions and Parameters'!$B$14)))*'Assumptions and Parameters'!$B$36</f>
        <v>96059.132343318415</v>
      </c>
      <c r="K16" s="11">
        <f>((SUM(K12:K14)*(1/'Assumptions and Parameters'!$B$14)))*'Assumptions and Parameters'!$B$36</f>
        <v>98940.906313617947</v>
      </c>
      <c r="L16" s="11">
        <f>((SUM(L12:L14)*(1/'Assumptions and Parameters'!$B$14)))*'Assumptions and Parameters'!$B$36</f>
        <v>101909.13350302647</v>
      </c>
      <c r="M16" s="11">
        <f>((SUM(M12:M14)*(1/'Assumptions and Parameters'!$B$14)))*'Assumptions and Parameters'!$B$36</f>
        <v>104966.40750811729</v>
      </c>
      <c r="N16" s="11">
        <f>((SUM(N12:N14)*(1/'Assumptions and Parameters'!$B$14)))*'Assumptions and Parameters'!$B$36</f>
        <v>108115.39973336078</v>
      </c>
      <c r="O16" s="11">
        <f>((SUM(O12:O14)*(1/'Assumptions and Parameters'!$B$14)))*'Assumptions and Parameters'!$B$36</f>
        <v>111358.8617253616</v>
      </c>
      <c r="P16" s="11">
        <f>((SUM(P12:P14)*(1/'Assumptions and Parameters'!$B$14)))*'Assumptions and Parameters'!$B$36</f>
        <v>114699.62757712246</v>
      </c>
      <c r="Q16" s="11">
        <f>((SUM(Q12:Q14)*(1/'Assumptions and Parameters'!$B$14)))*'Assumptions and Parameters'!$B$36</f>
        <v>118140.61640443616</v>
      </c>
      <c r="R16" s="11">
        <f>((SUM(R12:R14)*(1/'Assumptions and Parameters'!$B$14)))*'Assumptions and Parameters'!$B$36</f>
        <v>121684.83489656921</v>
      </c>
      <c r="S16" s="11">
        <f>((SUM(S12:S14)*(1/'Assumptions and Parameters'!$B$14)))*'Assumptions and Parameters'!$B$36</f>
        <v>125335.37994346629</v>
      </c>
      <c r="T16" s="11">
        <f>((SUM(T12:T14)*(1/'Assumptions and Parameters'!$B$14)))*'Assumptions and Parameters'!$B$36</f>
        <v>129095.44134177027</v>
      </c>
      <c r="U16" s="11">
        <f>((SUM(U12:U14)*(1/'Assumptions and Parameters'!$B$14)))*'Assumptions and Parameters'!$B$36</f>
        <v>132968.30458202338</v>
      </c>
      <c r="V16" s="11">
        <f>((SUM(V12:V14)*(1/'Assumptions and Parameters'!$B$14)))*'Assumptions and Parameters'!$B$36</f>
        <v>136957.35371948409</v>
      </c>
      <c r="W16" s="11">
        <f>((SUM(W12:W14)*(1/'Assumptions and Parameters'!$B$14)))*'Assumptions and Parameters'!$B$36</f>
        <v>141066.07433106858</v>
      </c>
      <c r="X16" s="11">
        <f>((SUM(X12:X14)*(1/'Assumptions and Parameters'!$B$14)))*'Assumptions and Parameters'!$B$36</f>
        <v>145298.05656100065</v>
      </c>
      <c r="Y16" s="11">
        <f>((SUM(Y12:Y14)*(1/'Assumptions and Parameters'!$B$14)))*'Assumptions and Parameters'!$B$36</f>
        <v>149656.99825783071</v>
      </c>
      <c r="Z16" s="11">
        <f>((SUM(Z12:Z14)*(1/'Assumptions and Parameters'!$B$14)))*'Assumptions and Parameters'!$B$36</f>
        <v>154146.70820556558</v>
      </c>
      <c r="AA16" s="11">
        <f>((SUM(AA12:AA14)*(1/'Assumptions and Parameters'!$B$14)))*'Assumptions and Parameters'!$B$36</f>
        <v>158771.10945173254</v>
      </c>
      <c r="AB16" s="11">
        <f>((SUM(AB12:AB14)*(1/'Assumptions and Parameters'!$B$14)))*'Assumptions and Parameters'!$B$36</f>
        <v>163534.24273528456</v>
      </c>
      <c r="AC16" s="11">
        <f>((SUM(AC12:AC14)*(1/'Assumptions and Parameters'!$B$14)))*'Assumptions and Parameters'!$B$36</f>
        <v>168440.27001734308</v>
      </c>
      <c r="AD16" s="11">
        <f>((SUM(AD12:AD14)*(1/'Assumptions and Parameters'!$B$14)))*'Assumptions and Parameters'!$B$36</f>
        <v>173493.47811786339</v>
      </c>
      <c r="AE16" s="11">
        <f>((SUM(AE12:AE14)*(1/'Assumptions and Parameters'!$B$14)))*'Assumptions and Parameters'!$B$36</f>
        <v>178698.28246139924</v>
      </c>
      <c r="AF16" s="11">
        <f>((SUM(AF12:AF14)*(1/'Assumptions and Parameters'!$B$14)))*'Assumptions and Parameters'!$B$36</f>
        <v>184059.23093524121</v>
      </c>
      <c r="AG16" s="11">
        <f>((SUM(AG12:AG14)*(1/'Assumptions and Parameters'!$B$14)))*'Assumptions and Parameters'!$B$36</f>
        <v>189581.0078632985</v>
      </c>
      <c r="AH16" s="11">
        <f>((SUM(AH12:AH14)*(1/'Assumptions and Parameters'!$B$14)))*'Assumptions and Parameters'!$B$36</f>
        <v>195268.4380991974</v>
      </c>
      <c r="AI16" s="11">
        <f>((SUM(AI12:AI14)*(1/'Assumptions and Parameters'!$B$14)))*'Assumptions and Parameters'!$B$36</f>
        <v>201126.49124217336</v>
      </c>
      <c r="AJ16" s="11">
        <f>((SUM(AJ12:AJ14)*(1/'Assumptions and Parameters'!$B$14)))*'Assumptions and Parameters'!$B$36</f>
        <v>207160.28597943851</v>
      </c>
    </row>
    <row r="17" spans="1:36" ht="18" x14ac:dyDescent="0.35">
      <c r="A17" s="5" t="s">
        <v>35</v>
      </c>
      <c r="B17" s="8">
        <f>((SUM(B6:B8)*(1/'Assumptions and Parameters'!$B$61)))*'Assumptions and Parameters'!$B$37</f>
        <v>0</v>
      </c>
      <c r="C17" s="8">
        <f>((SUM(C6:C8)*(1/'Assumptions and Parameters'!$B$61)))*'Assumptions and Parameters'!$B$37</f>
        <v>277911.40351904003</v>
      </c>
      <c r="D17" s="8">
        <f>((SUM(D6:D8)*(1/'Assumptions and Parameters'!$B$61)))*'Assumptions and Parameters'!$B$37</f>
        <v>284101.01798442076</v>
      </c>
      <c r="E17" s="8">
        <f>((SUM(E6:E8)*(1/'Assumptions and Parameters'!$B$61)))*'Assumptions and Parameters'!$B$37</f>
        <v>290433.36633095931</v>
      </c>
      <c r="F17" s="8">
        <f>((SUM(F6:F8)*(1/'Assumptions and Parameters'!$B$61)))*'Assumptions and Parameters'!$B$37</f>
        <v>296911.87148403388</v>
      </c>
      <c r="G17" s="8">
        <f>((SUM(G6:G8)*(1/'Assumptions and Parameters'!$B$61)))*'Assumptions and Parameters'!$B$37</f>
        <v>303540.04187496373</v>
      </c>
      <c r="H17" s="8">
        <f>((SUM(H6:H8)*(1/'Assumptions and Parameters'!$B$61)))*'Assumptions and Parameters'!$B$37</f>
        <v>310321.47366254969</v>
      </c>
      <c r="I17" s="8">
        <f>((SUM(I6:I8)*(1/'Assumptions and Parameters'!$B$61)))*'Assumptions and Parameters'!$B$37</f>
        <v>621610.83386699285</v>
      </c>
      <c r="J17" s="8">
        <f>((SUM(J6:J8)*(1/'Assumptions and Parameters'!$B$61)))*'Assumptions and Parameters'!$B$37</f>
        <v>639362.22363206861</v>
      </c>
      <c r="K17" s="8">
        <f>((SUM(K6:K8)*(1/'Assumptions and Parameters'!$B$61)))*'Assumptions and Parameters'!$B$37</f>
        <v>657651.04270864185</v>
      </c>
      <c r="L17" s="8">
        <f>((SUM(L6:L8)*(1/'Assumptions and Parameters'!$B$61)))*'Assumptions and Parameters'!$B$37</f>
        <v>676494.31064975332</v>
      </c>
      <c r="M17" s="8">
        <f>((SUM(M6:M8)*(1/'Assumptions and Parameters'!$B$61)))*'Assumptions and Parameters'!$B$37</f>
        <v>695909.60349075485</v>
      </c>
      <c r="N17" s="8">
        <f>((SUM(N6:N8)*(1/'Assumptions and Parameters'!$B$61)))*'Assumptions and Parameters'!$B$37</f>
        <v>715915.0723403726</v>
      </c>
      <c r="O17" s="8">
        <f>((SUM(O6:O8)*(1/'Assumptions and Parameters'!$B$61)))*'Assumptions and Parameters'!$B$37</f>
        <v>736529.46260168601</v>
      </c>
      <c r="P17" s="8">
        <f>((SUM(P6:P8)*(1/'Assumptions and Parameters'!$B$61)))*'Assumptions and Parameters'!$B$37</f>
        <v>757772.1338445663</v>
      </c>
      <c r="Q17" s="8">
        <f>((SUM(Q6:Q8)*(1/'Assumptions and Parameters'!$B$61)))*'Assumptions and Parameters'!$B$37</f>
        <v>779663.08035185095</v>
      </c>
      <c r="R17" s="8">
        <f>((SUM(R6:R8)*(1/'Assumptions and Parameters'!$B$61)))*'Assumptions and Parameters'!$B$37</f>
        <v>802222.95236230909</v>
      </c>
      <c r="S17" s="8">
        <f>((SUM(S6:S8)*(1/'Assumptions and Parameters'!$B$61)))*'Assumptions and Parameters'!$B$37</f>
        <v>825473.07803422853</v>
      </c>
      <c r="T17" s="8">
        <f>((SUM(T6:T8)*(1/'Assumptions and Parameters'!$B$61)))*'Assumptions and Parameters'!$B$37</f>
        <v>849435.48615429655</v>
      </c>
      <c r="U17" s="8">
        <f>((SUM(U6:U8)*(1/'Assumptions and Parameters'!$B$61)))*'Assumptions and Parameters'!$B$37</f>
        <v>874132.92961727618</v>
      </c>
      <c r="V17" s="8">
        <f>((SUM(V6:V8)*(1/'Assumptions and Parameters'!$B$61)))*'Assumptions and Parameters'!$B$37</f>
        <v>899588.90970287158</v>
      </c>
      <c r="W17" s="8">
        <f>((SUM(W6:W8)*(1/'Assumptions and Parameters'!$B$61)))*'Assumptions and Parameters'!$B$37</f>
        <v>925827.70117707632</v>
      </c>
      <c r="X17" s="8">
        <f>((SUM(X6:X8)*(1/'Assumptions and Parameters'!$B$61)))*'Assumptions and Parameters'!$B$37</f>
        <v>952874.37824624311</v>
      </c>
      <c r="Y17" s="8">
        <f>((SUM(Y6:Y8)*(1/'Assumptions and Parameters'!$B$61)))*'Assumptions and Parameters'!$B$37</f>
        <v>980754.84139308298</v>
      </c>
      <c r="Z17" s="8">
        <f>((SUM(Z6:Z8)*(1/'Assumptions and Parameters'!$B$61)))*'Assumptions and Parameters'!$B$37</f>
        <v>1009495.84512481</v>
      </c>
      <c r="AA17" s="8">
        <f>((SUM(AA6:AA8)*(1/'Assumptions and Parameters'!$B$61)))*'Assumptions and Parameters'!$B$37</f>
        <v>1039125.026664688</v>
      </c>
      <c r="AB17" s="8">
        <f>((SUM(AB6:AB8)*(1/'Assumptions and Parameters'!$B$61)))*'Assumptions and Parameters'!$B$37</f>
        <v>1069670.9356193102</v>
      </c>
      <c r="AC17" s="8">
        <f>((SUM(AC6:AC8)*(1/'Assumptions and Parameters'!$B$61)))*'Assumptions and Parameters'!$B$37</f>
        <v>1101163.0646550576</v>
      </c>
      <c r="AD17" s="8">
        <f>((SUM(AD6:AD8)*(1/'Assumptions and Parameters'!$B$61)))*'Assumptions and Parameters'!$B$37</f>
        <v>1133631.881218343</v>
      </c>
      <c r="AE17" s="8">
        <f>((SUM(AE6:AE8)*(1/'Assumptions and Parameters'!$B$61)))*'Assumptions and Parameters'!$B$37</f>
        <v>1167108.8603354208</v>
      </c>
      <c r="AF17" s="8">
        <f>((SUM(AF6:AF8)*(1/'Assumptions and Parameters'!$B$61)))*'Assumptions and Parameters'!$B$37</f>
        <v>1201626.5185287977</v>
      </c>
      <c r="AG17" s="8">
        <f>((SUM(AG6:AG8)*(1/'Assumptions and Parameters'!$B$61)))*'Assumptions and Parameters'!$B$37</f>
        <v>1237218.4488885396</v>
      </c>
      <c r="AH17" s="8">
        <f>((SUM(AH6:AH8)*(1/'Assumptions and Parameters'!$B$61)))*'Assumptions and Parameters'!$B$37</f>
        <v>1273919.3573381</v>
      </c>
      <c r="AI17" s="8">
        <f>((SUM(AI6:AI8)*(1/'Assumptions and Parameters'!$B$61)))*'Assumptions and Parameters'!$B$37</f>
        <v>1311765.1001356575</v>
      </c>
      <c r="AJ17" s="8">
        <f>((SUM(AJ6:AJ8)*(1/'Assumptions and Parameters'!$B$61)))*'Assumptions and Parameters'!$B$37</f>
        <v>1350792.7226533613</v>
      </c>
    </row>
    <row r="18" spans="1:36" ht="18" x14ac:dyDescent="0.35">
      <c r="A18" s="5" t="s">
        <v>136</v>
      </c>
      <c r="B18" s="8">
        <f>IF('Assumptions and Parameters'!$B$108&gt;'Revenue Projections'!B2,0,(('Assumptions and Parameters'!$B$39*(1+'Assumptions and Parameters'!$B$41/100)^(B1-$B$2)))*'Assumptions and Parameters'!$B$38)</f>
        <v>0</v>
      </c>
      <c r="C18" s="8">
        <f>IF('Assumptions and Parameters'!$B$108&gt;'Revenue Projections'!C2,0,(('Assumptions and Parameters'!$B$39*(1+'Assumptions and Parameters'!$B$41/100)^(C1-$B$2)))*'Assumptions and Parameters'!$B$38)</f>
        <v>0</v>
      </c>
      <c r="D18" s="8">
        <f>IF('Assumptions and Parameters'!$B$108&gt;'Revenue Projections'!D2,0,(('Assumptions and Parameters'!$B$39*(1+'Assumptions and Parameters'!$B$41/100)^(D1-$B$2)))*'Assumptions and Parameters'!$B$38)</f>
        <v>0</v>
      </c>
      <c r="E18" s="8">
        <f>IF('Assumptions and Parameters'!$B$108&gt;'Revenue Projections'!E2,0,(('Assumptions and Parameters'!$B$39*(1+'Assumptions and Parameters'!$B$41/100)^(E1-$B$2)))*'Assumptions and Parameters'!$B$38)</f>
        <v>0</v>
      </c>
      <c r="F18" s="8">
        <f>IF('Assumptions and Parameters'!$B$108&gt;'Revenue Projections'!F2,0,(('Assumptions and Parameters'!$B$39*(1+'Assumptions and Parameters'!$B$41/100)^(F1-$B$2)))*'Assumptions and Parameters'!$B$38)</f>
        <v>0</v>
      </c>
      <c r="G18" s="8">
        <f>IF('Assumptions and Parameters'!$B$108&gt;'Revenue Projections'!G2,0,(('Assumptions and Parameters'!$B$39*(1+'Assumptions and Parameters'!$B$41/100)^(G1-$B$2)))*'Assumptions and Parameters'!$B$38)</f>
        <v>0</v>
      </c>
      <c r="H18" s="8">
        <f>IF('Assumptions and Parameters'!$B$108&gt;'Revenue Projections'!H2,0,(('Assumptions and Parameters'!$B$39*(1+'Assumptions and Parameters'!$B$41/100)^(H1-$B$2)))*'Assumptions and Parameters'!$B$38)</f>
        <v>0</v>
      </c>
      <c r="I18" s="8">
        <f>IF('Assumptions and Parameters'!$B$108&gt;'Revenue Projections'!I2,0,(('Assumptions and Parameters'!$B$39*(1+'Assumptions and Parameters'!$B$41/100)^(I1-$B$2)))*'Assumptions and Parameters'!$B$38)</f>
        <v>81372.549019607846</v>
      </c>
      <c r="J18" s="8">
        <f>IF('Assumptions and Parameters'!$B$108&gt;'Revenue Projections'!J2,0,(('Assumptions and Parameters'!$B$39*(1+'Assumptions and Parameters'!$B$41/100)^(J1-$B$2)))*'Assumptions and Parameters'!$B$38)</f>
        <v>81372.549019607846</v>
      </c>
      <c r="K18" s="8">
        <f>IF('Assumptions and Parameters'!$B$108&gt;'Revenue Projections'!K2,0,(('Assumptions and Parameters'!$B$39*(1+'Assumptions and Parameters'!$B$41/100)^(K1-$B$2)))*'Assumptions and Parameters'!$B$38)</f>
        <v>81372.549019607846</v>
      </c>
      <c r="L18" s="8">
        <f>IF('Assumptions and Parameters'!$B$108&gt;'Revenue Projections'!L2,0,(('Assumptions and Parameters'!$B$39*(1+'Assumptions and Parameters'!$B$41/100)^(L1-$B$2)))*'Assumptions and Parameters'!$B$38)</f>
        <v>81372.549019607846</v>
      </c>
      <c r="M18" s="8">
        <f>IF('Assumptions and Parameters'!$B$108&gt;'Revenue Projections'!M2,0,(('Assumptions and Parameters'!$B$39*(1+'Assumptions and Parameters'!$B$41/100)^(M1-$B$2)))*'Assumptions and Parameters'!$B$38)</f>
        <v>81372.549019607846</v>
      </c>
      <c r="N18" s="8">
        <f>IF('Assumptions and Parameters'!$B$108&gt;'Revenue Projections'!N2,0,(('Assumptions and Parameters'!$B$39*(1+'Assumptions and Parameters'!$B$41/100)^(N1-$B$2)))*'Assumptions and Parameters'!$B$38)</f>
        <v>81372.549019607846</v>
      </c>
      <c r="O18" s="8">
        <f>IF('Assumptions and Parameters'!$B$108&gt;'Revenue Projections'!O2,0,(('Assumptions and Parameters'!$B$39*(1+'Assumptions and Parameters'!$B$41/100)^(O1-$B$2)))*'Assumptions and Parameters'!$B$38)</f>
        <v>81372.549019607846</v>
      </c>
      <c r="P18" s="8">
        <f>IF('Assumptions and Parameters'!$B$108&gt;'Revenue Projections'!P2,0,(('Assumptions and Parameters'!$B$39*(1+'Assumptions and Parameters'!$B$41/100)^(P1-$B$2)))*'Assumptions and Parameters'!$B$38)</f>
        <v>81372.549019607846</v>
      </c>
      <c r="Q18" s="8">
        <f>IF('Assumptions and Parameters'!$B$108&gt;'Revenue Projections'!Q2,0,(('Assumptions and Parameters'!$B$39*(1+'Assumptions and Parameters'!$B$41/100)^(Q1-$B$2)))*'Assumptions and Parameters'!$B$38)</f>
        <v>81372.549019607846</v>
      </c>
      <c r="R18" s="8">
        <f>IF('Assumptions and Parameters'!$B$108&gt;'Revenue Projections'!R2,0,(('Assumptions and Parameters'!$B$39*(1+'Assumptions and Parameters'!$B$41/100)^(R1-$B$2)))*'Assumptions and Parameters'!$B$38)</f>
        <v>81372.549019607846</v>
      </c>
      <c r="S18" s="8">
        <f>IF('Assumptions and Parameters'!$B$108&gt;'Revenue Projections'!S2,0,(('Assumptions and Parameters'!$B$39*(1+'Assumptions and Parameters'!$B$41/100)^(S1-$B$2)))*'Assumptions and Parameters'!$B$38)</f>
        <v>81372.549019607846</v>
      </c>
      <c r="T18" s="8">
        <f>IF('Assumptions and Parameters'!$B$108&gt;'Revenue Projections'!T2,0,(('Assumptions and Parameters'!$B$39*(1+'Assumptions and Parameters'!$B$41/100)^(T1-$B$2)))*'Assumptions and Parameters'!$B$38)</f>
        <v>81372.549019607846</v>
      </c>
      <c r="U18" s="8">
        <f>IF('Assumptions and Parameters'!$B$108&gt;'Revenue Projections'!U2,0,(('Assumptions and Parameters'!$B$39*(1+'Assumptions and Parameters'!$B$41/100)^(U1-$B$2)))*'Assumptions and Parameters'!$B$38)</f>
        <v>81372.549019607846</v>
      </c>
      <c r="V18" s="8">
        <f>IF('Assumptions and Parameters'!$B$108&gt;'Revenue Projections'!V2,0,(('Assumptions and Parameters'!$B$39*(1+'Assumptions and Parameters'!$B$41/100)^(V1-$B$2)))*'Assumptions and Parameters'!$B$38)</f>
        <v>81372.549019607846</v>
      </c>
      <c r="W18" s="8">
        <f>IF('Assumptions and Parameters'!$B$108&gt;'Revenue Projections'!W2,0,(('Assumptions and Parameters'!$B$39*(1+'Assumptions and Parameters'!$B$41/100)^(W1-$B$2)))*'Assumptions and Parameters'!$B$38)</f>
        <v>81372.549019607846</v>
      </c>
      <c r="X18" s="8">
        <f>IF('Assumptions and Parameters'!$B$108&gt;'Revenue Projections'!X2,0,(('Assumptions and Parameters'!$B$39*(1+'Assumptions and Parameters'!$B$41/100)^(X1-$B$2)))*'Assumptions and Parameters'!$B$38)</f>
        <v>81372.549019607846</v>
      </c>
      <c r="Y18" s="8">
        <f>IF('Assumptions and Parameters'!$B$108&gt;'Revenue Projections'!Y2,0,(('Assumptions and Parameters'!$B$39*(1+'Assumptions and Parameters'!$B$41/100)^(Y1-$B$2)))*'Assumptions and Parameters'!$B$38)</f>
        <v>81372.549019607846</v>
      </c>
      <c r="Z18" s="8">
        <f>IF('Assumptions and Parameters'!$B$108&gt;'Revenue Projections'!Z2,0,(('Assumptions and Parameters'!$B$39*(1+'Assumptions and Parameters'!$B$41/100)^(Z1-$B$2)))*'Assumptions and Parameters'!$B$38)</f>
        <v>81372.549019607846</v>
      </c>
      <c r="AA18" s="8">
        <f>IF('Assumptions and Parameters'!$B$108&gt;'Revenue Projections'!AA2,0,(('Assumptions and Parameters'!$B$39*(1+'Assumptions and Parameters'!$B$41/100)^(AA1-$B$2)))*'Assumptions and Parameters'!$B$38)</f>
        <v>81372.549019607846</v>
      </c>
      <c r="AB18" s="8">
        <f>IF('Assumptions and Parameters'!$B$108&gt;'Revenue Projections'!AB2,0,(('Assumptions and Parameters'!$B$39*(1+'Assumptions and Parameters'!$B$41/100)^(AB1-$B$2)))*'Assumptions and Parameters'!$B$38)</f>
        <v>81372.549019607846</v>
      </c>
      <c r="AC18" s="8">
        <f>IF('Assumptions and Parameters'!$B$108&gt;'Revenue Projections'!AC2,0,(('Assumptions and Parameters'!$B$39*(1+'Assumptions and Parameters'!$B$41/100)^(AC1-$B$2)))*'Assumptions and Parameters'!$B$38)</f>
        <v>81372.549019607846</v>
      </c>
      <c r="AD18" s="8">
        <f>IF('Assumptions and Parameters'!$B$108&gt;'Revenue Projections'!AD2,0,(('Assumptions and Parameters'!$B$39*(1+'Assumptions and Parameters'!$B$41/100)^(AD1-$B$2)))*'Assumptions and Parameters'!$B$38)</f>
        <v>81372.549019607846</v>
      </c>
      <c r="AE18" s="8">
        <f>IF('Assumptions and Parameters'!$B$108&gt;'Revenue Projections'!AE2,0,(('Assumptions and Parameters'!$B$39*(1+'Assumptions and Parameters'!$B$41/100)^(AE1-$B$2)))*'Assumptions and Parameters'!$B$38)</f>
        <v>81372.549019607846</v>
      </c>
      <c r="AF18" s="8">
        <f>IF('Assumptions and Parameters'!$B$108&gt;'Revenue Projections'!AF2,0,(('Assumptions and Parameters'!$B$39*(1+'Assumptions and Parameters'!$B$41/100)^(AF1-$B$2)))*'Assumptions and Parameters'!$B$38)</f>
        <v>81372.549019607846</v>
      </c>
      <c r="AG18" s="8">
        <f>IF('Assumptions and Parameters'!$B$108&gt;'Revenue Projections'!AG2,0,(('Assumptions and Parameters'!$B$39*(1+'Assumptions and Parameters'!$B$41/100)^(AG1-$B$2)))*'Assumptions and Parameters'!$B$38)</f>
        <v>81372.549019607846</v>
      </c>
      <c r="AH18" s="8">
        <f>IF('Assumptions and Parameters'!$B$108&gt;'Revenue Projections'!AH2,0,(('Assumptions and Parameters'!$B$39*(1+'Assumptions and Parameters'!$B$41/100)^(AH1-$B$2)))*'Assumptions and Parameters'!$B$38)</f>
        <v>81372.549019607846</v>
      </c>
      <c r="AI18" s="8">
        <f>IF('Assumptions and Parameters'!$B$108&gt;'Revenue Projections'!AI2,0,(('Assumptions and Parameters'!$B$39*(1+'Assumptions and Parameters'!$B$41/100)^(AI1-$B$2)))*'Assumptions and Parameters'!$B$38)</f>
        <v>81372.549019607846</v>
      </c>
      <c r="AJ18" s="8">
        <f>IF('Assumptions and Parameters'!$B$108&gt;'Revenue Projections'!AJ2,0,(('Assumptions and Parameters'!$B$39*(1+'Assumptions and Parameters'!$B$41/100)^(AJ1-$B$2)))*'Assumptions and Parameters'!$B$38)</f>
        <v>81372.549019607846</v>
      </c>
    </row>
    <row r="19" spans="1:36" ht="18" x14ac:dyDescent="0.35">
      <c r="A19" s="5" t="s">
        <v>137</v>
      </c>
      <c r="B19" s="8">
        <f>IF('Assumptions and Parameters'!$B$108&gt;'Revenue Projections'!B2,0,(('Assumptions and Parameters'!$B$40*(1+'Assumptions and Parameters'!$B$41/100)^(B2-$B$2)))*'Assumptions and Parameters'!$B$38)</f>
        <v>0</v>
      </c>
      <c r="C19" s="8">
        <f>IF('Assumptions and Parameters'!$B$108&gt;'Revenue Projections'!C2,0,(('Assumptions and Parameters'!$B$40*(1+'Assumptions and Parameters'!$B$41/100)^(C2-$B$2)))*'Assumptions and Parameters'!$B$38)</f>
        <v>0</v>
      </c>
      <c r="D19" s="8">
        <f>IF('Assumptions and Parameters'!$B$108&gt;'Revenue Projections'!D2,0,(('Assumptions and Parameters'!$B$40*(1+'Assumptions and Parameters'!$B$41/100)^(D2-$B$2)))*'Assumptions and Parameters'!$B$38)</f>
        <v>0</v>
      </c>
      <c r="E19" s="8">
        <f>IF('Assumptions and Parameters'!$B$108&gt;'Revenue Projections'!E2,0,(('Assumptions and Parameters'!$B$40*(1+'Assumptions and Parameters'!$B$41/100)^(E2-$B$2)))*'Assumptions and Parameters'!$B$38)</f>
        <v>0</v>
      </c>
      <c r="F19" s="8">
        <f>IF('Assumptions and Parameters'!$B$108&gt;'Revenue Projections'!F2,0,(('Assumptions and Parameters'!$B$40*(1+'Assumptions and Parameters'!$B$41/100)^(F2-$B$2)))*'Assumptions and Parameters'!$B$38)</f>
        <v>0</v>
      </c>
      <c r="G19" s="8">
        <f>IF('Assumptions and Parameters'!$B$108&gt;'Revenue Projections'!G2,0,(('Assumptions and Parameters'!$B$40*(1+'Assumptions and Parameters'!$B$41/100)^(G2-$B$2)))*'Assumptions and Parameters'!$B$38)</f>
        <v>0</v>
      </c>
      <c r="H19" s="8">
        <f>IF('Assumptions and Parameters'!$B$108&gt;'Revenue Projections'!H2,0,(('Assumptions and Parameters'!$B$40*(1+'Assumptions and Parameters'!$B$41/100)^(H2-$B$2)))*'Assumptions and Parameters'!$B$38)</f>
        <v>0</v>
      </c>
      <c r="I19" s="8">
        <f>IF('Assumptions and Parameters'!$B$108&gt;'Revenue Projections'!I2,0,(('Assumptions and Parameters'!$B$40*(1+'Assumptions and Parameters'!$B$41/100)^(I2-$B$2)))*'Assumptions and Parameters'!$B$38)</f>
        <v>71505.682811167673</v>
      </c>
      <c r="J19" s="8">
        <f>IF('Assumptions and Parameters'!$B$108&gt;'Revenue Projections'!J2,0,(('Assumptions and Parameters'!$B$40*(1+'Assumptions and Parameters'!$B$41/100)^(J2-$B$2)))*'Assumptions and Parameters'!$B$38)</f>
        <v>72935.796467391032</v>
      </c>
      <c r="K19" s="8">
        <f>IF('Assumptions and Parameters'!$B$108&gt;'Revenue Projections'!K2,0,(('Assumptions and Parameters'!$B$40*(1+'Assumptions and Parameters'!$B$41/100)^(K2-$B$2)))*'Assumptions and Parameters'!$B$38)</f>
        <v>74394.512396738864</v>
      </c>
      <c r="L19" s="8">
        <f>IF('Assumptions and Parameters'!$B$108&gt;'Revenue Projections'!L2,0,(('Assumptions and Parameters'!$B$40*(1+'Assumptions and Parameters'!$B$41/100)^(L2-$B$2)))*'Assumptions and Parameters'!$B$38)</f>
        <v>75882.402644673624</v>
      </c>
      <c r="M19" s="8">
        <f>IF('Assumptions and Parameters'!$B$108&gt;'Revenue Projections'!M2,0,(('Assumptions and Parameters'!$B$40*(1+'Assumptions and Parameters'!$B$41/100)^(M2-$B$2)))*'Assumptions and Parameters'!$B$38)</f>
        <v>77400.050697567101</v>
      </c>
      <c r="N19" s="8">
        <f>IF('Assumptions and Parameters'!$B$108&gt;'Revenue Projections'!N2,0,(('Assumptions and Parameters'!$B$40*(1+'Assumptions and Parameters'!$B$41/100)^(N2-$B$2)))*'Assumptions and Parameters'!$B$38)</f>
        <v>78948.051711518434</v>
      </c>
      <c r="O19" s="8">
        <f>IF('Assumptions and Parameters'!$B$108&gt;'Revenue Projections'!O2,0,(('Assumptions and Parameters'!$B$40*(1+'Assumptions and Parameters'!$B$41/100)^(O2-$B$2)))*'Assumptions and Parameters'!$B$38)</f>
        <v>80527.012745748812</v>
      </c>
      <c r="P19" s="8">
        <f>IF('Assumptions and Parameters'!$B$108&gt;'Revenue Projections'!P2,0,(('Assumptions and Parameters'!$B$40*(1+'Assumptions and Parameters'!$B$41/100)^(P2-$B$2)))*'Assumptions and Parameters'!$B$38)</f>
        <v>82137.5530006638</v>
      </c>
      <c r="Q19" s="8">
        <f>IF('Assumptions and Parameters'!$B$108&gt;'Revenue Projections'!Q2,0,(('Assumptions and Parameters'!$B$40*(1+'Assumptions and Parameters'!$B$41/100)^(Q2-$B$2)))*'Assumptions and Parameters'!$B$38)</f>
        <v>83780.304060677052</v>
      </c>
      <c r="R19" s="8">
        <f>IF('Assumptions and Parameters'!$B$108&gt;'Revenue Projections'!R2,0,(('Assumptions and Parameters'!$B$40*(1+'Assumptions and Parameters'!$B$41/100)^(R2-$B$2)))*'Assumptions and Parameters'!$B$38)</f>
        <v>85455.910141890592</v>
      </c>
      <c r="S19" s="8">
        <f>IF('Assumptions and Parameters'!$B$108&gt;'Revenue Projections'!S2,0,(('Assumptions and Parameters'!$B$40*(1+'Assumptions and Parameters'!$B$41/100)^(S2-$B$2)))*'Assumptions and Parameters'!$B$38)</f>
        <v>87165.028344728416</v>
      </c>
      <c r="T19" s="8">
        <f>IF('Assumptions and Parameters'!$B$108&gt;'Revenue Projections'!T2,0,(('Assumptions and Parameters'!$B$40*(1+'Assumptions and Parameters'!$B$41/100)^(T2-$B$2)))*'Assumptions and Parameters'!$B$38)</f>
        <v>88908.328911622972</v>
      </c>
      <c r="U19" s="8">
        <f>IF('Assumptions and Parameters'!$B$108&gt;'Revenue Projections'!U2,0,(('Assumptions and Parameters'!$B$40*(1+'Assumptions and Parameters'!$B$41/100)^(U2-$B$2)))*'Assumptions and Parameters'!$B$38)</f>
        <v>90686.495489855428</v>
      </c>
      <c r="V19" s="8">
        <f>IF('Assumptions and Parameters'!$B$108&gt;'Revenue Projections'!V2,0,(('Assumptions and Parameters'!$B$40*(1+'Assumptions and Parameters'!$B$41/100)^(V2-$B$2)))*'Assumptions and Parameters'!$B$38)</f>
        <v>92500.225399652554</v>
      </c>
      <c r="W19" s="8">
        <f>IF('Assumptions and Parameters'!$B$108&gt;'Revenue Projections'!W2,0,(('Assumptions and Parameters'!$B$40*(1+'Assumptions and Parameters'!$B$41/100)^(W2-$B$2)))*'Assumptions and Parameters'!$B$38)</f>
        <v>94350.229907645582</v>
      </c>
      <c r="X19" s="8">
        <f>IF('Assumptions and Parameters'!$B$108&gt;'Revenue Projections'!X2,0,(('Assumptions and Parameters'!$B$40*(1+'Assumptions and Parameters'!$B$41/100)^(X2-$B$2)))*'Assumptions and Parameters'!$B$38)</f>
        <v>96237.234505798508</v>
      </c>
      <c r="Y19" s="8">
        <f>IF('Assumptions and Parameters'!$B$108&gt;'Revenue Projections'!Y2,0,(('Assumptions and Parameters'!$B$40*(1+'Assumptions and Parameters'!$B$41/100)^(Y2-$B$2)))*'Assumptions and Parameters'!$B$38)</f>
        <v>98161.979195914464</v>
      </c>
      <c r="Z19" s="8">
        <f>IF('Assumptions and Parameters'!$B$108&gt;'Revenue Projections'!Z2,0,(('Assumptions and Parameters'!$B$40*(1+'Assumptions and Parameters'!$B$41/100)^(Z2-$B$2)))*'Assumptions and Parameters'!$B$38)</f>
        <v>100125.21877983276</v>
      </c>
      <c r="AA19" s="8">
        <f>IF('Assumptions and Parameters'!$B$108&gt;'Revenue Projections'!AA2,0,(('Assumptions and Parameters'!$B$40*(1+'Assumptions and Parameters'!$B$41/100)^(AA2-$B$2)))*'Assumptions and Parameters'!$B$38)</f>
        <v>102127.72315542941</v>
      </c>
      <c r="AB19" s="8">
        <f>IF('Assumptions and Parameters'!$B$108&gt;'Revenue Projections'!AB2,0,(('Assumptions and Parameters'!$B$40*(1+'Assumptions and Parameters'!$B$41/100)^(AB2-$B$2)))*'Assumptions and Parameters'!$B$38)</f>
        <v>104170.27761853802</v>
      </c>
      <c r="AC19" s="8">
        <f>IF('Assumptions and Parameters'!$B$108&gt;'Revenue Projections'!AC2,0,(('Assumptions and Parameters'!$B$40*(1+'Assumptions and Parameters'!$B$41/100)^(AC2-$B$2)))*'Assumptions and Parameters'!$B$38)</f>
        <v>106253.68317090874</v>
      </c>
      <c r="AD19" s="8">
        <f>IF('Assumptions and Parameters'!$B$108&gt;'Revenue Projections'!AD2,0,(('Assumptions and Parameters'!$B$40*(1+'Assumptions and Parameters'!$B$41/100)^(AD2-$B$2)))*'Assumptions and Parameters'!$B$38)</f>
        <v>108378.75683432695</v>
      </c>
      <c r="AE19" s="8">
        <f>IF('Assumptions and Parameters'!$B$108&gt;'Revenue Projections'!AE2,0,(('Assumptions and Parameters'!$B$40*(1+'Assumptions and Parameters'!$B$41/100)^(AE2-$B$2)))*'Assumptions and Parameters'!$B$38)</f>
        <v>110546.33197101347</v>
      </c>
      <c r="AF19" s="8">
        <f>IF('Assumptions and Parameters'!$B$108&gt;'Revenue Projections'!AF2,0,(('Assumptions and Parameters'!$B$40*(1+'Assumptions and Parameters'!$B$41/100)^(AF2-$B$2)))*'Assumptions and Parameters'!$B$38)</f>
        <v>112757.25861043377</v>
      </c>
      <c r="AG19" s="8">
        <f>IF('Assumptions and Parameters'!$B$108&gt;'Revenue Projections'!AG2,0,(('Assumptions and Parameters'!$B$40*(1+'Assumptions and Parameters'!$B$41/100)^(AG2-$B$2)))*'Assumptions and Parameters'!$B$38)</f>
        <v>115012.4037826424</v>
      </c>
      <c r="AH19" s="8">
        <f>IF('Assumptions and Parameters'!$B$108&gt;'Revenue Projections'!AH2,0,(('Assumptions and Parameters'!$B$40*(1+'Assumptions and Parameters'!$B$41/100)^(AH2-$B$2)))*'Assumptions and Parameters'!$B$38)</f>
        <v>117312.65185829527</v>
      </c>
      <c r="AI19" s="8">
        <f>IF('Assumptions and Parameters'!$B$108&gt;'Revenue Projections'!AI2,0,(('Assumptions and Parameters'!$B$40*(1+'Assumptions and Parameters'!$B$41/100)^(AI2-$B$2)))*'Assumptions and Parameters'!$B$38)</f>
        <v>119658.90489546119</v>
      </c>
      <c r="AJ19" s="8">
        <f>IF('Assumptions and Parameters'!$B$108&gt;'Revenue Projections'!AJ2,0,(('Assumptions and Parameters'!$B$40*(1+'Assumptions and Parameters'!$B$41/100)^(AJ2-$B$2)))*'Assumptions and Parameters'!$B$38)</f>
        <v>122052.08299337041</v>
      </c>
    </row>
    <row r="20" spans="1:36" ht="21" x14ac:dyDescent="0.4">
      <c r="A20" s="13" t="s">
        <v>3</v>
      </c>
      <c r="B20" s="14">
        <f>(('Assumptions and Parameters'!$B$56*(1+'Assumptions and Parameters'!$B$57/100)^(B2-$B$2))*'Assumptions and Parameters'!$B$55)</f>
        <v>80000</v>
      </c>
      <c r="C20" s="14">
        <f>(('Assumptions and Parameters'!$B$56*(1+'Assumptions and Parameters'!$B$57/100)^(C2-$B$2))*'Assumptions and Parameters'!$B$55)</f>
        <v>81600</v>
      </c>
      <c r="D20" s="14">
        <f>(('Assumptions and Parameters'!$B$56*(1+'Assumptions and Parameters'!$B$57/100)^(D2-$B$2))*'Assumptions and Parameters'!$B$55)</f>
        <v>83232</v>
      </c>
      <c r="E20" s="14">
        <f>(('Assumptions and Parameters'!$B$56*(1+'Assumptions and Parameters'!$B$57/100)^(E2-$B$2))*'Assumptions and Parameters'!$B$55)</f>
        <v>84896.639999999999</v>
      </c>
      <c r="F20" s="14">
        <f>(('Assumptions and Parameters'!$B$56*(1+'Assumptions and Parameters'!$B$57/100)^(F2-$B$2))*'Assumptions and Parameters'!$B$55)</f>
        <v>86594.572799999994</v>
      </c>
      <c r="G20" s="14">
        <f>(('Assumptions and Parameters'!$B$56*(1+'Assumptions and Parameters'!$B$57/100)^(G2-$B$2))*'Assumptions and Parameters'!$B$55)</f>
        <v>88326.464255999992</v>
      </c>
      <c r="H20" s="14">
        <f>(('Assumptions and Parameters'!$B$56*(1+'Assumptions and Parameters'!$B$57/100)^(H2-$B$2))*'Assumptions and Parameters'!$B$55)</f>
        <v>90092.993541120013</v>
      </c>
      <c r="I20" s="14">
        <f>(('Assumptions and Parameters'!$B$56*(1+'Assumptions and Parameters'!$B$57/100)^(I2-$B$2))*'Assumptions and Parameters'!$B$55)</f>
        <v>91894.853411942386</v>
      </c>
      <c r="J20" s="14">
        <f>(('Assumptions and Parameters'!$B$56*(1+'Assumptions and Parameters'!$B$57/100)^(J2-$B$2))*'Assumptions and Parameters'!$B$55)</f>
        <v>93732.750480181247</v>
      </c>
      <c r="K20" s="14">
        <f>(('Assumptions and Parameters'!$B$56*(1+'Assumptions and Parameters'!$B$57/100)^(K2-$B$2))*'Assumptions and Parameters'!$B$55)</f>
        <v>95607.405489784869</v>
      </c>
      <c r="L20" s="14">
        <f>(('Assumptions and Parameters'!$B$56*(1+'Assumptions and Parameters'!$B$57/100)^(L2-$B$2))*'Assumptions and Parameters'!$B$55)</f>
        <v>97519.553599580569</v>
      </c>
      <c r="M20" s="14">
        <f>(('Assumptions and Parameters'!$B$56*(1+'Assumptions and Parameters'!$B$57/100)^(M2-$B$2))*'Assumptions and Parameters'!$B$55)</f>
        <v>99469.944671572172</v>
      </c>
      <c r="N20" s="14">
        <f>(('Assumptions and Parameters'!$B$56*(1+'Assumptions and Parameters'!$B$57/100)^(N2-$B$2))*'Assumptions and Parameters'!$B$55)</f>
        <v>101459.34356500363</v>
      </c>
      <c r="O20" s="14">
        <f>(('Assumptions and Parameters'!$B$56*(1+'Assumptions and Parameters'!$B$57/100)^(O2-$B$2))*'Assumptions and Parameters'!$B$55)</f>
        <v>103488.5304363037</v>
      </c>
      <c r="P20" s="14">
        <f>(('Assumptions and Parameters'!$B$56*(1+'Assumptions and Parameters'!$B$57/100)^(P2-$B$2))*'Assumptions and Parameters'!$B$55)</f>
        <v>105558.30104502977</v>
      </c>
      <c r="Q20" s="14">
        <f>(('Assumptions and Parameters'!$B$56*(1+'Assumptions and Parameters'!$B$57/100)^(Q2-$B$2))*'Assumptions and Parameters'!$B$55)</f>
        <v>107669.46706593034</v>
      </c>
      <c r="R20" s="14">
        <f>(('Assumptions and Parameters'!$B$56*(1+'Assumptions and Parameters'!$B$57/100)^(R2-$B$2))*'Assumptions and Parameters'!$B$55)</f>
        <v>109822.85640724895</v>
      </c>
      <c r="S20" s="14">
        <f>(('Assumptions and Parameters'!$B$56*(1+'Assumptions and Parameters'!$B$57/100)^(S2-$B$2))*'Assumptions and Parameters'!$B$55)</f>
        <v>112019.31353539396</v>
      </c>
      <c r="T20" s="14">
        <f>(('Assumptions and Parameters'!$B$56*(1+'Assumptions and Parameters'!$B$57/100)^(T2-$B$2))*'Assumptions and Parameters'!$B$55)</f>
        <v>114259.69980610182</v>
      </c>
      <c r="U20" s="14">
        <f>(('Assumptions and Parameters'!$B$56*(1+'Assumptions and Parameters'!$B$57/100)^(U2-$B$2))*'Assumptions and Parameters'!$B$55)</f>
        <v>116544.89380222386</v>
      </c>
      <c r="V20" s="14">
        <f>(('Assumptions and Parameters'!$B$56*(1+'Assumptions and Parameters'!$B$57/100)^(V2-$B$2))*'Assumptions and Parameters'!$B$55)</f>
        <v>118875.79167826833</v>
      </c>
      <c r="W20" s="14">
        <f>(('Assumptions and Parameters'!$B$56*(1+'Assumptions and Parameters'!$B$57/100)^(W2-$B$2))*'Assumptions and Parameters'!$B$55)</f>
        <v>121253.3075118337</v>
      </c>
      <c r="X20" s="14">
        <f>(('Assumptions and Parameters'!$B$56*(1+'Assumptions and Parameters'!$B$57/100)^(X2-$B$2))*'Assumptions and Parameters'!$B$55)</f>
        <v>123678.37366207037</v>
      </c>
      <c r="Y20" s="14">
        <f>(('Assumptions and Parameters'!$B$56*(1+'Assumptions and Parameters'!$B$57/100)^(Y2-$B$2))*'Assumptions and Parameters'!$B$55)</f>
        <v>126151.94113531176</v>
      </c>
      <c r="Z20" s="14">
        <f>(('Assumptions and Parameters'!$B$56*(1+'Assumptions and Parameters'!$B$57/100)^(Z2-$B$2))*'Assumptions and Parameters'!$B$55)</f>
        <v>128674.97995801801</v>
      </c>
      <c r="AA20" s="14">
        <f>(('Assumptions and Parameters'!$B$56*(1+'Assumptions and Parameters'!$B$57/100)^(AA2-$B$2))*'Assumptions and Parameters'!$B$55)</f>
        <v>131248.47955717836</v>
      </c>
      <c r="AB20" s="14">
        <f>(('Assumptions and Parameters'!$B$56*(1+'Assumptions and Parameters'!$B$57/100)^(AB2-$B$2))*'Assumptions and Parameters'!$B$55)</f>
        <v>133873.44914832196</v>
      </c>
      <c r="AC20" s="14">
        <f>(('Assumptions and Parameters'!$B$56*(1+'Assumptions and Parameters'!$B$57/100)^(AC2-$B$2))*'Assumptions and Parameters'!$B$55)</f>
        <v>136550.91813128837</v>
      </c>
      <c r="AD20" s="14">
        <f>(('Assumptions and Parameters'!$B$56*(1+'Assumptions and Parameters'!$B$57/100)^(AD2-$B$2))*'Assumptions and Parameters'!$B$55)</f>
        <v>139281.93649391417</v>
      </c>
      <c r="AE20" s="14">
        <f>(('Assumptions and Parameters'!$B$56*(1+'Assumptions and Parameters'!$B$57/100)^(AE2-$B$2))*'Assumptions and Parameters'!$B$55)</f>
        <v>142067.57522379243</v>
      </c>
      <c r="AF20" s="14">
        <f>(('Assumptions and Parameters'!$B$56*(1+'Assumptions and Parameters'!$B$57/100)^(AF2-$B$2))*'Assumptions and Parameters'!$B$55)</f>
        <v>144908.9267282683</v>
      </c>
      <c r="AG20" s="14">
        <f>(('Assumptions and Parameters'!$B$56*(1+'Assumptions and Parameters'!$B$57/100)^(AG2-$B$2))*'Assumptions and Parameters'!$B$55)</f>
        <v>147807.10526283362</v>
      </c>
      <c r="AH20" s="14">
        <f>(('Assumptions and Parameters'!$B$56*(1+'Assumptions and Parameters'!$B$57/100)^(AH2-$B$2))*'Assumptions and Parameters'!$B$55)</f>
        <v>150763.24736809032</v>
      </c>
      <c r="AI20" s="14">
        <f>(('Assumptions and Parameters'!$B$56*(1+'Assumptions and Parameters'!$B$57/100)^(AI2-$B$2))*'Assumptions and Parameters'!$B$55)</f>
        <v>153778.51231545213</v>
      </c>
      <c r="AJ20" s="14">
        <f>(('Assumptions and Parameters'!$B$56*(1+'Assumptions and Parameters'!$B$57/100)^(AJ2-$B$2))*'Assumptions and Parameters'!$B$55)</f>
        <v>156854.08256176117</v>
      </c>
    </row>
    <row r="21" spans="1:36" ht="21" x14ac:dyDescent="0.4">
      <c r="A21" s="17" t="s">
        <v>42</v>
      </c>
      <c r="B21" s="18">
        <f>SUM(B4:B20)</f>
        <v>3337100</v>
      </c>
      <c r="C21" s="18">
        <f>SUM(C4:C20)</f>
        <v>8164735.4503425667</v>
      </c>
      <c r="D21" s="18">
        <f t="shared" ref="D21:G21" si="0">SUM(D4:D20)</f>
        <v>5861812.8430970609</v>
      </c>
      <c r="E21" s="18">
        <f t="shared" si="0"/>
        <v>5958210.3230244657</v>
      </c>
      <c r="F21" s="18">
        <f t="shared" si="0"/>
        <v>6056989.6849880507</v>
      </c>
      <c r="G21" s="18">
        <f t="shared" si="0"/>
        <v>6158214.5333889509</v>
      </c>
      <c r="H21" s="18">
        <f t="shared" ref="H21:AJ21" si="1">SUM(H4:H20)</f>
        <v>6261950.341158499</v>
      </c>
      <c r="I21" s="18">
        <f t="shared" si="1"/>
        <v>18127050.759057574</v>
      </c>
      <c r="J21" s="18">
        <f t="shared" si="1"/>
        <v>10891510.422200326</v>
      </c>
      <c r="K21" s="18">
        <f t="shared" si="1"/>
        <v>11153000.663190609</v>
      </c>
      <c r="L21" s="18">
        <f t="shared" si="1"/>
        <v>11422482.672248051</v>
      </c>
      <c r="M21" s="18">
        <f t="shared" si="1"/>
        <v>11700213.08056725</v>
      </c>
      <c r="N21" s="18">
        <f t="shared" si="1"/>
        <v>11986457.090848446</v>
      </c>
      <c r="O21" s="18">
        <f t="shared" si="1"/>
        <v>12281488.77298001</v>
      </c>
      <c r="P21" s="18">
        <f t="shared" si="1"/>
        <v>12585591.370218216</v>
      </c>
      <c r="Q21" s="18">
        <f t="shared" si="1"/>
        <v>12899057.6162476</v>
      </c>
      <c r="R21" s="18">
        <f t="shared" si="1"/>
        <v>13222190.063519605</v>
      </c>
      <c r="S21" s="18">
        <f t="shared" si="1"/>
        <v>13555301.423282273</v>
      </c>
      <c r="T21" s="18">
        <f t="shared" si="1"/>
        <v>13898714.917729266</v>
      </c>
      <c r="U21" s="18">
        <f t="shared" si="1"/>
        <v>14252764.644712549</v>
      </c>
      <c r="V21" s="18">
        <f t="shared" si="1"/>
        <v>14617795.95548014</v>
      </c>
      <c r="W21" s="18">
        <f t="shared" si="1"/>
        <v>14994165.84591746</v>
      </c>
      <c r="X21" s="18">
        <f t="shared" si="1"/>
        <v>15382243.361789189</v>
      </c>
      <c r="Y21" s="18">
        <f t="shared" si="1"/>
        <v>15782410.018497257</v>
      </c>
      <c r="Z21" s="18">
        <f t="shared" si="1"/>
        <v>16195060.235890219</v>
      </c>
      <c r="AA21" s="18">
        <f t="shared" si="1"/>
        <v>16620601.788679678</v>
      </c>
      <c r="AB21" s="18">
        <f t="shared" si="1"/>
        <v>17059456.273040388</v>
      </c>
      <c r="AC21" s="18">
        <f t="shared" si="1"/>
        <v>17512059.589992803</v>
      </c>
      <c r="AD21" s="18">
        <f t="shared" si="1"/>
        <v>17978862.446189798</v>
      </c>
      <c r="AE21" s="18">
        <f t="shared" si="1"/>
        <v>18460330.872752648</v>
      </c>
      <c r="AF21" s="18">
        <f t="shared" si="1"/>
        <v>18956946.762826469</v>
      </c>
      <c r="AG21" s="18">
        <f t="shared" si="1"/>
        <v>19469208.428550761</v>
      </c>
      <c r="AH21" s="18">
        <f t="shared" si="1"/>
        <v>19997631.178167343</v>
      </c>
      <c r="AI21" s="18">
        <f t="shared" si="1"/>
        <v>20542747.914015952</v>
      </c>
      <c r="AJ21" s="18">
        <f t="shared" si="1"/>
        <v>21105109.752196249</v>
      </c>
    </row>
    <row r="23" spans="1:36" s="133" customFormat="1" ht="19" x14ac:dyDescent="0.25">
      <c r="A23" s="141" t="s">
        <v>170</v>
      </c>
      <c r="B23" s="18">
        <f>IF('Assumptions and Parameters'!$B$3="EXEMPT",B4,0)+IF('Assumptions and Parameters'!$B$60="EXEMPT",SUM('Revenue Projections'!B6:B8),0)+IF('Assumptions and Parameters'!$B$44="EXEMPT",'Revenue Projections'!B9,0)+IF('Assumptions and Parameters'!$B$13="EXEMPT",SUM('Revenue Projections'!B11:B14),0)+IF('Assumptions and Parameters'!$B$35="EXEMPT",SUM('Revenue Projections'!B16:B19),0)+IF('Assumptions and Parameters'!$B$54="EXEMPT",'Revenue Projections'!B20,0)</f>
        <v>0</v>
      </c>
      <c r="C23" s="18">
        <f>IF('Assumptions and Parameters'!$B$3="EXEMPT",C4,0)+IF('Assumptions and Parameters'!$B$60="EXEMPT",SUM('Revenue Projections'!C6:C8),0)+IF('Assumptions and Parameters'!$B$44="EXEMPT",'Revenue Projections'!C9,0)+IF('Assumptions and Parameters'!$B$13="EXEMPT",SUM('Revenue Projections'!C11:C14),0)+IF('Assumptions and Parameters'!$B$35="EXEMPT",SUM('Revenue Projections'!C16:C19),0)+IF('Assumptions and Parameters'!$B$54="EXEMPT",'Revenue Projections'!C20,0)</f>
        <v>331435.14040251251</v>
      </c>
      <c r="D23" s="18">
        <f>IF('Assumptions and Parameters'!$B$3="EXEMPT",D4,0)+IF('Assumptions and Parameters'!$B$60="EXEMPT",SUM('Revenue Projections'!D6:D8),0)+IF('Assumptions and Parameters'!$B$44="EXEMPT",'Revenue Projections'!D9,0)+IF('Assumptions and Parameters'!$B$13="EXEMPT",SUM('Revenue Projections'!D11:D14),0)+IF('Assumptions and Parameters'!$B$35="EXEMPT",SUM('Revenue Projections'!D16:D19),0)+IF('Assumptions and Parameters'!$B$54="EXEMPT",'Revenue Projections'!D20,0)</f>
        <v>339230.46697439742</v>
      </c>
      <c r="E23" s="18">
        <f>IF('Assumptions and Parameters'!$B$3="EXEMPT",E4,0)+IF('Assumptions and Parameters'!$B$60="EXEMPT",SUM('Revenue Projections'!E6:E8),0)+IF('Assumptions and Parameters'!$B$44="EXEMPT",'Revenue Projections'!E9,0)+IF('Assumptions and Parameters'!$B$13="EXEMPT",SUM('Revenue Projections'!E11:E14),0)+IF('Assumptions and Parameters'!$B$35="EXEMPT",SUM('Revenue Projections'!E16:E19),0)+IF('Assumptions and Parameters'!$B$54="EXEMPT",'Revenue Projections'!E20,0)</f>
        <v>347216.69879063527</v>
      </c>
      <c r="F23" s="18">
        <f>IF('Assumptions and Parameters'!$B$3="EXEMPT",F4,0)+IF('Assumptions and Parameters'!$B$60="EXEMPT",SUM('Revenue Projections'!F6:F8),0)+IF('Assumptions and Parameters'!$B$44="EXEMPT",'Revenue Projections'!F9,0)+IF('Assumptions and Parameters'!$B$13="EXEMPT",SUM('Revenue Projections'!F11:F14),0)+IF('Assumptions and Parameters'!$B$35="EXEMPT",SUM('Revenue Projections'!F16:F19),0)+IF('Assumptions and Parameters'!$B$54="EXEMPT",'Revenue Projections'!F20,0)</f>
        <v>355398.7039175001</v>
      </c>
      <c r="G23" s="18">
        <f>IF('Assumptions and Parameters'!$B$3="EXEMPT",G4,0)+IF('Assumptions and Parameters'!$B$60="EXEMPT",SUM('Revenue Projections'!G6:G8),0)+IF('Assumptions and Parameters'!$B$44="EXEMPT",'Revenue Projections'!G9,0)+IF('Assumptions and Parameters'!$B$13="EXEMPT",SUM('Revenue Projections'!G11:G14),0)+IF('Assumptions and Parameters'!$B$35="EXEMPT",SUM('Revenue Projections'!G16:G19),0)+IF('Assumptions and Parameters'!$B$54="EXEMPT",'Revenue Projections'!G20,0)</f>
        <v>363781.47928143397</v>
      </c>
      <c r="H23" s="18">
        <f>IF('Assumptions and Parameters'!$B$3="EXEMPT",H4,0)+IF('Assumptions and Parameters'!$B$60="EXEMPT",SUM('Revenue Projections'!H6:H8),0)+IF('Assumptions and Parameters'!$B$44="EXEMPT",'Revenue Projections'!H9,0)+IF('Assumptions and Parameters'!$B$13="EXEMPT",SUM('Revenue Projections'!H11:H14),0)+IF('Assumptions and Parameters'!$B$35="EXEMPT",SUM('Revenue Projections'!H16:H19),0)+IF('Assumptions and Parameters'!$B$54="EXEMPT",'Revenue Projections'!H20,0)</f>
        <v>372370.15419121401</v>
      </c>
      <c r="I23" s="18">
        <f>IF('Assumptions and Parameters'!$B$3="EXEMPT",I4,0)+IF('Assumptions and Parameters'!$B$60="EXEMPT",SUM('Revenue Projections'!I6:I8),0)+IF('Assumptions and Parameters'!$B$44="EXEMPT",'Revenue Projections'!I9,0)+IF('Assumptions and Parameters'!$B$13="EXEMPT",SUM('Revenue Projections'!I11:I14),0)+IF('Assumptions and Parameters'!$B$35="EXEMPT",SUM('Revenue Projections'!I16:I19),0)+IF('Assumptions and Parameters'!$B$54="EXEMPT",'Revenue Projections'!I20,0)</f>
        <v>867750.35923497076</v>
      </c>
      <c r="J23" s="18">
        <f>IF('Assumptions and Parameters'!$B$3="EXEMPT",J4,0)+IF('Assumptions and Parameters'!$B$60="EXEMPT",SUM('Revenue Projections'!J6:J8),0)+IF('Assumptions and Parameters'!$B$44="EXEMPT",'Revenue Projections'!J9,0)+IF('Assumptions and Parameters'!$B$13="EXEMPT",SUM('Revenue Projections'!J11:J14),0)+IF('Assumptions and Parameters'!$B$35="EXEMPT",SUM('Revenue Projections'!J16:J19),0)+IF('Assumptions and Parameters'!$B$54="EXEMPT",'Revenue Projections'!J20,0)</f>
        <v>889729.70146238594</v>
      </c>
      <c r="K23" s="18">
        <f>IF('Assumptions and Parameters'!$B$3="EXEMPT",K4,0)+IF('Assumptions and Parameters'!$B$60="EXEMPT",SUM('Revenue Projections'!K6:K8),0)+IF('Assumptions and Parameters'!$B$44="EXEMPT",'Revenue Projections'!K9,0)+IF('Assumptions and Parameters'!$B$13="EXEMPT",SUM('Revenue Projections'!K11:K14),0)+IF('Assumptions and Parameters'!$B$35="EXEMPT",SUM('Revenue Projections'!K16:K19),0)+IF('Assumptions and Parameters'!$B$54="EXEMPT",'Revenue Projections'!K20,0)</f>
        <v>912359.01043860649</v>
      </c>
      <c r="L23" s="18">
        <f>IF('Assumptions and Parameters'!$B$3="EXEMPT",L4,0)+IF('Assumptions and Parameters'!$B$60="EXEMPT",SUM('Revenue Projections'!L6:L8),0)+IF('Assumptions and Parameters'!$B$44="EXEMPT",'Revenue Projections'!L9,0)+IF('Assumptions and Parameters'!$B$13="EXEMPT",SUM('Revenue Projections'!L11:L14),0)+IF('Assumptions and Parameters'!$B$35="EXEMPT",SUM('Revenue Projections'!L16:L19),0)+IF('Assumptions and Parameters'!$B$54="EXEMPT",'Revenue Projections'!L20,0)</f>
        <v>935658.39581706119</v>
      </c>
      <c r="M23" s="18">
        <f>IF('Assumptions and Parameters'!$B$3="EXEMPT",M4,0)+IF('Assumptions and Parameters'!$B$60="EXEMPT",SUM('Revenue Projections'!M6:M8),0)+IF('Assumptions and Parameters'!$B$44="EXEMPT",'Revenue Projections'!M9,0)+IF('Assumptions and Parameters'!$B$13="EXEMPT",SUM('Revenue Projections'!M11:M14),0)+IF('Assumptions and Parameters'!$B$35="EXEMPT",SUM('Revenue Projections'!M16:M19),0)+IF('Assumptions and Parameters'!$B$54="EXEMPT",'Revenue Projections'!M20,0)</f>
        <v>959648.610716047</v>
      </c>
      <c r="N23" s="18">
        <f>IF('Assumptions and Parameters'!$B$3="EXEMPT",N4,0)+IF('Assumptions and Parameters'!$B$60="EXEMPT",SUM('Revenue Projections'!N6:N8),0)+IF('Assumptions and Parameters'!$B$44="EXEMPT",'Revenue Projections'!N9,0)+IF('Assumptions and Parameters'!$B$13="EXEMPT",SUM('Revenue Projections'!N11:N14),0)+IF('Assumptions and Parameters'!$B$35="EXEMPT",SUM('Revenue Projections'!N16:N19),0)+IF('Assumptions and Parameters'!$B$54="EXEMPT",'Revenue Projections'!N20,0)</f>
        <v>984351.07280485961</v>
      </c>
      <c r="O23" s="18">
        <f>IF('Assumptions and Parameters'!$B$3="EXEMPT",O4,0)+IF('Assumptions and Parameters'!$B$60="EXEMPT",SUM('Revenue Projections'!O6:O8),0)+IF('Assumptions and Parameters'!$B$44="EXEMPT",'Revenue Projections'!O9,0)+IF('Assumptions and Parameters'!$B$13="EXEMPT",SUM('Revenue Projections'!O11:O14),0)+IF('Assumptions and Parameters'!$B$35="EXEMPT",SUM('Revenue Projections'!O16:O19),0)+IF('Assumptions and Parameters'!$B$54="EXEMPT",'Revenue Projections'!O20,0)</f>
        <v>1009787.8860924043</v>
      </c>
      <c r="P23" s="18">
        <f>IF('Assumptions and Parameters'!$B$3="EXEMPT",P4,0)+IF('Assumptions and Parameters'!$B$60="EXEMPT",SUM('Revenue Projections'!P6:P8),0)+IF('Assumptions and Parameters'!$B$44="EXEMPT",'Revenue Projections'!P9,0)+IF('Assumptions and Parameters'!$B$13="EXEMPT",SUM('Revenue Projections'!P11:P14),0)+IF('Assumptions and Parameters'!$B$35="EXEMPT",SUM('Revenue Projections'!P16:P19),0)+IF('Assumptions and Parameters'!$B$54="EXEMPT",'Revenue Projections'!P20,0)</f>
        <v>1035981.8634419603</v>
      </c>
      <c r="Q23" s="18">
        <f>IF('Assumptions and Parameters'!$B$3="EXEMPT",Q4,0)+IF('Assumptions and Parameters'!$B$60="EXEMPT",SUM('Revenue Projections'!Q6:Q8),0)+IF('Assumptions and Parameters'!$B$44="EXEMPT",'Revenue Projections'!Q9,0)+IF('Assumptions and Parameters'!$B$13="EXEMPT",SUM('Revenue Projections'!Q11:Q14),0)+IF('Assumptions and Parameters'!$B$35="EXEMPT",SUM('Revenue Projections'!Q16:Q19),0)+IF('Assumptions and Parameters'!$B$54="EXEMPT",'Revenue Projections'!Q20,0)</f>
        <v>1062956.549836572</v>
      </c>
      <c r="R23" s="18">
        <f>IF('Assumptions and Parameters'!$B$3="EXEMPT",R4,0)+IF('Assumptions and Parameters'!$B$60="EXEMPT",SUM('Revenue Projections'!R6:R8),0)+IF('Assumptions and Parameters'!$B$44="EXEMPT",'Revenue Projections'!R9,0)+IF('Assumptions and Parameters'!$B$13="EXEMPT",SUM('Revenue Projections'!R11:R14),0)+IF('Assumptions and Parameters'!$B$35="EXEMPT",SUM('Revenue Projections'!R16:R19),0)+IF('Assumptions and Parameters'!$B$54="EXEMPT",'Revenue Projections'!R20,0)</f>
        <v>1090736.2464203767</v>
      </c>
      <c r="S23" s="18">
        <f>IF('Assumptions and Parameters'!$B$3="EXEMPT",S4,0)+IF('Assumptions and Parameters'!$B$60="EXEMPT",SUM('Revenue Projections'!S6:S8),0)+IF('Assumptions and Parameters'!$B$44="EXEMPT",'Revenue Projections'!S9,0)+IF('Assumptions and Parameters'!$B$13="EXEMPT",SUM('Revenue Projections'!S11:S14),0)+IF('Assumptions and Parameters'!$B$35="EXEMPT",SUM('Revenue Projections'!S16:S19),0)+IF('Assumptions and Parameters'!$B$54="EXEMPT",'Revenue Projections'!S20,0)</f>
        <v>1119346.0353420312</v>
      </c>
      <c r="T23" s="18">
        <f>IF('Assumptions and Parameters'!$B$3="EXEMPT",T4,0)+IF('Assumptions and Parameters'!$B$60="EXEMPT",SUM('Revenue Projections'!T6:T8),0)+IF('Assumptions and Parameters'!$B$44="EXEMPT",'Revenue Projections'!T9,0)+IF('Assumptions and Parameters'!$B$13="EXEMPT",SUM('Revenue Projections'!T11:T14),0)+IF('Assumptions and Parameters'!$B$35="EXEMPT",SUM('Revenue Projections'!T16:T19),0)+IF('Assumptions and Parameters'!$B$54="EXEMPT",'Revenue Projections'!T20,0)</f>
        <v>1148811.8054272977</v>
      </c>
      <c r="U23" s="18">
        <f>IF('Assumptions and Parameters'!$B$3="EXEMPT",U4,0)+IF('Assumptions and Parameters'!$B$60="EXEMPT",SUM('Revenue Projections'!U6:U8),0)+IF('Assumptions and Parameters'!$B$44="EXEMPT",'Revenue Projections'!U9,0)+IF('Assumptions and Parameters'!$B$13="EXEMPT",SUM('Revenue Projections'!U11:U14),0)+IF('Assumptions and Parameters'!$B$35="EXEMPT",SUM('Revenue Projections'!U16:U19),0)+IF('Assumptions and Parameters'!$B$54="EXEMPT",'Revenue Projections'!U20,0)</f>
        <v>1179160.278708763</v>
      </c>
      <c r="V23" s="18">
        <f>IF('Assumptions and Parameters'!$B$3="EXEMPT",V4,0)+IF('Assumptions and Parameters'!$B$60="EXEMPT",SUM('Revenue Projections'!V6:V8),0)+IF('Assumptions and Parameters'!$B$44="EXEMPT",'Revenue Projections'!V9,0)+IF('Assumptions and Parameters'!$B$13="EXEMPT",SUM('Revenue Projections'!V11:V14),0)+IF('Assumptions and Parameters'!$B$35="EXEMPT",SUM('Revenue Projections'!V16:V19),0)+IF('Assumptions and Parameters'!$B$54="EXEMPT",'Revenue Projections'!V20,0)</f>
        <v>1210419.037841616</v>
      </c>
      <c r="W23" s="18">
        <f>IF('Assumptions and Parameters'!$B$3="EXEMPT",W4,0)+IF('Assumptions and Parameters'!$B$60="EXEMPT",SUM('Revenue Projections'!W6:W8),0)+IF('Assumptions and Parameters'!$B$44="EXEMPT",'Revenue Projections'!W9,0)+IF('Assumptions and Parameters'!$B$13="EXEMPT",SUM('Revenue Projections'!W11:W14),0)+IF('Assumptions and Parameters'!$B$35="EXEMPT",SUM('Revenue Projections'!W16:W19),0)+IF('Assumptions and Parameters'!$B$54="EXEMPT",'Revenue Projections'!W20,0)</f>
        <v>1242616.5544353984</v>
      </c>
      <c r="X23" s="18">
        <f>IF('Assumptions and Parameters'!$B$3="EXEMPT",X4,0)+IF('Assumptions and Parameters'!$B$60="EXEMPT",SUM('Revenue Projections'!X6:X8),0)+IF('Assumptions and Parameters'!$B$44="EXEMPT",'Revenue Projections'!X9,0)+IF('Assumptions and Parameters'!$B$13="EXEMPT",SUM('Revenue Projections'!X11:X14),0)+IF('Assumptions and Parameters'!$B$35="EXEMPT",SUM('Revenue Projections'!X16:X19),0)+IF('Assumptions and Parameters'!$B$54="EXEMPT",'Revenue Projections'!X20,0)</f>
        <v>1275782.2183326501</v>
      </c>
      <c r="Y23" s="18">
        <f>IF('Assumptions and Parameters'!$B$3="EXEMPT",Y4,0)+IF('Assumptions and Parameters'!$B$60="EXEMPT",SUM('Revenue Projections'!Y6:Y8),0)+IF('Assumptions and Parameters'!$B$44="EXEMPT",'Revenue Projections'!Y9,0)+IF('Assumptions and Parameters'!$B$13="EXEMPT",SUM('Revenue Projections'!Y11:Y14),0)+IF('Assumptions and Parameters'!$B$35="EXEMPT",SUM('Revenue Projections'!Y16:Y19),0)+IF('Assumptions and Parameters'!$B$54="EXEMPT",'Revenue Projections'!Y20,0)</f>
        <v>1309946.367866436</v>
      </c>
      <c r="Z23" s="18">
        <f>IF('Assumptions and Parameters'!$B$3="EXEMPT",Z4,0)+IF('Assumptions and Parameters'!$B$60="EXEMPT",SUM('Revenue Projections'!Z6:Z8),0)+IF('Assumptions and Parameters'!$B$44="EXEMPT",'Revenue Projections'!Z9,0)+IF('Assumptions and Parameters'!$B$13="EXEMPT",SUM('Revenue Projections'!Z11:Z14),0)+IF('Assumptions and Parameters'!$B$35="EXEMPT",SUM('Revenue Projections'!Z16:Z19),0)+IF('Assumptions and Parameters'!$B$54="EXEMPT",'Revenue Projections'!Z20,0)</f>
        <v>1345140.3211298164</v>
      </c>
      <c r="AA23" s="18">
        <f>IF('Assumptions and Parameters'!$B$3="EXEMPT",AA4,0)+IF('Assumptions and Parameters'!$B$60="EXEMPT",SUM('Revenue Projections'!AA6:AA8),0)+IF('Assumptions and Parameters'!$B$44="EXEMPT",'Revenue Projections'!AA9,0)+IF('Assumptions and Parameters'!$B$13="EXEMPT",SUM('Revenue Projections'!AA11:AA14),0)+IF('Assumptions and Parameters'!$B$35="EXEMPT",SUM('Revenue Projections'!AA16:AA19),0)+IF('Assumptions and Parameters'!$B$54="EXEMPT",'Revenue Projections'!AA20,0)</f>
        <v>1381396.4082914579</v>
      </c>
      <c r="AB23" s="18">
        <f>IF('Assumptions and Parameters'!$B$3="EXEMPT",AB4,0)+IF('Assumptions and Parameters'!$B$60="EXEMPT",SUM('Revenue Projections'!AB6:AB8),0)+IF('Assumptions and Parameters'!$B$44="EXEMPT",'Revenue Projections'!AB9,0)+IF('Assumptions and Parameters'!$B$13="EXEMPT",SUM('Revenue Projections'!AB11:AB14),0)+IF('Assumptions and Parameters'!$B$35="EXEMPT",SUM('Revenue Projections'!AB16:AB19),0)+IF('Assumptions and Parameters'!$B$54="EXEMPT",'Revenue Projections'!AB20,0)</f>
        <v>1418748.0049927409</v>
      </c>
      <c r="AC23" s="18">
        <f>IF('Assumptions and Parameters'!$B$3="EXEMPT",AC4,0)+IF('Assumptions and Parameters'!$B$60="EXEMPT",SUM('Revenue Projections'!AC6:AC8),0)+IF('Assumptions and Parameters'!$B$44="EXEMPT",'Revenue Projections'!AC9,0)+IF('Assumptions and Parameters'!$B$13="EXEMPT",SUM('Revenue Projections'!AC11:AC14),0)+IF('Assumptions and Parameters'!$B$35="EXEMPT",SUM('Revenue Projections'!AC16:AC19),0)+IF('Assumptions and Parameters'!$B$54="EXEMPT",'Revenue Projections'!AC20,0)</f>
        <v>1457229.5668629175</v>
      </c>
      <c r="AD23" s="18">
        <f>IF('Assumptions and Parameters'!$B$3="EXEMPT",AD4,0)+IF('Assumptions and Parameters'!$B$60="EXEMPT",SUM('Revenue Projections'!AD6:AD8),0)+IF('Assumptions and Parameters'!$B$44="EXEMPT",'Revenue Projections'!AD9,0)+IF('Assumptions and Parameters'!$B$13="EXEMPT",SUM('Revenue Projections'!AD11:AD14),0)+IF('Assumptions and Parameters'!$B$35="EXEMPT",SUM('Revenue Projections'!AD16:AD19),0)+IF('Assumptions and Parameters'!$B$54="EXEMPT",'Revenue Projections'!AD20,0)</f>
        <v>1496876.6651901414</v>
      </c>
      <c r="AE23" s="18">
        <f>IF('Assumptions and Parameters'!$B$3="EXEMPT",AE4,0)+IF('Assumptions and Parameters'!$B$60="EXEMPT",SUM('Revenue Projections'!AE6:AE8),0)+IF('Assumptions and Parameters'!$B$44="EXEMPT",'Revenue Projections'!AE9,0)+IF('Assumptions and Parameters'!$B$13="EXEMPT",SUM('Revenue Projections'!AE11:AE14),0)+IF('Assumptions and Parameters'!$B$35="EXEMPT",SUM('Revenue Projections'!AE16:AE19),0)+IF('Assumptions and Parameters'!$B$54="EXEMPT",'Revenue Projections'!AE20,0)</f>
        <v>1537726.0237874414</v>
      </c>
      <c r="AF23" s="18">
        <f>IF('Assumptions and Parameters'!$B$3="EXEMPT",AF4,0)+IF('Assumptions and Parameters'!$B$60="EXEMPT",SUM('Revenue Projections'!AF6:AF8),0)+IF('Assumptions and Parameters'!$B$44="EXEMPT",'Revenue Projections'!AF9,0)+IF('Assumptions and Parameters'!$B$13="EXEMPT",SUM('Revenue Projections'!AF11:AF14),0)+IF('Assumptions and Parameters'!$B$35="EXEMPT",SUM('Revenue Projections'!AF16:AF19),0)+IF('Assumptions and Parameters'!$B$54="EXEMPT",'Revenue Projections'!AF20,0)</f>
        <v>1579815.5570940804</v>
      </c>
      <c r="AG23" s="18">
        <f>IF('Assumptions and Parameters'!$B$3="EXEMPT",AG4,0)+IF('Assumptions and Parameters'!$B$60="EXEMPT",SUM('Revenue Projections'!AG6:AG8),0)+IF('Assumptions and Parameters'!$B$44="EXEMPT",'Revenue Projections'!AG9,0)+IF('Assumptions and Parameters'!$B$13="EXEMPT",SUM('Revenue Projections'!AG11:AG14),0)+IF('Assumptions and Parameters'!$B$35="EXEMPT",SUM('Revenue Projections'!AG16:AG19),0)+IF('Assumptions and Parameters'!$B$54="EXEMPT",'Revenue Projections'!AG20,0)</f>
        <v>1623184.4095540885</v>
      </c>
      <c r="AH23" s="18">
        <f>IF('Assumptions and Parameters'!$B$3="EXEMPT",AH4,0)+IF('Assumptions and Parameters'!$B$60="EXEMPT",SUM('Revenue Projections'!AH6:AH8),0)+IF('Assumptions and Parameters'!$B$44="EXEMPT",'Revenue Projections'!AH9,0)+IF('Assumptions and Parameters'!$B$13="EXEMPT",SUM('Revenue Projections'!AH11:AH14),0)+IF('Assumptions and Parameters'!$B$35="EXEMPT",SUM('Revenue Projections'!AH16:AH19),0)+IF('Assumptions and Parameters'!$B$54="EXEMPT",'Revenue Projections'!AH20,0)</f>
        <v>1667872.9963152006</v>
      </c>
      <c r="AI23" s="18">
        <f>IF('Assumptions and Parameters'!$B$3="EXEMPT",AI4,0)+IF('Assumptions and Parameters'!$B$60="EXEMPT",SUM('Revenue Projections'!AI6:AI8),0)+IF('Assumptions and Parameters'!$B$44="EXEMPT",'Revenue Projections'!AI9,0)+IF('Assumptions and Parameters'!$B$13="EXEMPT",SUM('Revenue Projections'!AI11:AI14),0)+IF('Assumptions and Parameters'!$B$35="EXEMPT",SUM('Revenue Projections'!AI16:AI19),0)+IF('Assumptions and Parameters'!$B$54="EXEMPT",'Revenue Projections'!AI20,0)</f>
        <v>1713923.0452928999</v>
      </c>
      <c r="AJ23" s="18">
        <f>IF('Assumptions and Parameters'!$B$3="EXEMPT",AJ4,0)+IF('Assumptions and Parameters'!$B$60="EXEMPT",SUM('Revenue Projections'!AJ6:AJ8),0)+IF('Assumptions and Parameters'!$B$44="EXEMPT",'Revenue Projections'!AJ9,0)+IF('Assumptions and Parameters'!$B$13="EXEMPT",SUM('Revenue Projections'!AJ11:AJ14),0)+IF('Assumptions and Parameters'!$B$35="EXEMPT",SUM('Revenue Projections'!AJ16:AJ19),0)+IF('Assumptions and Parameters'!$B$54="EXEMPT",'Revenue Projections'!AJ20,0)</f>
        <v>1761377.6406457783</v>
      </c>
    </row>
    <row r="24" spans="1:36" s="134" customFormat="1" ht="19" x14ac:dyDescent="0.25">
      <c r="A24" s="138" t="s">
        <v>186</v>
      </c>
      <c r="B24" s="23">
        <f>IF('Assumptions and Parameters'!$B$3="GENERAL",B4,0)+IF('Assumptions and Parameters'!$B$60="GENERAL",SUM('Revenue Projections'!B6:B8),0)+IF('Assumptions and Parameters'!$B$44="GENERAL",'Revenue Projections'!B9,0)+IF('Assumptions and Parameters'!$B$13="GENERAL",SUM('Revenue Projections'!B11:B14),0)+IF('Assumptions and Parameters'!$B$35="GENERAL",SUM('Revenue Projections'!B16:B19),0)+IF('Assumptions and Parameters'!$B$54="GENERAL",'Revenue Projections'!B20,0)</f>
        <v>860100</v>
      </c>
      <c r="C24" s="23">
        <f>IF('Assumptions and Parameters'!$B$3="GENERAL",C4,0)+IF('Assumptions and Parameters'!$B$60="GENERAL",SUM('Revenue Projections'!C6:C8),0)+IF('Assumptions and Parameters'!$B$44="GENERAL",'Revenue Projections'!C9,0)+IF('Assumptions and Parameters'!$B$13="GENERAL",SUM('Revenue Projections'!C11:C14),0)+IF('Assumptions and Parameters'!$B$35="GENERAL",SUM('Revenue Projections'!C16:C19),0)+IF('Assumptions and Parameters'!$B$54="GENERAL",'Revenue Projections'!C20,0)</f>
        <v>1720200</v>
      </c>
      <c r="D24" s="23">
        <f>IF('Assumptions and Parameters'!$B$3="GENERAL",D4,0)+IF('Assumptions and Parameters'!$B$60="GENERAL",SUM('Revenue Projections'!D6:D8),0)+IF('Assumptions and Parameters'!$B$44="GENERAL",'Revenue Projections'!D9,0)+IF('Assumptions and Parameters'!$B$13="GENERAL",SUM('Revenue Projections'!D11:D14),0)+IF('Assumptions and Parameters'!$B$35="GENERAL",SUM('Revenue Projections'!D16:D19),0)+IF('Assumptions and Parameters'!$B$54="GENERAL",'Revenue Projections'!D20,0)</f>
        <v>1720200</v>
      </c>
      <c r="E24" s="23">
        <f>IF('Assumptions and Parameters'!$B$3="GENERAL",E4,0)+IF('Assumptions and Parameters'!$B$60="GENERAL",SUM('Revenue Projections'!E6:E8),0)+IF('Assumptions and Parameters'!$B$44="GENERAL",'Revenue Projections'!E9,0)+IF('Assumptions and Parameters'!$B$13="GENERAL",SUM('Revenue Projections'!E11:E14),0)+IF('Assumptions and Parameters'!$B$35="GENERAL",SUM('Revenue Projections'!E16:E19),0)+IF('Assumptions and Parameters'!$B$54="GENERAL",'Revenue Projections'!E20,0)</f>
        <v>1720200</v>
      </c>
      <c r="F24" s="23">
        <f>IF('Assumptions and Parameters'!$B$3="GENERAL",F4,0)+IF('Assumptions and Parameters'!$B$60="GENERAL",SUM('Revenue Projections'!F6:F8),0)+IF('Assumptions and Parameters'!$B$44="GENERAL",'Revenue Projections'!F9,0)+IF('Assumptions and Parameters'!$B$13="GENERAL",SUM('Revenue Projections'!F11:F14),0)+IF('Assumptions and Parameters'!$B$35="GENERAL",SUM('Revenue Projections'!F16:F19),0)+IF('Assumptions and Parameters'!$B$54="GENERAL",'Revenue Projections'!F20,0)</f>
        <v>1720200</v>
      </c>
      <c r="G24" s="23">
        <f>IF('Assumptions and Parameters'!$B$3="GENERAL",G4,0)+IF('Assumptions and Parameters'!$B$60="GENERAL",SUM('Revenue Projections'!G6:G8),0)+IF('Assumptions and Parameters'!$B$44="GENERAL",'Revenue Projections'!G9,0)+IF('Assumptions and Parameters'!$B$13="GENERAL",SUM('Revenue Projections'!G11:G14),0)+IF('Assumptions and Parameters'!$B$35="GENERAL",SUM('Revenue Projections'!G16:G19),0)+IF('Assumptions and Parameters'!$B$54="GENERAL",'Revenue Projections'!G20,0)</f>
        <v>1720200</v>
      </c>
      <c r="H24" s="23">
        <f>IF('Assumptions and Parameters'!$B$3="GENERAL",H4,0)+IF('Assumptions and Parameters'!$B$60="GENERAL",SUM('Revenue Projections'!H6:H8),0)+IF('Assumptions and Parameters'!$B$44="GENERAL",'Revenue Projections'!H9,0)+IF('Assumptions and Parameters'!$B$13="GENERAL",SUM('Revenue Projections'!H11:H14),0)+IF('Assumptions and Parameters'!$B$35="GENERAL",SUM('Revenue Projections'!H16:H19),0)+IF('Assumptions and Parameters'!$B$54="GENERAL",'Revenue Projections'!H20,0)</f>
        <v>1720200</v>
      </c>
      <c r="I24" s="23">
        <f>IF('Assumptions and Parameters'!$B$3="GENERAL",I4,0)+IF('Assumptions and Parameters'!$B$60="GENERAL",SUM('Revenue Projections'!I6:I8),0)+IF('Assumptions and Parameters'!$B$44="GENERAL",'Revenue Projections'!I9,0)+IF('Assumptions and Parameters'!$B$13="GENERAL",SUM('Revenue Projections'!I11:I14),0)+IF('Assumptions and Parameters'!$B$35="GENERAL",SUM('Revenue Projections'!I16:I19),0)+IF('Assumptions and Parameters'!$B$54="GENERAL",'Revenue Projections'!I20,0)</f>
        <v>1720200</v>
      </c>
      <c r="J24" s="23">
        <f>IF('Assumptions and Parameters'!$B$3="GENERAL",J4,0)+IF('Assumptions and Parameters'!$B$60="GENERAL",SUM('Revenue Projections'!J6:J8),0)+IF('Assumptions and Parameters'!$B$44="GENERAL",'Revenue Projections'!J9,0)+IF('Assumptions and Parameters'!$B$13="GENERAL",SUM('Revenue Projections'!J11:J14),0)+IF('Assumptions and Parameters'!$B$35="GENERAL",SUM('Revenue Projections'!J16:J19),0)+IF('Assumptions and Parameters'!$B$54="GENERAL",'Revenue Projections'!J20,0)</f>
        <v>1720200</v>
      </c>
      <c r="K24" s="23">
        <f>IF('Assumptions and Parameters'!$B$3="GENERAL",K4,0)+IF('Assumptions and Parameters'!$B$60="GENERAL",SUM('Revenue Projections'!K6:K8),0)+IF('Assumptions and Parameters'!$B$44="GENERAL",'Revenue Projections'!K9,0)+IF('Assumptions and Parameters'!$B$13="GENERAL",SUM('Revenue Projections'!K11:K14),0)+IF('Assumptions and Parameters'!$B$35="GENERAL",SUM('Revenue Projections'!K16:K19),0)+IF('Assumptions and Parameters'!$B$54="GENERAL",'Revenue Projections'!K20,0)</f>
        <v>1720200</v>
      </c>
      <c r="L24" s="23">
        <f>IF('Assumptions and Parameters'!$B$3="GENERAL",L4,0)+IF('Assumptions and Parameters'!$B$60="GENERAL",SUM('Revenue Projections'!L6:L8),0)+IF('Assumptions and Parameters'!$B$44="GENERAL",'Revenue Projections'!L9,0)+IF('Assumptions and Parameters'!$B$13="GENERAL",SUM('Revenue Projections'!L11:L14),0)+IF('Assumptions and Parameters'!$B$35="GENERAL",SUM('Revenue Projections'!L16:L19),0)+IF('Assumptions and Parameters'!$B$54="GENERAL",'Revenue Projections'!L20,0)</f>
        <v>1720200</v>
      </c>
      <c r="M24" s="23">
        <f>IF('Assumptions and Parameters'!$B$3="GENERAL",M4,0)+IF('Assumptions and Parameters'!$B$60="GENERAL",SUM('Revenue Projections'!M6:M8),0)+IF('Assumptions and Parameters'!$B$44="GENERAL",'Revenue Projections'!M9,0)+IF('Assumptions and Parameters'!$B$13="GENERAL",SUM('Revenue Projections'!M11:M14),0)+IF('Assumptions and Parameters'!$B$35="GENERAL",SUM('Revenue Projections'!M16:M19),0)+IF('Assumptions and Parameters'!$B$54="GENERAL",'Revenue Projections'!M20,0)</f>
        <v>1720200</v>
      </c>
      <c r="N24" s="23">
        <f>IF('Assumptions and Parameters'!$B$3="GENERAL",N4,0)+IF('Assumptions and Parameters'!$B$60="GENERAL",SUM('Revenue Projections'!N6:N8),0)+IF('Assumptions and Parameters'!$B$44="GENERAL",'Revenue Projections'!N9,0)+IF('Assumptions and Parameters'!$B$13="GENERAL",SUM('Revenue Projections'!N11:N14),0)+IF('Assumptions and Parameters'!$B$35="GENERAL",SUM('Revenue Projections'!N16:N19),0)+IF('Assumptions and Parameters'!$B$54="GENERAL",'Revenue Projections'!N20,0)</f>
        <v>1720200</v>
      </c>
      <c r="O24" s="23">
        <f>IF('Assumptions and Parameters'!$B$3="GENERAL",O4,0)+IF('Assumptions and Parameters'!$B$60="GENERAL",SUM('Revenue Projections'!O6:O8),0)+IF('Assumptions and Parameters'!$B$44="GENERAL",'Revenue Projections'!O9,0)+IF('Assumptions and Parameters'!$B$13="GENERAL",SUM('Revenue Projections'!O11:O14),0)+IF('Assumptions and Parameters'!$B$35="GENERAL",SUM('Revenue Projections'!O16:O19),0)+IF('Assumptions and Parameters'!$B$54="GENERAL",'Revenue Projections'!O20,0)</f>
        <v>1720200</v>
      </c>
      <c r="P24" s="23">
        <f>IF('Assumptions and Parameters'!$B$3="GENERAL",P4,0)+IF('Assumptions and Parameters'!$B$60="GENERAL",SUM('Revenue Projections'!P6:P8),0)+IF('Assumptions and Parameters'!$B$44="GENERAL",'Revenue Projections'!P9,0)+IF('Assumptions and Parameters'!$B$13="GENERAL",SUM('Revenue Projections'!P11:P14),0)+IF('Assumptions and Parameters'!$B$35="GENERAL",SUM('Revenue Projections'!P16:P19),0)+IF('Assumptions and Parameters'!$B$54="GENERAL",'Revenue Projections'!P20,0)</f>
        <v>1720200</v>
      </c>
      <c r="Q24" s="23">
        <f>IF('Assumptions and Parameters'!$B$3="GENERAL",Q4,0)+IF('Assumptions and Parameters'!$B$60="GENERAL",SUM('Revenue Projections'!Q6:Q8),0)+IF('Assumptions and Parameters'!$B$44="GENERAL",'Revenue Projections'!Q9,0)+IF('Assumptions and Parameters'!$B$13="GENERAL",SUM('Revenue Projections'!Q11:Q14),0)+IF('Assumptions and Parameters'!$B$35="GENERAL",SUM('Revenue Projections'!Q16:Q19),0)+IF('Assumptions and Parameters'!$B$54="GENERAL",'Revenue Projections'!Q20,0)</f>
        <v>1720200</v>
      </c>
      <c r="R24" s="23">
        <f>IF('Assumptions and Parameters'!$B$3="GENERAL",R4,0)+IF('Assumptions and Parameters'!$B$60="GENERAL",SUM('Revenue Projections'!R6:R8),0)+IF('Assumptions and Parameters'!$B$44="GENERAL",'Revenue Projections'!R9,0)+IF('Assumptions and Parameters'!$B$13="GENERAL",SUM('Revenue Projections'!R11:R14),0)+IF('Assumptions and Parameters'!$B$35="GENERAL",SUM('Revenue Projections'!R16:R19),0)+IF('Assumptions and Parameters'!$B$54="GENERAL",'Revenue Projections'!R20,0)</f>
        <v>1720200</v>
      </c>
      <c r="S24" s="23">
        <f>IF('Assumptions and Parameters'!$B$3="GENERAL",S4,0)+IF('Assumptions and Parameters'!$B$60="GENERAL",SUM('Revenue Projections'!S6:S8),0)+IF('Assumptions and Parameters'!$B$44="GENERAL",'Revenue Projections'!S9,0)+IF('Assumptions and Parameters'!$B$13="GENERAL",SUM('Revenue Projections'!S11:S14),0)+IF('Assumptions and Parameters'!$B$35="GENERAL",SUM('Revenue Projections'!S16:S19),0)+IF('Assumptions and Parameters'!$B$54="GENERAL",'Revenue Projections'!S20,0)</f>
        <v>1720200</v>
      </c>
      <c r="T24" s="23">
        <f>IF('Assumptions and Parameters'!$B$3="GENERAL",T4,0)+IF('Assumptions and Parameters'!$B$60="GENERAL",SUM('Revenue Projections'!T6:T8),0)+IF('Assumptions and Parameters'!$B$44="GENERAL",'Revenue Projections'!T9,0)+IF('Assumptions and Parameters'!$B$13="GENERAL",SUM('Revenue Projections'!T11:T14),0)+IF('Assumptions and Parameters'!$B$35="GENERAL",SUM('Revenue Projections'!T16:T19),0)+IF('Assumptions and Parameters'!$B$54="GENERAL",'Revenue Projections'!T20,0)</f>
        <v>1720200</v>
      </c>
      <c r="U24" s="23">
        <f>IF('Assumptions and Parameters'!$B$3="GENERAL",U4,0)+IF('Assumptions and Parameters'!$B$60="GENERAL",SUM('Revenue Projections'!U6:U8),0)+IF('Assumptions and Parameters'!$B$44="GENERAL",'Revenue Projections'!U9,0)+IF('Assumptions and Parameters'!$B$13="GENERAL",SUM('Revenue Projections'!U11:U14),0)+IF('Assumptions and Parameters'!$B$35="GENERAL",SUM('Revenue Projections'!U16:U19),0)+IF('Assumptions and Parameters'!$B$54="GENERAL",'Revenue Projections'!U20,0)</f>
        <v>1720200</v>
      </c>
      <c r="V24" s="23">
        <f>IF('Assumptions and Parameters'!$B$3="GENERAL",V4,0)+IF('Assumptions and Parameters'!$B$60="GENERAL",SUM('Revenue Projections'!V6:V8),0)+IF('Assumptions and Parameters'!$B$44="GENERAL",'Revenue Projections'!V9,0)+IF('Assumptions and Parameters'!$B$13="GENERAL",SUM('Revenue Projections'!V11:V14),0)+IF('Assumptions and Parameters'!$B$35="GENERAL",SUM('Revenue Projections'!V16:V19),0)+IF('Assumptions and Parameters'!$B$54="GENERAL",'Revenue Projections'!V20,0)</f>
        <v>1720200</v>
      </c>
      <c r="W24" s="23">
        <f>IF('Assumptions and Parameters'!$B$3="GENERAL",W4,0)+IF('Assumptions and Parameters'!$B$60="GENERAL",SUM('Revenue Projections'!W6:W8),0)+IF('Assumptions and Parameters'!$B$44="GENERAL",'Revenue Projections'!W9,0)+IF('Assumptions and Parameters'!$B$13="GENERAL",SUM('Revenue Projections'!W11:W14),0)+IF('Assumptions and Parameters'!$B$35="GENERAL",SUM('Revenue Projections'!W16:W19),0)+IF('Assumptions and Parameters'!$B$54="GENERAL",'Revenue Projections'!W20,0)</f>
        <v>1720200</v>
      </c>
      <c r="X24" s="23">
        <f>IF('Assumptions and Parameters'!$B$3="GENERAL",X4,0)+IF('Assumptions and Parameters'!$B$60="GENERAL",SUM('Revenue Projections'!X6:X8),0)+IF('Assumptions and Parameters'!$B$44="GENERAL",'Revenue Projections'!X9,0)+IF('Assumptions and Parameters'!$B$13="GENERAL",SUM('Revenue Projections'!X11:X14),0)+IF('Assumptions and Parameters'!$B$35="GENERAL",SUM('Revenue Projections'!X16:X19),0)+IF('Assumptions and Parameters'!$B$54="GENERAL",'Revenue Projections'!X20,0)</f>
        <v>1720200</v>
      </c>
      <c r="Y24" s="23">
        <f>IF('Assumptions and Parameters'!$B$3="GENERAL",Y4,0)+IF('Assumptions and Parameters'!$B$60="GENERAL",SUM('Revenue Projections'!Y6:Y8),0)+IF('Assumptions and Parameters'!$B$44="GENERAL",'Revenue Projections'!Y9,0)+IF('Assumptions and Parameters'!$B$13="GENERAL",SUM('Revenue Projections'!Y11:Y14),0)+IF('Assumptions and Parameters'!$B$35="GENERAL",SUM('Revenue Projections'!Y16:Y19),0)+IF('Assumptions and Parameters'!$B$54="GENERAL",'Revenue Projections'!Y20,0)</f>
        <v>1720200</v>
      </c>
      <c r="Z24" s="23">
        <f>IF('Assumptions and Parameters'!$B$3="GENERAL",Z4,0)+IF('Assumptions and Parameters'!$B$60="GENERAL",SUM('Revenue Projections'!Z6:Z8),0)+IF('Assumptions and Parameters'!$B$44="GENERAL",'Revenue Projections'!Z9,0)+IF('Assumptions and Parameters'!$B$13="GENERAL",SUM('Revenue Projections'!Z11:Z14),0)+IF('Assumptions and Parameters'!$B$35="GENERAL",SUM('Revenue Projections'!Z16:Z19),0)+IF('Assumptions and Parameters'!$B$54="GENERAL",'Revenue Projections'!Z20,0)</f>
        <v>1720200</v>
      </c>
      <c r="AA24" s="23">
        <f>IF('Assumptions and Parameters'!$B$3="GENERAL",AA4,0)+IF('Assumptions and Parameters'!$B$60="GENERAL",SUM('Revenue Projections'!AA6:AA8),0)+IF('Assumptions and Parameters'!$B$44="GENERAL",'Revenue Projections'!AA9,0)+IF('Assumptions and Parameters'!$B$13="GENERAL",SUM('Revenue Projections'!AA11:AA14),0)+IF('Assumptions and Parameters'!$B$35="GENERAL",SUM('Revenue Projections'!AA16:AA19),0)+IF('Assumptions and Parameters'!$B$54="GENERAL",'Revenue Projections'!AA20,0)</f>
        <v>1720200</v>
      </c>
      <c r="AB24" s="23">
        <f>IF('Assumptions and Parameters'!$B$3="GENERAL",AB4,0)+IF('Assumptions and Parameters'!$B$60="GENERAL",SUM('Revenue Projections'!AB6:AB8),0)+IF('Assumptions and Parameters'!$B$44="GENERAL",'Revenue Projections'!AB9,0)+IF('Assumptions and Parameters'!$B$13="GENERAL",SUM('Revenue Projections'!AB11:AB14),0)+IF('Assumptions and Parameters'!$B$35="GENERAL",SUM('Revenue Projections'!AB16:AB19),0)+IF('Assumptions and Parameters'!$B$54="GENERAL",'Revenue Projections'!AB20,0)</f>
        <v>1720200</v>
      </c>
      <c r="AC24" s="23">
        <f>IF('Assumptions and Parameters'!$B$3="GENERAL",AC4,0)+IF('Assumptions and Parameters'!$B$60="GENERAL",SUM('Revenue Projections'!AC6:AC8),0)+IF('Assumptions and Parameters'!$B$44="GENERAL",'Revenue Projections'!AC9,0)+IF('Assumptions and Parameters'!$B$13="GENERAL",SUM('Revenue Projections'!AC11:AC14),0)+IF('Assumptions and Parameters'!$B$35="GENERAL",SUM('Revenue Projections'!AC16:AC19),0)+IF('Assumptions and Parameters'!$B$54="GENERAL",'Revenue Projections'!AC20,0)</f>
        <v>1720200</v>
      </c>
      <c r="AD24" s="23">
        <f>IF('Assumptions and Parameters'!$B$3="GENERAL",AD4,0)+IF('Assumptions and Parameters'!$B$60="GENERAL",SUM('Revenue Projections'!AD6:AD8),0)+IF('Assumptions and Parameters'!$B$44="GENERAL",'Revenue Projections'!AD9,0)+IF('Assumptions and Parameters'!$B$13="GENERAL",SUM('Revenue Projections'!AD11:AD14),0)+IF('Assumptions and Parameters'!$B$35="GENERAL",SUM('Revenue Projections'!AD16:AD19),0)+IF('Assumptions and Parameters'!$B$54="GENERAL",'Revenue Projections'!AD20,0)</f>
        <v>1720200</v>
      </c>
      <c r="AE24" s="23">
        <f>IF('Assumptions and Parameters'!$B$3="GENERAL",AE4,0)+IF('Assumptions and Parameters'!$B$60="GENERAL",SUM('Revenue Projections'!AE6:AE8),0)+IF('Assumptions and Parameters'!$B$44="GENERAL",'Revenue Projections'!AE9,0)+IF('Assumptions and Parameters'!$B$13="GENERAL",SUM('Revenue Projections'!AE11:AE14),0)+IF('Assumptions and Parameters'!$B$35="GENERAL",SUM('Revenue Projections'!AE16:AE19),0)+IF('Assumptions and Parameters'!$B$54="GENERAL",'Revenue Projections'!AE20,0)</f>
        <v>1720200</v>
      </c>
      <c r="AF24" s="23">
        <f>IF('Assumptions and Parameters'!$B$3="GENERAL",AF4,0)+IF('Assumptions and Parameters'!$B$60="GENERAL",SUM('Revenue Projections'!AF6:AF8),0)+IF('Assumptions and Parameters'!$B$44="GENERAL",'Revenue Projections'!AF9,0)+IF('Assumptions and Parameters'!$B$13="GENERAL",SUM('Revenue Projections'!AF11:AF14),0)+IF('Assumptions and Parameters'!$B$35="GENERAL",SUM('Revenue Projections'!AF16:AF19),0)+IF('Assumptions and Parameters'!$B$54="GENERAL",'Revenue Projections'!AF20,0)</f>
        <v>1720200</v>
      </c>
      <c r="AG24" s="23">
        <f>IF('Assumptions and Parameters'!$B$3="GENERAL",AG4,0)+IF('Assumptions and Parameters'!$B$60="GENERAL",SUM('Revenue Projections'!AG6:AG8),0)+IF('Assumptions and Parameters'!$B$44="GENERAL",'Revenue Projections'!AG9,0)+IF('Assumptions and Parameters'!$B$13="GENERAL",SUM('Revenue Projections'!AG11:AG14),0)+IF('Assumptions and Parameters'!$B$35="GENERAL",SUM('Revenue Projections'!AG16:AG19),0)+IF('Assumptions and Parameters'!$B$54="GENERAL",'Revenue Projections'!AG20,0)</f>
        <v>1720200</v>
      </c>
      <c r="AH24" s="23">
        <f>IF('Assumptions and Parameters'!$B$3="GENERAL",AH4,0)+IF('Assumptions and Parameters'!$B$60="GENERAL",SUM('Revenue Projections'!AH6:AH8),0)+IF('Assumptions and Parameters'!$B$44="GENERAL",'Revenue Projections'!AH9,0)+IF('Assumptions and Parameters'!$B$13="GENERAL",SUM('Revenue Projections'!AH11:AH14),0)+IF('Assumptions and Parameters'!$B$35="GENERAL",SUM('Revenue Projections'!AH16:AH19),0)+IF('Assumptions and Parameters'!$B$54="GENERAL",'Revenue Projections'!AH20,0)</f>
        <v>1720200</v>
      </c>
      <c r="AI24" s="23">
        <f>IF('Assumptions and Parameters'!$B$3="GENERAL",AI4,0)+IF('Assumptions and Parameters'!$B$60="GENERAL",SUM('Revenue Projections'!AI6:AI8),0)+IF('Assumptions and Parameters'!$B$44="GENERAL",'Revenue Projections'!AI9,0)+IF('Assumptions and Parameters'!$B$13="GENERAL",SUM('Revenue Projections'!AI11:AI14),0)+IF('Assumptions and Parameters'!$B$35="GENERAL",SUM('Revenue Projections'!AI16:AI19),0)+IF('Assumptions and Parameters'!$B$54="GENERAL",'Revenue Projections'!AI20,0)</f>
        <v>1720200</v>
      </c>
      <c r="AJ24" s="23">
        <f>IF('Assumptions and Parameters'!$B$3="GENERAL",AJ4,0)+IF('Assumptions and Parameters'!$B$60="GENERAL",SUM('Revenue Projections'!AJ6:AJ8),0)+IF('Assumptions and Parameters'!$B$44="GENERAL",'Revenue Projections'!AJ9,0)+IF('Assumptions and Parameters'!$B$13="GENERAL",SUM('Revenue Projections'!AJ11:AJ14),0)+IF('Assumptions and Parameters'!$B$35="GENERAL",SUM('Revenue Projections'!AJ16:AJ19),0)+IF('Assumptions and Parameters'!$B$54="GENERAL",'Revenue Projections'!AJ20,0)</f>
        <v>1720200</v>
      </c>
    </row>
    <row r="25" spans="1:36" s="12" customFormat="1" ht="19" x14ac:dyDescent="0.25">
      <c r="A25" s="137"/>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row>
    <row r="26" spans="1:36" s="5" customFormat="1" ht="19" x14ac:dyDescent="0.25">
      <c r="A26" s="5" t="s">
        <v>184</v>
      </c>
      <c r="B26" s="8">
        <f>IF('Assumptions and Parameters'!$B$3="ARENA",B4,0)+IF('Assumptions and Parameters'!$B$60="ARENA",SUM('Revenue Projections'!B6:B8),0)+IF('Assumptions and Parameters'!$B$44="ARENA",'Revenue Projections'!B9,0)+IF('Assumptions and Parameters'!$B$13="ARENA",SUM('Revenue Projections'!B11:B14),0)+IF('Assumptions and Parameters'!$B$35="ARENA",SUM('Revenue Projections'!B16:B19),0)+IF('Assumptions and Parameters'!$B$54="ARENA",'Revenue Projections'!B20,0)</f>
        <v>2477000</v>
      </c>
      <c r="C26" s="8">
        <f>IF('Assumptions and Parameters'!$B$3="ARENA",C4,0)+IF('Assumptions and Parameters'!$B$60="ARENA",SUM('Revenue Projections'!C6:C8),0)+IF('Assumptions and Parameters'!$B$44="ARENA",'Revenue Projections'!C9,0)+IF('Assumptions and Parameters'!$B$13="ARENA",SUM('Revenue Projections'!C11:C14),0)+IF('Assumptions and Parameters'!$B$35="ARENA",SUM('Revenue Projections'!C16:C19),0)+IF('Assumptions and Parameters'!$B$54="ARENA",'Revenue Projections'!C20,0)</f>
        <v>6113100.309940055</v>
      </c>
      <c r="D26" s="8">
        <f>IF('Assumptions and Parameters'!$B$3="ARENA",D4,0)+IF('Assumptions and Parameters'!$B$60="ARENA",SUM('Revenue Projections'!D6:D8),0)+IF('Assumptions and Parameters'!$B$44="ARENA",'Revenue Projections'!D9,0)+IF('Assumptions and Parameters'!$B$13="ARENA",SUM('Revenue Projections'!D11:D14),0)+IF('Assumptions and Parameters'!$B$35="ARENA",SUM('Revenue Projections'!D16:D19),0)+IF('Assumptions and Parameters'!$B$54="ARENA",'Revenue Projections'!D20,0)</f>
        <v>3802382.3761226614</v>
      </c>
      <c r="E26" s="8">
        <f>IF('Assumptions and Parameters'!$B$3="ARENA",E4,0)+IF('Assumptions and Parameters'!$B$60="ARENA",SUM('Revenue Projections'!E6:E8),0)+IF('Assumptions and Parameters'!$B$44="ARENA",'Revenue Projections'!E9,0)+IF('Assumptions and Parameters'!$B$13="ARENA",SUM('Revenue Projections'!E11:E14),0)+IF('Assumptions and Parameters'!$B$35="ARENA",SUM('Revenue Projections'!E16:E19),0)+IF('Assumptions and Parameters'!$B$54="ARENA",'Revenue Projections'!E20,0)</f>
        <v>3890793.6242338321</v>
      </c>
      <c r="F26" s="8">
        <f>IF('Assumptions and Parameters'!$B$3="ARENA",F4,0)+IF('Assumptions and Parameters'!$B$60="ARENA",SUM('Revenue Projections'!F6:F8),0)+IF('Assumptions and Parameters'!$B$44="ARENA",'Revenue Projections'!F9,0)+IF('Assumptions and Parameters'!$B$13="ARENA",SUM('Revenue Projections'!F11:F14),0)+IF('Assumptions and Parameters'!$B$35="ARENA",SUM('Revenue Projections'!F16:F19),0)+IF('Assumptions and Parameters'!$B$54="ARENA",'Revenue Projections'!F20,0)</f>
        <v>3981390.981070552</v>
      </c>
      <c r="G26" s="8">
        <f>IF('Assumptions and Parameters'!$B$3="ARENA",G4,0)+IF('Assumptions and Parameters'!$B$60="ARENA",SUM('Revenue Projections'!G6:G8),0)+IF('Assumptions and Parameters'!$B$44="ARENA",'Revenue Projections'!G9,0)+IF('Assumptions and Parameters'!$B$13="ARENA",SUM('Revenue Projections'!G11:G14),0)+IF('Assumptions and Parameters'!$B$35="ARENA",SUM('Revenue Projections'!G16:G19),0)+IF('Assumptions and Parameters'!$B$54="ARENA",'Revenue Projections'!G20,0)</f>
        <v>4074233.0541075175</v>
      </c>
      <c r="H26" s="8">
        <f>IF('Assumptions and Parameters'!$B$3="ARENA",H4,0)+IF('Assumptions and Parameters'!$B$60="ARENA",SUM('Revenue Projections'!H6:H8),0)+IF('Assumptions and Parameters'!$B$44="ARENA",'Revenue Projections'!H9,0)+IF('Assumptions and Parameters'!$B$13="ARENA",SUM('Revenue Projections'!H11:H14),0)+IF('Assumptions and Parameters'!$B$35="ARENA",SUM('Revenue Projections'!H16:H19),0)+IF('Assumptions and Parameters'!$B$54="ARENA",'Revenue Projections'!H20,0)</f>
        <v>4169380.1869672867</v>
      </c>
      <c r="I26" s="8">
        <f>IF('Assumptions and Parameters'!$B$3="ARENA",I4,0)+IF('Assumptions and Parameters'!$B$60="ARENA",SUM('Revenue Projections'!I6:I8),0)+IF('Assumptions and Parameters'!$B$44="ARENA",'Revenue Projections'!I9,0)+IF('Assumptions and Parameters'!$B$13="ARENA",SUM('Revenue Projections'!I11:I14),0)+IF('Assumptions and Parameters'!$B$35="ARENA",SUM('Revenue Projections'!I16:I19),0)+IF('Assumptions and Parameters'!$B$54="ARENA",'Revenue Projections'!I20,0)</f>
        <v>8049813.2447985942</v>
      </c>
      <c r="J26" s="8">
        <f>IF('Assumptions and Parameters'!$B$3="ARENA",J4,0)+IF('Assumptions and Parameters'!$B$60="ARENA",SUM('Revenue Projections'!J6:J8),0)+IF('Assumptions and Parameters'!$B$44="ARENA",'Revenue Projections'!J9,0)+IF('Assumptions and Parameters'!$B$13="ARENA",SUM('Revenue Projections'!J11:J14),0)+IF('Assumptions and Parameters'!$B$35="ARENA",SUM('Revenue Projections'!J16:J19),0)+IF('Assumptions and Parameters'!$B$54="ARENA",'Revenue Projections'!J20,0)</f>
        <v>8281580.7207379378</v>
      </c>
      <c r="K26" s="8">
        <f>IF('Assumptions and Parameters'!$B$3="ARENA",K4,0)+IF('Assumptions and Parameters'!$B$60="ARENA",SUM('Revenue Projections'!K6:K8),0)+IF('Assumptions and Parameters'!$B$44="ARENA",'Revenue Projections'!K9,0)+IF('Assumptions and Parameters'!$B$13="ARENA",SUM('Revenue Projections'!K11:K14),0)+IF('Assumptions and Parameters'!$B$35="ARENA",SUM('Revenue Projections'!K16:K19),0)+IF('Assumptions and Parameters'!$B$54="ARENA",'Revenue Projections'!K20,0)</f>
        <v>8520441.6527520008</v>
      </c>
      <c r="L26" s="8">
        <f>IF('Assumptions and Parameters'!$B$3="ARENA",L4,0)+IF('Assumptions and Parameters'!$B$60="ARENA",SUM('Revenue Projections'!L6:L8),0)+IF('Assumptions and Parameters'!$B$44="ARENA",'Revenue Projections'!L9,0)+IF('Assumptions and Parameters'!$B$13="ARENA",SUM('Revenue Projections'!L11:L14),0)+IF('Assumptions and Parameters'!$B$35="ARENA",SUM('Revenue Projections'!L16:L19),0)+IF('Assumptions and Parameters'!$B$54="ARENA",'Revenue Projections'!L20,0)</f>
        <v>8766624.2764309905</v>
      </c>
      <c r="M26" s="8">
        <f>IF('Assumptions and Parameters'!$B$3="ARENA",M4,0)+IF('Assumptions and Parameters'!$B$60="ARENA",SUM('Revenue Projections'!M6:M8),0)+IF('Assumptions and Parameters'!$B$44="ARENA",'Revenue Projections'!M9,0)+IF('Assumptions and Parameters'!$B$13="ARENA",SUM('Revenue Projections'!M11:M14),0)+IF('Assumptions and Parameters'!$B$35="ARENA",SUM('Revenue Projections'!M16:M19),0)+IF('Assumptions and Parameters'!$B$54="ARENA",'Revenue Projections'!M20,0)</f>
        <v>9020364.4698512033</v>
      </c>
      <c r="N26" s="8">
        <f>IF('Assumptions and Parameters'!$B$3="ARENA",N4,0)+IF('Assumptions and Parameters'!$B$60="ARENA",SUM('Revenue Projections'!N6:N8),0)+IF('Assumptions and Parameters'!$B$44="ARENA",'Revenue Projections'!N9,0)+IF('Assumptions and Parameters'!$B$13="ARENA",SUM('Revenue Projections'!N11:N14),0)+IF('Assumptions and Parameters'!$B$35="ARENA",SUM('Revenue Projections'!N16:N19),0)+IF('Assumptions and Parameters'!$B$54="ARENA",'Revenue Projections'!N20,0)</f>
        <v>9281906.0180435851</v>
      </c>
      <c r="O26" s="8">
        <f>IF('Assumptions and Parameters'!$B$3="ARENA",O4,0)+IF('Assumptions and Parameters'!$B$60="ARENA",SUM('Revenue Projections'!O6:O8),0)+IF('Assumptions and Parameters'!$B$44="ARENA",'Revenue Projections'!O9,0)+IF('Assumptions and Parameters'!$B$13="ARENA",SUM('Revenue Projections'!O11:O14),0)+IF('Assumptions and Parameters'!$B$35="ARENA",SUM('Revenue Projections'!O16:O19),0)+IF('Assumptions and Parameters'!$B$54="ARENA",'Revenue Projections'!O20,0)</f>
        <v>9551500.8868876006</v>
      </c>
      <c r="P26" s="8">
        <f>IF('Assumptions and Parameters'!$B$3="ARENA",P4,0)+IF('Assumptions and Parameters'!$B$60="ARENA",SUM('Revenue Projections'!P6:P8),0)+IF('Assumptions and Parameters'!$B$44="ARENA",'Revenue Projections'!P9,0)+IF('Assumptions and Parameters'!$B$13="ARENA",SUM('Revenue Projections'!P11:P14),0)+IF('Assumptions and Parameters'!$B$35="ARENA",SUM('Revenue Projections'!P16:P19),0)+IF('Assumptions and Parameters'!$B$54="ARENA",'Revenue Projections'!P20,0)</f>
        <v>9829409.5067762546</v>
      </c>
      <c r="Q26" s="8">
        <f>IF('Assumptions and Parameters'!$B$3="ARENA",Q4,0)+IF('Assumptions and Parameters'!$B$60="ARENA",SUM('Revenue Projections'!Q6:Q8),0)+IF('Assumptions and Parameters'!$B$44="ARENA",'Revenue Projections'!Q9,0)+IF('Assumptions and Parameters'!$B$13="ARENA",SUM('Revenue Projections'!Q11:Q14),0)+IF('Assumptions and Parameters'!$B$35="ARENA",SUM('Revenue Projections'!Q16:Q19),0)+IF('Assumptions and Parameters'!$B$54="ARENA",'Revenue Projections'!Q20,0)</f>
        <v>10115901.066411026</v>
      </c>
      <c r="R26" s="8">
        <f>IF('Assumptions and Parameters'!$B$3="ARENA",R4,0)+IF('Assumptions and Parameters'!$B$60="ARENA",SUM('Revenue Projections'!R6:R8),0)+IF('Assumptions and Parameters'!$B$44="ARENA",'Revenue Projections'!R9,0)+IF('Assumptions and Parameters'!$B$13="ARENA",SUM('Revenue Projections'!R11:R14),0)+IF('Assumptions and Parameters'!$B$35="ARENA",SUM('Revenue Projections'!R16:R19),0)+IF('Assumptions and Parameters'!$B$54="ARENA",'Revenue Projections'!R20,0)</f>
        <v>10411253.817099227</v>
      </c>
      <c r="S26" s="8">
        <f>IF('Assumptions and Parameters'!$B$3="ARENA",S4,0)+IF('Assumptions and Parameters'!$B$60="ARENA",SUM('Revenue Projections'!S6:S8),0)+IF('Assumptions and Parameters'!$B$44="ARENA",'Revenue Projections'!S9,0)+IF('Assumptions and Parameters'!$B$13="ARENA",SUM('Revenue Projections'!S11:S14),0)+IF('Assumptions and Parameters'!$B$35="ARENA",SUM('Revenue Projections'!S16:S19),0)+IF('Assumptions and Parameters'!$B$54="ARENA",'Revenue Projections'!S20,0)</f>
        <v>10715755.387940243</v>
      </c>
      <c r="T26" s="8">
        <f>IF('Assumptions and Parameters'!$B$3="ARENA",T4,0)+IF('Assumptions and Parameters'!$B$60="ARENA",SUM('Revenue Projections'!T6:T8),0)+IF('Assumptions and Parameters'!$B$44="ARENA",'Revenue Projections'!T9,0)+IF('Assumptions and Parameters'!$B$13="ARENA",SUM('Revenue Projections'!T11:T14),0)+IF('Assumptions and Parameters'!$B$35="ARENA",SUM('Revenue Projections'!T16:T19),0)+IF('Assumptions and Parameters'!$B$54="ARENA",'Revenue Projections'!T20,0)</f>
        <v>11029703.112301966</v>
      </c>
      <c r="U26" s="8">
        <f>IF('Assumptions and Parameters'!$B$3="ARENA",U4,0)+IF('Assumptions and Parameters'!$B$60="ARENA",SUM('Revenue Projections'!U6:U8),0)+IF('Assumptions and Parameters'!$B$44="ARENA",'Revenue Projections'!U9,0)+IF('Assumptions and Parameters'!$B$13="ARENA",SUM('Revenue Projections'!U11:U14),0)+IF('Assumptions and Parameters'!$B$35="ARENA",SUM('Revenue Projections'!U16:U19),0)+IF('Assumptions and Parameters'!$B$54="ARENA",'Revenue Projections'!U20,0)</f>
        <v>11353404.366003783</v>
      </c>
      <c r="V26" s="8">
        <f>IF('Assumptions and Parameters'!$B$3="ARENA",V4,0)+IF('Assumptions and Parameters'!$B$60="ARENA",SUM('Revenue Projections'!V6:V8),0)+IF('Assumptions and Parameters'!$B$44="ARENA",'Revenue Projections'!V9,0)+IF('Assumptions and Parameters'!$B$13="ARENA",SUM('Revenue Projections'!V11:V14),0)+IF('Assumptions and Parameters'!$B$35="ARENA",SUM('Revenue Projections'!V16:V19),0)+IF('Assumptions and Parameters'!$B$54="ARENA",'Revenue Projections'!V20,0)</f>
        <v>11687176.917638524</v>
      </c>
      <c r="W26" s="8">
        <f>IF('Assumptions and Parameters'!$B$3="ARENA",W4,0)+IF('Assumptions and Parameters'!$B$60="ARENA",SUM('Revenue Projections'!W6:W8),0)+IF('Assumptions and Parameters'!$B$44="ARENA",'Revenue Projections'!W9,0)+IF('Assumptions and Parameters'!$B$13="ARENA",SUM('Revenue Projections'!W11:W14),0)+IF('Assumptions and Parameters'!$B$35="ARENA",SUM('Revenue Projections'!W16:W19),0)+IF('Assumptions and Parameters'!$B$54="ARENA",'Revenue Projections'!W20,0)</f>
        <v>12031349.291482061</v>
      </c>
      <c r="X26" s="8">
        <f>IF('Assumptions and Parameters'!$B$3="ARENA",X4,0)+IF('Assumptions and Parameters'!$B$60="ARENA",SUM('Revenue Projections'!X6:X8),0)+IF('Assumptions and Parameters'!$B$44="ARENA",'Revenue Projections'!X9,0)+IF('Assumptions and Parameters'!$B$13="ARENA",SUM('Revenue Projections'!X11:X14),0)+IF('Assumptions and Parameters'!$B$35="ARENA",SUM('Revenue Projections'!X16:X19),0)+IF('Assumptions and Parameters'!$B$54="ARENA",'Revenue Projections'!X20,0)</f>
        <v>12386261.143456541</v>
      </c>
      <c r="Y26" s="8">
        <f>IF('Assumptions and Parameters'!$B$3="ARENA",Y4,0)+IF('Assumptions and Parameters'!$B$60="ARENA",SUM('Revenue Projections'!Y6:Y8),0)+IF('Assumptions and Parameters'!$B$44="ARENA",'Revenue Projections'!Y9,0)+IF('Assumptions and Parameters'!$B$13="ARENA",SUM('Revenue Projections'!Y11:Y14),0)+IF('Assumptions and Parameters'!$B$35="ARENA",SUM('Revenue Projections'!Y16:Y19),0)+IF('Assumptions and Parameters'!$B$54="ARENA",'Revenue Projections'!Y20,0)</f>
        <v>12752263.650630819</v>
      </c>
      <c r="Z26" s="8">
        <f>IF('Assumptions and Parameters'!$B$3="ARENA",Z4,0)+IF('Assumptions and Parameters'!$B$60="ARENA",SUM('Revenue Projections'!Z6:Z8),0)+IF('Assumptions and Parameters'!$B$44="ARENA",'Revenue Projections'!Z9,0)+IF('Assumptions and Parameters'!$B$13="ARENA",SUM('Revenue Projections'!Z11:Z14),0)+IF('Assumptions and Parameters'!$B$35="ARENA",SUM('Revenue Projections'!Z16:Z19),0)+IF('Assumptions and Parameters'!$B$54="ARENA",'Revenue Projections'!Z20,0)</f>
        <v>13129719.914760401</v>
      </c>
      <c r="AA26" s="8">
        <f>IF('Assumptions and Parameters'!$B$3="ARENA",AA4,0)+IF('Assumptions and Parameters'!$B$60="ARENA",SUM('Revenue Projections'!AA6:AA8),0)+IF('Assumptions and Parameters'!$B$44="ARENA",'Revenue Projections'!AA9,0)+IF('Assumptions and Parameters'!$B$13="ARENA",SUM('Revenue Projections'!AA11:AA14),0)+IF('Assumptions and Parameters'!$B$35="ARENA",SUM('Revenue Projections'!AA16:AA19),0)+IF('Assumptions and Parameters'!$B$54="ARENA",'Revenue Projections'!AA20,0)</f>
        <v>13519005.380388223</v>
      </c>
      <c r="AB26" s="8">
        <f>IF('Assumptions and Parameters'!$B$3="ARENA",AB4,0)+IF('Assumptions and Parameters'!$B$60="ARENA",SUM('Revenue Projections'!AB6:AB8),0)+IF('Assumptions and Parameters'!$B$44="ARENA",'Revenue Projections'!AB9,0)+IF('Assumptions and Parameters'!$B$13="ARENA",SUM('Revenue Projections'!AB11:AB14),0)+IF('Assumptions and Parameters'!$B$35="ARENA",SUM('Revenue Projections'!AB16:AB19),0)+IF('Assumptions and Parameters'!$B$54="ARENA",'Revenue Projections'!AB20,0)</f>
        <v>13920508.268047646</v>
      </c>
      <c r="AC26" s="8">
        <f>IF('Assumptions and Parameters'!$B$3="ARENA",AC4,0)+IF('Assumptions and Parameters'!$B$60="ARENA",SUM('Revenue Projections'!AC6:AC8),0)+IF('Assumptions and Parameters'!$B$44="ARENA",'Revenue Projections'!AC9,0)+IF('Assumptions and Parameters'!$B$13="ARENA",SUM('Revenue Projections'!AC11:AC14),0)+IF('Assumptions and Parameters'!$B$35="ARENA",SUM('Revenue Projections'!AC16:AC19),0)+IF('Assumptions and Parameters'!$B$54="ARENA",'Revenue Projections'!AC20,0)</f>
        <v>14334630.023129886</v>
      </c>
      <c r="AD26" s="8">
        <f>IF('Assumptions and Parameters'!$B$3="ARENA",AD4,0)+IF('Assumptions and Parameters'!$B$60="ARENA",SUM('Revenue Projections'!AD6:AD8),0)+IF('Assumptions and Parameters'!$B$44="ARENA",'Revenue Projections'!AD9,0)+IF('Assumptions and Parameters'!$B$13="ARENA",SUM('Revenue Projections'!AD11:AD14),0)+IF('Assumptions and Parameters'!$B$35="ARENA",SUM('Revenue Projections'!AD16:AD19),0)+IF('Assumptions and Parameters'!$B$54="ARENA",'Revenue Projections'!AD20,0)</f>
        <v>14761785.780999659</v>
      </c>
      <c r="AE26" s="8">
        <f>IF('Assumptions and Parameters'!$B$3="ARENA",AE4,0)+IF('Assumptions and Parameters'!$B$60="ARENA",SUM('Revenue Projections'!AE6:AE8),0)+IF('Assumptions and Parameters'!$B$44="ARENA",'Revenue Projections'!AE9,0)+IF('Assumptions and Parameters'!$B$13="ARENA",SUM('Revenue Projections'!AE11:AE14),0)+IF('Assumptions and Parameters'!$B$35="ARENA",SUM('Revenue Projections'!AE16:AE19),0)+IF('Assumptions and Parameters'!$B$54="ARENA",'Revenue Projections'!AE20,0)</f>
        <v>15202404.848965205</v>
      </c>
      <c r="AF26" s="8">
        <f>IF('Assumptions and Parameters'!$B$3="ARENA",AF4,0)+IF('Assumptions and Parameters'!$B$60="ARENA",SUM('Revenue Projections'!AF6:AF8),0)+IF('Assumptions and Parameters'!$B$44="ARENA",'Revenue Projections'!AF9,0)+IF('Assumptions and Parameters'!$B$13="ARENA",SUM('Revenue Projections'!AF11:AF14),0)+IF('Assumptions and Parameters'!$B$35="ARENA",SUM('Revenue Projections'!AF16:AF19),0)+IF('Assumptions and Parameters'!$B$54="ARENA",'Revenue Projections'!AF20,0)</f>
        <v>15656931.205732388</v>
      </c>
      <c r="AG26" s="8">
        <f>IF('Assumptions and Parameters'!$B$3="ARENA",AG4,0)+IF('Assumptions and Parameters'!$B$60="ARENA",SUM('Revenue Projections'!AG6:AG8),0)+IF('Assumptions and Parameters'!$B$44="ARENA",'Revenue Projections'!AG9,0)+IF('Assumptions and Parameters'!$B$13="ARENA",SUM('Revenue Projections'!AG11:AG14),0)+IF('Assumptions and Parameters'!$B$35="ARENA",SUM('Revenue Projections'!AG16:AG19),0)+IF('Assumptions and Parameters'!$B$54="ARENA",'Revenue Projections'!AG20,0)</f>
        <v>16125824.018996667</v>
      </c>
      <c r="AH26" s="8">
        <f>IF('Assumptions and Parameters'!$B$3="ARENA",AH4,0)+IF('Assumptions and Parameters'!$B$60="ARENA",SUM('Revenue Projections'!AH6:AH8),0)+IF('Assumptions and Parameters'!$B$44="ARENA",'Revenue Projections'!AH9,0)+IF('Assumptions and Parameters'!$B$13="ARENA",SUM('Revenue Projections'!AH11:AH14),0)+IF('Assumptions and Parameters'!$B$35="ARENA",SUM('Revenue Projections'!AH16:AH19),0)+IF('Assumptions and Parameters'!$B$54="ARENA",'Revenue Projections'!AH20,0)</f>
        <v>16609558.181852138</v>
      </c>
      <c r="AI26" s="8">
        <f>IF('Assumptions and Parameters'!$B$3="ARENA",AI4,0)+IF('Assumptions and Parameters'!$B$60="ARENA",SUM('Revenue Projections'!AI6:AI8),0)+IF('Assumptions and Parameters'!$B$44="ARENA",'Revenue Projections'!AI9,0)+IF('Assumptions and Parameters'!$B$13="ARENA",SUM('Revenue Projections'!AI11:AI14),0)+IF('Assumptions and Parameters'!$B$35="ARENA",SUM('Revenue Projections'!AI16:AI19),0)+IF('Assumptions and Parameters'!$B$54="ARENA",'Revenue Projections'!AI20,0)</f>
        <v>17108624.868723046</v>
      </c>
      <c r="AJ26" s="8">
        <f>IF('Assumptions and Parameters'!$B$3="ARENA",AJ4,0)+IF('Assumptions and Parameters'!$B$60="ARENA",SUM('Revenue Projections'!AJ6:AJ8),0)+IF('Assumptions and Parameters'!$B$44="ARENA",'Revenue Projections'!AJ9,0)+IF('Assumptions and Parameters'!$B$13="ARENA",SUM('Revenue Projections'!AJ11:AJ14),0)+IF('Assumptions and Parameters'!$B$35="ARENA",SUM('Revenue Projections'!AJ16:AJ19),0)+IF('Assumptions and Parameters'!$B$54="ARENA",'Revenue Projections'!AJ20,0)</f>
        <v>17623532.111550469</v>
      </c>
    </row>
    <row r="27" spans="1:36" s="122" customFormat="1" ht="19" x14ac:dyDescent="0.25">
      <c r="A27" s="140" t="s">
        <v>185</v>
      </c>
      <c r="B27" s="18">
        <f>IF(SUM($B$26)&gt;'Assumptions and Parameters'!$B$110,'Revenue Projections'!B26*(1-'Assumptions and Parameters'!$B$111),'Revenue Projections'!B26)</f>
        <v>2477000</v>
      </c>
      <c r="C27" s="18">
        <f>IF(SUM($B$26:C26)&gt;'Assumptions and Parameters'!$B$110,'Revenue Projections'!C26*(1-'Assumptions and Parameters'!$B$111),'Revenue Projections'!C26)</f>
        <v>6113100.309940055</v>
      </c>
      <c r="D27" s="18">
        <f>IF(SUM($B$26:D26)&gt;'Assumptions and Parameters'!$B$110,'Revenue Projections'!D26*(1-'Assumptions and Parameters'!$B$111),'Revenue Projections'!D26)</f>
        <v>3802382.3761226614</v>
      </c>
      <c r="E27" s="18">
        <f>IF(SUM($B$26:E26)&gt;'Assumptions and Parameters'!$B$110,'Revenue Projections'!E26*(1-'Assumptions and Parameters'!$B$111),'Revenue Projections'!E26)</f>
        <v>3890793.6242338321</v>
      </c>
      <c r="F27" s="18">
        <f>IF(SUM($B$26:F26)&gt;'Assumptions and Parameters'!$B$110,'Revenue Projections'!F26*(1-'Assumptions and Parameters'!$B$111),'Revenue Projections'!F26)</f>
        <v>3981390.981070552</v>
      </c>
      <c r="G27" s="18">
        <f>IF(SUM($B$26:G26)&gt;'Assumptions and Parameters'!$B$110,'Revenue Projections'!G26*(1-'Assumptions and Parameters'!$B$111),'Revenue Projections'!G26)</f>
        <v>4074233.0541075175</v>
      </c>
      <c r="H27" s="18">
        <f>IF(SUM($B$26:H26)&gt;'Assumptions and Parameters'!$B$110,'Revenue Projections'!H26*(1-'Assumptions and Parameters'!$B$111),'Revenue Projections'!H26)</f>
        <v>4169380.1869672867</v>
      </c>
      <c r="I27" s="18">
        <f>IF(SUM($B$26:I26)&gt;'Assumptions and Parameters'!$B$110,'Revenue Projections'!I26*(1-'Assumptions and Parameters'!$B$111),'Revenue Projections'!I26)</f>
        <v>8049813.2447985942</v>
      </c>
      <c r="J27" s="18">
        <f>IF(SUM($B$26:J26)&gt;'Assumptions and Parameters'!$B$110,'Revenue Projections'!J26*(1-'Assumptions and Parameters'!$B$111),'Revenue Projections'!J26)</f>
        <v>7453422.6486641439</v>
      </c>
      <c r="K27" s="18">
        <f>IF(SUM($B$26:K26)&gt;'Assumptions and Parameters'!$B$110,'Revenue Projections'!K26*(1-'Assumptions and Parameters'!$B$111),'Revenue Projections'!K26)</f>
        <v>7668397.4874768006</v>
      </c>
      <c r="L27" s="18">
        <f>IF(SUM($B$26:L26)&gt;'Assumptions and Parameters'!$B$110,'Revenue Projections'!L26*(1-'Assumptions and Parameters'!$B$111),'Revenue Projections'!L26)</f>
        <v>7889961.8487878917</v>
      </c>
      <c r="M27" s="18">
        <f>IF(SUM($B$26:M26)&gt;'Assumptions and Parameters'!$B$110,'Revenue Projections'!M26*(1-'Assumptions and Parameters'!$B$111),'Revenue Projections'!M26)</f>
        <v>8118328.0228660833</v>
      </c>
      <c r="N27" s="18">
        <f>IF(SUM($B$26:N26)&gt;'Assumptions and Parameters'!$B$110,'Revenue Projections'!N26*(1-'Assumptions and Parameters'!$B$111),'Revenue Projections'!N26)</f>
        <v>8353715.4162392272</v>
      </c>
      <c r="O27" s="18">
        <f>IF(SUM($B$26:O26)&gt;'Assumptions and Parameters'!$B$110,'Revenue Projections'!O26*(1-'Assumptions and Parameters'!$B$111),'Revenue Projections'!O26)</f>
        <v>8596350.7981988415</v>
      </c>
      <c r="P27" s="18">
        <f>IF(SUM($B$26:P26)&gt;'Assumptions and Parameters'!$B$110,'Revenue Projections'!P26*(1-'Assumptions and Parameters'!$B$111),'Revenue Projections'!P26)</f>
        <v>8846468.5560986288</v>
      </c>
      <c r="Q27" s="18">
        <f>IF(SUM($B$26:Q26)&gt;'Assumptions and Parameters'!$B$110,'Revenue Projections'!Q26*(1-'Assumptions and Parameters'!$B$111),'Revenue Projections'!Q26)</f>
        <v>9104310.9597699232</v>
      </c>
      <c r="R27" s="18">
        <f>IF(SUM($B$26:R26)&gt;'Assumptions and Parameters'!$B$110,'Revenue Projections'!R26*(1-'Assumptions and Parameters'!$B$111),'Revenue Projections'!R26)</f>
        <v>9370128.4353893045</v>
      </c>
      <c r="S27" s="18">
        <f>IF(SUM($B$26:S26)&gt;'Assumptions and Parameters'!$B$110,'Revenue Projections'!S26*(1-'Assumptions and Parameters'!$B$111),'Revenue Projections'!S26)</f>
        <v>9644179.849146219</v>
      </c>
      <c r="T27" s="18">
        <f>IF(SUM($B$26:T26)&gt;'Assumptions and Parameters'!$B$110,'Revenue Projections'!T26*(1-'Assumptions and Parameters'!$B$111),'Revenue Projections'!T26)</f>
        <v>9926732.8010717705</v>
      </c>
      <c r="U27" s="18">
        <f>IF(SUM($B$26:U26)&gt;'Assumptions and Parameters'!$B$110,'Revenue Projections'!U26*(1-'Assumptions and Parameters'!$B$111),'Revenue Projections'!U26)</f>
        <v>10218063.929403406</v>
      </c>
      <c r="V27" s="18">
        <f>IF(SUM($B$26:V26)&gt;'Assumptions and Parameters'!$B$110,'Revenue Projections'!V26*(1-'Assumptions and Parameters'!$B$111),'Revenue Projections'!V26)</f>
        <v>10518459.225874672</v>
      </c>
      <c r="W27" s="18">
        <f>IF(SUM($B$26:W26)&gt;'Assumptions and Parameters'!$B$110,'Revenue Projections'!W26*(1-'Assumptions and Parameters'!$B$111),'Revenue Projections'!W26)</f>
        <v>10828214.362333855</v>
      </c>
      <c r="X27" s="18">
        <f>IF(SUM($B$26:X26)&gt;'Assumptions and Parameters'!$B$110,'Revenue Projections'!X26*(1-'Assumptions and Parameters'!$B$111),'Revenue Projections'!X26)</f>
        <v>11147635.029110888</v>
      </c>
      <c r="Y27" s="18">
        <f>IF(SUM($B$26:Y26)&gt;'Assumptions and Parameters'!$B$110,'Revenue Projections'!Y26*(1-'Assumptions and Parameters'!$B$111),'Revenue Projections'!Y26)</f>
        <v>11477037.285567736</v>
      </c>
      <c r="Z27" s="18">
        <f>IF(SUM($B$26:Z26)&gt;'Assumptions and Parameters'!$B$110,'Revenue Projections'!Z26*(1-'Assumptions and Parameters'!$B$111),'Revenue Projections'!Z26)</f>
        <v>11816747.923284361</v>
      </c>
      <c r="AA27" s="18">
        <f>IF(SUM($B$26:AA26)&gt;'Assumptions and Parameters'!$B$110,'Revenue Projections'!AA26*(1-'Assumptions and Parameters'!$B$111),'Revenue Projections'!AA26)</f>
        <v>12167104.842349401</v>
      </c>
      <c r="AB27" s="18">
        <f>IF(SUM($B$26:AB26)&gt;'Assumptions and Parameters'!$B$110,'Revenue Projections'!AB26*(1-'Assumptions and Parameters'!$B$111),'Revenue Projections'!AB26)</f>
        <v>12528457.441242881</v>
      </c>
      <c r="AC27" s="18">
        <f>IF(SUM($B$26:AC26)&gt;'Assumptions and Parameters'!$B$110,'Revenue Projections'!AC26*(1-'Assumptions and Parameters'!$B$111),'Revenue Projections'!AC26)</f>
        <v>12901167.020816898</v>
      </c>
      <c r="AD27" s="18">
        <f>IF(SUM($B$26:AD26)&gt;'Assumptions and Parameters'!$B$110,'Revenue Projections'!AD26*(1-'Assumptions and Parameters'!$B$111),'Revenue Projections'!AD26)</f>
        <v>13285607.202899693</v>
      </c>
      <c r="AE27" s="18">
        <f>IF(SUM($B$26:AE26)&gt;'Assumptions and Parameters'!$B$110,'Revenue Projections'!AE26*(1-'Assumptions and Parameters'!$B$111),'Revenue Projections'!AE26)</f>
        <v>13682164.364068685</v>
      </c>
      <c r="AF27" s="18">
        <f>IF(SUM($B$26:AF26)&gt;'Assumptions and Parameters'!$B$110,'Revenue Projections'!AF26*(1-'Assumptions and Parameters'!$B$111),'Revenue Projections'!AF26)</f>
        <v>14091238.085159149</v>
      </c>
      <c r="AG27" s="18">
        <f>IF(SUM($B$26:AG26)&gt;'Assumptions and Parameters'!$B$110,'Revenue Projections'!AG26*(1-'Assumptions and Parameters'!$B$111),'Revenue Projections'!AG26)</f>
        <v>14513241.617097002</v>
      </c>
      <c r="AH27" s="18">
        <f>IF(SUM($B$26:AH26)&gt;'Assumptions and Parameters'!$B$110,'Revenue Projections'!AH26*(1-'Assumptions and Parameters'!$B$111),'Revenue Projections'!AH26)</f>
        <v>14948602.363666924</v>
      </c>
      <c r="AI27" s="18">
        <f>IF(SUM($B$26:AI26)&gt;'Assumptions and Parameters'!$B$110,'Revenue Projections'!AI26*(1-'Assumptions and Parameters'!$B$111),'Revenue Projections'!AI26)</f>
        <v>15397762.381850742</v>
      </c>
      <c r="AJ27" s="18">
        <f>IF(SUM($B$26:AJ26)&gt;'Assumptions and Parameters'!$B$110,'Revenue Projections'!AJ26*(1-'Assumptions and Parameters'!$B$111),'Revenue Projections'!AJ26)</f>
        <v>15861178.900395423</v>
      </c>
    </row>
    <row r="28" spans="1:36" s="5" customFormat="1" ht="19" x14ac:dyDescent="0.25">
      <c r="A28" s="139" t="s">
        <v>188</v>
      </c>
      <c r="B28" s="8">
        <f>IF(SUM($B$26)&gt;'Assumptions and Parameters'!$B$110,('Revenue Projections'!B26*'Assumptions and Parameters'!$B$111),0)</f>
        <v>0</v>
      </c>
      <c r="C28" s="8">
        <f>IF(SUM($B$26:C26)&gt;'Assumptions and Parameters'!$B$110,('Revenue Projections'!C26*'Assumptions and Parameters'!$B$111),0)</f>
        <v>0</v>
      </c>
      <c r="D28" s="8">
        <f>IF(SUM($B$26:D26)&gt;'Assumptions and Parameters'!$B$110,('Revenue Projections'!D26*'Assumptions and Parameters'!$B$111),0)</f>
        <v>0</v>
      </c>
      <c r="E28" s="8">
        <f>IF(SUM($B$26:E26)&gt;'Assumptions and Parameters'!$B$110,('Revenue Projections'!E26*'Assumptions and Parameters'!$B$111),0)</f>
        <v>0</v>
      </c>
      <c r="F28" s="8">
        <f>IF(SUM($B$26:F26)&gt;'Assumptions and Parameters'!$B$110,('Revenue Projections'!F26*'Assumptions and Parameters'!$B$111),0)</f>
        <v>0</v>
      </c>
      <c r="G28" s="8">
        <f>IF(SUM($B$26:G26)&gt;'Assumptions and Parameters'!$B$110,('Revenue Projections'!G26*'Assumptions and Parameters'!$B$111),0)</f>
        <v>0</v>
      </c>
      <c r="H28" s="8">
        <f>IF(SUM($B$26:H26)&gt;'Assumptions and Parameters'!$B$110,('Revenue Projections'!H26*'Assumptions and Parameters'!$B$111),0)</f>
        <v>0</v>
      </c>
      <c r="I28" s="8">
        <f>IF(SUM($B$26:I26)&gt;'Assumptions and Parameters'!$B$110,('Revenue Projections'!I26*'Assumptions and Parameters'!$B$111),0)</f>
        <v>0</v>
      </c>
      <c r="J28" s="8">
        <f>IF(SUM($B$26:J26)&gt;'Assumptions and Parameters'!$B$110,('Revenue Projections'!J26*'Assumptions and Parameters'!$B$111),0)</f>
        <v>828158.07207379385</v>
      </c>
      <c r="K28" s="8">
        <f>IF(SUM($B$26:K26)&gt;'Assumptions and Parameters'!$B$110,('Revenue Projections'!K26*'Assumptions and Parameters'!$B$111),0)</f>
        <v>852044.16527520015</v>
      </c>
      <c r="L28" s="8">
        <f>IF(SUM($B$26:L26)&gt;'Assumptions and Parameters'!$B$110,('Revenue Projections'!L26*'Assumptions and Parameters'!$B$111),0)</f>
        <v>876662.4276430991</v>
      </c>
      <c r="M28" s="8">
        <f>IF(SUM($B$26:M26)&gt;'Assumptions and Parameters'!$B$110,('Revenue Projections'!M26*'Assumptions and Parameters'!$B$111),0)</f>
        <v>902036.44698512042</v>
      </c>
      <c r="N28" s="8">
        <f>IF(SUM($B$26:N26)&gt;'Assumptions and Parameters'!$B$110,('Revenue Projections'!N26*'Assumptions and Parameters'!$B$111),0)</f>
        <v>928190.60180435854</v>
      </c>
      <c r="O28" s="8">
        <f>IF(SUM($B$26:O26)&gt;'Assumptions and Parameters'!$B$110,('Revenue Projections'!O26*'Assumptions and Parameters'!$B$111),0)</f>
        <v>955150.08868876006</v>
      </c>
      <c r="P28" s="8">
        <f>IF(SUM($B$26:P26)&gt;'Assumptions and Parameters'!$B$110,('Revenue Projections'!P26*'Assumptions and Parameters'!$B$111),0)</f>
        <v>982940.95067762549</v>
      </c>
      <c r="Q28" s="8">
        <f>IF(SUM($B$26:Q26)&gt;'Assumptions and Parameters'!$B$110,('Revenue Projections'!Q26*'Assumptions and Parameters'!$B$111),0)</f>
        <v>1011590.1066411026</v>
      </c>
      <c r="R28" s="8">
        <f>IF(SUM($B$26:R26)&gt;'Assumptions and Parameters'!$B$110,('Revenue Projections'!R26*'Assumptions and Parameters'!$B$111),0)</f>
        <v>1041125.3817099227</v>
      </c>
      <c r="S28" s="8">
        <f>IF(SUM($B$26:S26)&gt;'Assumptions and Parameters'!$B$110,('Revenue Projections'!S26*'Assumptions and Parameters'!$B$111),0)</f>
        <v>1071575.5387940244</v>
      </c>
      <c r="T28" s="8">
        <f>IF(SUM($B$26:T26)&gt;'Assumptions and Parameters'!$B$110,('Revenue Projections'!T26*'Assumptions and Parameters'!$B$111),0)</f>
        <v>1102970.3112301966</v>
      </c>
      <c r="U28" s="8">
        <f>IF(SUM($B$26:U26)&gt;'Assumptions and Parameters'!$B$110,('Revenue Projections'!U26*'Assumptions and Parameters'!$B$111),0)</f>
        <v>1135340.4366003785</v>
      </c>
      <c r="V28" s="8">
        <f>IF(SUM($B$26:V26)&gt;'Assumptions and Parameters'!$B$110,('Revenue Projections'!V26*'Assumptions and Parameters'!$B$111),0)</f>
        <v>1168717.6917638525</v>
      </c>
      <c r="W28" s="8">
        <f>IF(SUM($B$26:W26)&gt;'Assumptions and Parameters'!$B$110,('Revenue Projections'!W26*'Assumptions and Parameters'!$B$111),0)</f>
        <v>1203134.9291482063</v>
      </c>
      <c r="X28" s="8">
        <f>IF(SUM($B$26:X26)&gt;'Assumptions and Parameters'!$B$110,('Revenue Projections'!X26*'Assumptions and Parameters'!$B$111),0)</f>
        <v>1238626.1143456541</v>
      </c>
      <c r="Y28" s="8">
        <f>IF(SUM($B$26:Y26)&gt;'Assumptions and Parameters'!$B$110,('Revenue Projections'!Y26*'Assumptions and Parameters'!$B$111),0)</f>
        <v>1275226.365063082</v>
      </c>
      <c r="Z28" s="8">
        <f>IF(SUM($B$26:Z26)&gt;'Assumptions and Parameters'!$B$110,('Revenue Projections'!Z26*'Assumptions and Parameters'!$B$111),0)</f>
        <v>1312971.9914760403</v>
      </c>
      <c r="AA28" s="8">
        <f>IF(SUM($B$26:AA26)&gt;'Assumptions and Parameters'!$B$110,('Revenue Projections'!AA26*'Assumptions and Parameters'!$B$111),0)</f>
        <v>1351900.5380388224</v>
      </c>
      <c r="AB28" s="8">
        <f>IF(SUM($B$26:AB26)&gt;'Assumptions and Parameters'!$B$110,('Revenue Projections'!AB26*'Assumptions and Parameters'!$B$111),0)</f>
        <v>1392050.8268047646</v>
      </c>
      <c r="AC28" s="8">
        <f>IF(SUM($B$26:AC26)&gt;'Assumptions and Parameters'!$B$110,('Revenue Projections'!AC26*'Assumptions and Parameters'!$B$111),0)</f>
        <v>1433463.0023129887</v>
      </c>
      <c r="AD28" s="8">
        <f>IF(SUM($B$26:AD26)&gt;'Assumptions and Parameters'!$B$110,('Revenue Projections'!AD26*'Assumptions and Parameters'!$B$111),0)</f>
        <v>1476178.578099966</v>
      </c>
      <c r="AE28" s="8">
        <f>IF(SUM($B$26:AE26)&gt;'Assumptions and Parameters'!$B$110,('Revenue Projections'!AE26*'Assumptions and Parameters'!$B$111),0)</f>
        <v>1520240.4848965206</v>
      </c>
      <c r="AF28" s="8">
        <f>IF(SUM($B$26:AF26)&gt;'Assumptions and Parameters'!$B$110,('Revenue Projections'!AF26*'Assumptions and Parameters'!$B$111),0)</f>
        <v>1565693.1205732389</v>
      </c>
      <c r="AG28" s="8">
        <f>IF(SUM($B$26:AG26)&gt;'Assumptions and Parameters'!$B$110,('Revenue Projections'!AG26*'Assumptions and Parameters'!$B$111),0)</f>
        <v>1612582.4018996668</v>
      </c>
      <c r="AH28" s="8">
        <f>IF(SUM($B$26:AH26)&gt;'Assumptions and Parameters'!$B$110,('Revenue Projections'!AH26*'Assumptions and Parameters'!$B$111),0)</f>
        <v>1660955.818185214</v>
      </c>
      <c r="AI28" s="8">
        <f>IF(SUM($B$26:AI26)&gt;'Assumptions and Parameters'!$B$110,('Revenue Projections'!AI26*'Assumptions and Parameters'!$B$111),0)</f>
        <v>1710862.4868723047</v>
      </c>
      <c r="AJ28" s="8">
        <f>IF(SUM($B$26:AJ26)&gt;'Assumptions and Parameters'!$B$110,('Revenue Projections'!AJ26*'Assumptions and Parameters'!$B$111),0)</f>
        <v>1762353.2111550469</v>
      </c>
    </row>
    <row r="29" spans="1:36" s="5" customFormat="1" ht="19" x14ac:dyDescent="0.25">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spans="1:36" s="122" customFormat="1" ht="19" x14ac:dyDescent="0.25">
      <c r="A30" s="122" t="s">
        <v>187</v>
      </c>
      <c r="B30" s="18">
        <f>B24+B28</f>
        <v>860100</v>
      </c>
      <c r="C30" s="18">
        <f t="shared" ref="C30:AJ30" si="2">C24+C28</f>
        <v>1720200</v>
      </c>
      <c r="D30" s="18">
        <f t="shared" si="2"/>
        <v>1720200</v>
      </c>
      <c r="E30" s="18">
        <f t="shared" si="2"/>
        <v>1720200</v>
      </c>
      <c r="F30" s="18">
        <f t="shared" si="2"/>
        <v>1720200</v>
      </c>
      <c r="G30" s="18">
        <f t="shared" si="2"/>
        <v>1720200</v>
      </c>
      <c r="H30" s="18">
        <f t="shared" si="2"/>
        <v>1720200</v>
      </c>
      <c r="I30" s="18">
        <f t="shared" si="2"/>
        <v>1720200</v>
      </c>
      <c r="J30" s="18">
        <f t="shared" si="2"/>
        <v>2548358.072073794</v>
      </c>
      <c r="K30" s="18">
        <f t="shared" si="2"/>
        <v>2572244.1652752003</v>
      </c>
      <c r="L30" s="18">
        <f t="shared" si="2"/>
        <v>2596862.4276430989</v>
      </c>
      <c r="M30" s="18">
        <f t="shared" si="2"/>
        <v>2622236.4469851204</v>
      </c>
      <c r="N30" s="18">
        <f t="shared" si="2"/>
        <v>2648390.6018043584</v>
      </c>
      <c r="O30" s="18">
        <f t="shared" si="2"/>
        <v>2675350.0886887601</v>
      </c>
      <c r="P30" s="18">
        <f t="shared" si="2"/>
        <v>2703140.9506776254</v>
      </c>
      <c r="Q30" s="18">
        <f t="shared" si="2"/>
        <v>2731790.1066411026</v>
      </c>
      <c r="R30" s="18">
        <f t="shared" si="2"/>
        <v>2761325.3817099226</v>
      </c>
      <c r="S30" s="18">
        <f t="shared" si="2"/>
        <v>2791775.5387940244</v>
      </c>
      <c r="T30" s="18">
        <f t="shared" si="2"/>
        <v>2823170.3112301966</v>
      </c>
      <c r="U30" s="18">
        <f t="shared" si="2"/>
        <v>2855540.4366003787</v>
      </c>
      <c r="V30" s="18">
        <f t="shared" si="2"/>
        <v>2888917.6917638527</v>
      </c>
      <c r="W30" s="18">
        <f t="shared" si="2"/>
        <v>2923334.9291482065</v>
      </c>
      <c r="X30" s="18">
        <f t="shared" si="2"/>
        <v>2958826.1143456539</v>
      </c>
      <c r="Y30" s="18">
        <f t="shared" si="2"/>
        <v>2995426.365063082</v>
      </c>
      <c r="Z30" s="18">
        <f t="shared" si="2"/>
        <v>3033171.9914760403</v>
      </c>
      <c r="AA30" s="18">
        <f t="shared" si="2"/>
        <v>3072100.5380388224</v>
      </c>
      <c r="AB30" s="18">
        <f t="shared" si="2"/>
        <v>3112250.8268047646</v>
      </c>
      <c r="AC30" s="18">
        <f t="shared" si="2"/>
        <v>3153663.002312989</v>
      </c>
      <c r="AD30" s="18">
        <f t="shared" si="2"/>
        <v>3196378.578099966</v>
      </c>
      <c r="AE30" s="18">
        <f t="shared" si="2"/>
        <v>3240440.4848965206</v>
      </c>
      <c r="AF30" s="18">
        <f t="shared" si="2"/>
        <v>3285893.1205732389</v>
      </c>
      <c r="AG30" s="18">
        <f t="shared" si="2"/>
        <v>3332782.4018996665</v>
      </c>
      <c r="AH30" s="18">
        <f t="shared" si="2"/>
        <v>3381155.818185214</v>
      </c>
      <c r="AI30" s="18">
        <f t="shared" si="2"/>
        <v>3431062.4868723047</v>
      </c>
      <c r="AJ30" s="18">
        <f t="shared" si="2"/>
        <v>3482553.2111550467</v>
      </c>
    </row>
    <row r="31" spans="1:36" s="5" customFormat="1" ht="19" x14ac:dyDescent="0.25">
      <c r="A31" s="118"/>
      <c r="B31" s="8"/>
      <c r="C31" s="8"/>
      <c r="D31" s="8"/>
      <c r="E31" s="8"/>
      <c r="F31" s="8"/>
      <c r="G31" s="8"/>
      <c r="K31" s="8"/>
    </row>
    <row r="32" spans="1:36" s="5" customFormat="1" ht="20" thickBot="1" x14ac:dyDescent="0.3">
      <c r="A32" s="118"/>
      <c r="B32" s="8"/>
      <c r="C32" s="8"/>
      <c r="D32" s="8"/>
      <c r="E32" s="8"/>
      <c r="F32" s="8"/>
      <c r="G32" s="8"/>
      <c r="K32" s="8"/>
    </row>
    <row r="33" spans="1:11" ht="40" customHeight="1" thickBot="1" x14ac:dyDescent="0.3">
      <c r="A33" s="143" t="s">
        <v>189</v>
      </c>
      <c r="B33" s="123">
        <f>NPV('Assumptions and Parameters'!$B$106,B23:AJ23)</f>
        <v>20092601.764892485</v>
      </c>
    </row>
    <row r="34" spans="1:11" s="5" customFormat="1" ht="20" thickBot="1" x14ac:dyDescent="0.3">
      <c r="A34" s="118"/>
      <c r="B34" s="8"/>
      <c r="C34" s="8"/>
      <c r="D34" s="8"/>
      <c r="E34" s="8"/>
      <c r="F34" s="8"/>
      <c r="G34" s="8"/>
      <c r="K34" s="8"/>
    </row>
    <row r="35" spans="1:11" ht="39" thickBot="1" x14ac:dyDescent="0.3">
      <c r="A35" s="130" t="s">
        <v>212</v>
      </c>
      <c r="B35" s="131">
        <f>NPV('Assumptions and Parameters'!$B$106,B27:AJ27)</f>
        <v>184503429.65675971</v>
      </c>
    </row>
    <row r="36" spans="1:11" s="5" customFormat="1" ht="20" thickBot="1" x14ac:dyDescent="0.3">
      <c r="A36" s="118"/>
      <c r="B36" s="8"/>
      <c r="C36" s="8"/>
      <c r="D36" s="8"/>
      <c r="E36" s="8"/>
      <c r="F36" s="8"/>
      <c r="G36" s="8"/>
      <c r="K36" s="8"/>
    </row>
    <row r="37" spans="1:11" ht="39" thickBot="1" x14ac:dyDescent="0.3">
      <c r="A37" s="142" t="s">
        <v>213</v>
      </c>
      <c r="B37" s="119">
        <f>NPV('Assumptions and Parameters'!$B$106,B30:AJ30)</f>
        <v>53105998.566242352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showGridLines="0" workbookViewId="0">
      <selection activeCell="E18" sqref="E18"/>
    </sheetView>
  </sheetViews>
  <sheetFormatPr baseColWidth="10" defaultRowHeight="16" x14ac:dyDescent="0.2"/>
  <cols>
    <col min="1" max="1" width="54.83203125" customWidth="1"/>
    <col min="2" max="2" width="13.5" customWidth="1"/>
    <col min="3" max="3" width="15.1640625" customWidth="1"/>
    <col min="4" max="4" width="15.5" customWidth="1"/>
  </cols>
  <sheetData>
    <row r="3" spans="1:4" ht="32" x14ac:dyDescent="0.2">
      <c r="A3" s="156" t="s">
        <v>199</v>
      </c>
      <c r="B3" s="157" t="s">
        <v>195</v>
      </c>
      <c r="C3" s="157" t="s">
        <v>200</v>
      </c>
      <c r="D3" s="157" t="s">
        <v>201</v>
      </c>
    </row>
    <row r="4" spans="1:4" x14ac:dyDescent="0.2">
      <c r="A4" t="s">
        <v>202</v>
      </c>
      <c r="B4" s="147">
        <v>16.95</v>
      </c>
      <c r="C4" s="148">
        <v>12</v>
      </c>
      <c r="D4" s="147">
        <v>21.75</v>
      </c>
    </row>
    <row r="5" spans="1:4" x14ac:dyDescent="0.2">
      <c r="A5" t="s">
        <v>203</v>
      </c>
      <c r="B5" s="148">
        <v>22</v>
      </c>
      <c r="C5" s="148">
        <v>18</v>
      </c>
      <c r="D5" s="147">
        <v>22</v>
      </c>
    </row>
    <row r="6" spans="1:4" x14ac:dyDescent="0.2">
      <c r="A6" t="s">
        <v>204</v>
      </c>
      <c r="B6" s="148">
        <v>65</v>
      </c>
      <c r="C6" s="148">
        <v>45</v>
      </c>
      <c r="D6" s="149">
        <v>85</v>
      </c>
    </row>
    <row r="7" spans="1:4" x14ac:dyDescent="0.2">
      <c r="A7" t="s">
        <v>205</v>
      </c>
      <c r="B7" s="148">
        <v>63</v>
      </c>
      <c r="C7" s="148">
        <v>50</v>
      </c>
      <c r="D7" s="148">
        <v>95</v>
      </c>
    </row>
    <row r="8" spans="1:4" x14ac:dyDescent="0.2">
      <c r="A8" t="s">
        <v>206</v>
      </c>
      <c r="B8" s="150">
        <v>0.93500000000000005</v>
      </c>
      <c r="C8" s="151">
        <v>0.8</v>
      </c>
      <c r="D8" s="152">
        <v>0.98</v>
      </c>
    </row>
    <row r="9" spans="1:4" x14ac:dyDescent="0.2">
      <c r="A9" t="s">
        <v>207</v>
      </c>
      <c r="B9" s="151">
        <v>0.9</v>
      </c>
      <c r="C9" s="151">
        <v>0.8</v>
      </c>
      <c r="D9" s="152">
        <v>0.98</v>
      </c>
    </row>
    <row r="10" spans="1:4" x14ac:dyDescent="0.2">
      <c r="A10" t="s">
        <v>208</v>
      </c>
      <c r="B10" s="151">
        <v>0.85</v>
      </c>
      <c r="C10" s="151">
        <v>0.8</v>
      </c>
      <c r="D10" s="152">
        <v>0.98</v>
      </c>
    </row>
    <row r="11" spans="1:4" x14ac:dyDescent="0.2">
      <c r="A11" t="s">
        <v>209</v>
      </c>
      <c r="B11" s="151">
        <v>0.93</v>
      </c>
      <c r="C11" s="151">
        <v>0.8</v>
      </c>
      <c r="D11" s="152">
        <v>0.98</v>
      </c>
    </row>
    <row r="12" spans="1:4" ht="32" x14ac:dyDescent="0.2">
      <c r="A12" s="153" t="s">
        <v>210</v>
      </c>
      <c r="B12" s="145" t="s">
        <v>220</v>
      </c>
      <c r="C12" s="145" t="s">
        <v>221</v>
      </c>
      <c r="D12" s="145" t="s">
        <v>222</v>
      </c>
    </row>
    <row r="13" spans="1:4" ht="32" x14ac:dyDescent="0.2">
      <c r="A13" s="154" t="s">
        <v>211</v>
      </c>
      <c r="B13" s="155" t="s">
        <v>223</v>
      </c>
      <c r="C13" s="155" t="s">
        <v>224</v>
      </c>
      <c r="D13" s="155" t="s">
        <v>225</v>
      </c>
    </row>
    <row r="14" spans="1:4" x14ac:dyDescent="0.2">
      <c r="D14" s="1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5" sqref="D5"/>
    </sheetView>
  </sheetViews>
  <sheetFormatPr baseColWidth="10" defaultRowHeight="16" x14ac:dyDescent="0.2"/>
  <cols>
    <col min="1" max="1" width="20.83203125" customWidth="1"/>
    <col min="3" max="3" width="16" bestFit="1" customWidth="1"/>
    <col min="4" max="4" width="23.83203125" customWidth="1"/>
    <col min="5" max="5" width="25" customWidth="1"/>
  </cols>
  <sheetData>
    <row r="1" spans="1:5" x14ac:dyDescent="0.2">
      <c r="A1" s="144" t="s">
        <v>192</v>
      </c>
      <c r="B1" s="144" t="s">
        <v>193</v>
      </c>
      <c r="C1" s="144" t="s">
        <v>214</v>
      </c>
      <c r="D1" s="144" t="s">
        <v>215</v>
      </c>
      <c r="E1" s="144" t="s">
        <v>216</v>
      </c>
    </row>
    <row r="2" spans="1:5" x14ac:dyDescent="0.2">
      <c r="A2" t="s">
        <v>217</v>
      </c>
      <c r="B2" t="s">
        <v>132</v>
      </c>
      <c r="C2" s="9">
        <v>205498681.03882965</v>
      </c>
      <c r="D2" s="9">
        <v>0</v>
      </c>
      <c r="E2" s="9">
        <v>102570226.64399885</v>
      </c>
    </row>
    <row r="3" spans="1:5" x14ac:dyDescent="0.2">
      <c r="A3" t="s">
        <v>218</v>
      </c>
      <c r="B3" t="s">
        <v>132</v>
      </c>
      <c r="C3" s="9">
        <v>109172539.51008964</v>
      </c>
      <c r="D3" s="9">
        <v>0</v>
      </c>
      <c r="E3" s="9">
        <v>66958416.016552135</v>
      </c>
    </row>
    <row r="4" spans="1:5" x14ac:dyDescent="0.2">
      <c r="A4" t="s">
        <v>219</v>
      </c>
      <c r="B4" t="s">
        <v>132</v>
      </c>
      <c r="C4" s="9">
        <v>266720137.07736945</v>
      </c>
      <c r="D4" s="9">
        <v>0</v>
      </c>
      <c r="E4" s="9">
        <v>111925394.64860162</v>
      </c>
    </row>
    <row r="5" spans="1:5" x14ac:dyDescent="0.2">
      <c r="A5" t="s">
        <v>217</v>
      </c>
      <c r="B5" t="s">
        <v>194</v>
      </c>
      <c r="C5" s="9">
        <v>20092601.764892485</v>
      </c>
      <c r="D5" s="9">
        <v>167524698.51649508</v>
      </c>
      <c r="E5" s="9">
        <v>33957462.280529253</v>
      </c>
    </row>
    <row r="6" spans="1:5" x14ac:dyDescent="0.2">
      <c r="A6" t="s">
        <v>219</v>
      </c>
      <c r="B6" t="s">
        <v>194</v>
      </c>
      <c r="C6" s="9">
        <v>26750662.417006578</v>
      </c>
      <c r="D6" s="9">
        <v>222806895.11568329</v>
      </c>
      <c r="E6" s="9">
        <v>47367808.029074341</v>
      </c>
    </row>
    <row r="7" spans="1:5" x14ac:dyDescent="0.2">
      <c r="A7" t="s">
        <v>218</v>
      </c>
      <c r="B7" t="s">
        <v>194</v>
      </c>
      <c r="C7" s="9">
        <v>15446707.552490341</v>
      </c>
      <c r="D7" s="9">
        <v>128533130.01004159</v>
      </c>
      <c r="E7" s="9">
        <v>24889203.517983135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Assumptions and Parameters</vt:lpstr>
      <vt:lpstr>Revenue Projections</vt:lpstr>
      <vt:lpstr>Scenario Assumptions</vt:lpstr>
      <vt:lpstr>Scenario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2017-05-16T03:54:21Z</dcterms:created>
  <dcterms:modified xsi:type="dcterms:W3CDTF">2017-06-27T20:25:38Z</dcterms:modified>
</cp:coreProperties>
</file>