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874" documentId="13_ncr:1_{A3314D5B-D320-4600-9086-694566FFD66D}" xr6:coauthVersionLast="45" xr6:coauthVersionMax="45" xr10:uidLastSave="{FAA0993B-3368-4382-907F-3E04AC162DE6}"/>
  <bookViews>
    <workbookView xWindow="-108" yWindow="-108" windowWidth="23256" windowHeight="12720" activeTab="3" xr2:uid="{00000000-000D-0000-FFFF-FFFF00000000}"/>
  </bookViews>
  <sheets>
    <sheet name="描述统计" sheetId="1" r:id="rId1"/>
    <sheet name="实证1" sheetId="7" r:id="rId2"/>
    <sheet name="实证2" sheetId="8" r:id="rId3"/>
    <sheet name="Sheet3" sheetId="9" r:id="rId4"/>
    <sheet name="1.因变量" sheetId="2" r:id="rId5"/>
    <sheet name="2.自变量" sheetId="3" r:id="rId6"/>
    <sheet name="3.控制变量" sheetId="4" r:id="rId7"/>
    <sheet name="4.交互联合" sheetId="5" r:id="rId8"/>
    <sheet name="5.论文呈现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4" i="9" l="1"/>
  <c r="K64" i="9"/>
  <c r="J64" i="9"/>
  <c r="I64" i="9"/>
  <c r="H64" i="9"/>
  <c r="G64" i="9"/>
  <c r="F64" i="9"/>
  <c r="L63" i="9"/>
  <c r="K63" i="9"/>
  <c r="J63" i="9"/>
  <c r="I63" i="9"/>
  <c r="H63" i="9"/>
  <c r="G63" i="9"/>
  <c r="F63" i="9"/>
  <c r="L62" i="9"/>
  <c r="K62" i="9"/>
  <c r="J62" i="9"/>
  <c r="I62" i="9"/>
  <c r="H62" i="9"/>
  <c r="G62" i="9"/>
  <c r="F62" i="9"/>
  <c r="L61" i="9"/>
  <c r="K61" i="9"/>
  <c r="J61" i="9"/>
  <c r="I61" i="9"/>
  <c r="H61" i="9"/>
  <c r="G61" i="9"/>
  <c r="F61" i="9"/>
  <c r="L60" i="9"/>
  <c r="K60" i="9"/>
  <c r="J60" i="9"/>
  <c r="I60" i="9"/>
  <c r="H60" i="9"/>
  <c r="G60" i="9"/>
  <c r="F60" i="9"/>
  <c r="L59" i="9"/>
  <c r="K59" i="9"/>
  <c r="J59" i="9"/>
  <c r="I59" i="9"/>
  <c r="H59" i="9"/>
  <c r="G59" i="9"/>
  <c r="F59" i="9"/>
  <c r="L58" i="9"/>
  <c r="K58" i="9"/>
  <c r="J58" i="9"/>
  <c r="I58" i="9"/>
  <c r="H58" i="9"/>
  <c r="G58" i="9"/>
  <c r="F58" i="9"/>
  <c r="L57" i="9"/>
  <c r="K57" i="9"/>
  <c r="J57" i="9"/>
  <c r="I57" i="9"/>
  <c r="H57" i="9"/>
  <c r="G57" i="9"/>
  <c r="F57" i="9"/>
  <c r="L56" i="9"/>
  <c r="K56" i="9"/>
  <c r="J56" i="9"/>
  <c r="I56" i="9"/>
  <c r="H56" i="9"/>
  <c r="G56" i="9"/>
  <c r="F56" i="9"/>
  <c r="L55" i="9"/>
  <c r="K55" i="9"/>
  <c r="J55" i="9"/>
  <c r="I55" i="9"/>
  <c r="H55" i="9"/>
  <c r="G55" i="9"/>
  <c r="F55" i="9"/>
  <c r="L54" i="9"/>
  <c r="K54" i="9"/>
  <c r="J54" i="9"/>
  <c r="I54" i="9"/>
  <c r="H54" i="9"/>
  <c r="G54" i="9"/>
  <c r="F54" i="9"/>
  <c r="L53" i="9"/>
  <c r="K53" i="9"/>
  <c r="J53" i="9"/>
  <c r="I53" i="9"/>
  <c r="H53" i="9"/>
  <c r="G53" i="9"/>
  <c r="F53" i="9"/>
  <c r="L52" i="9"/>
  <c r="K52" i="9"/>
  <c r="J52" i="9"/>
  <c r="I52" i="9"/>
  <c r="H52" i="9"/>
  <c r="G52" i="9"/>
  <c r="F52" i="9"/>
  <c r="L51" i="9"/>
  <c r="K51" i="9"/>
  <c r="J51" i="9"/>
  <c r="I51" i="9"/>
  <c r="H51" i="9"/>
  <c r="G51" i="9"/>
  <c r="F51" i="9"/>
  <c r="L50" i="9"/>
  <c r="K50" i="9"/>
  <c r="J50" i="9"/>
  <c r="I50" i="9"/>
  <c r="H50" i="9"/>
  <c r="G50" i="9"/>
  <c r="F50" i="9"/>
  <c r="L49" i="9"/>
  <c r="K49" i="9"/>
  <c r="J49" i="9"/>
  <c r="I49" i="9"/>
  <c r="H49" i="9"/>
  <c r="G49" i="9"/>
  <c r="F49" i="9"/>
  <c r="L48" i="9"/>
  <c r="K48" i="9"/>
  <c r="J48" i="9"/>
  <c r="I48" i="9"/>
  <c r="H48" i="9"/>
  <c r="G48" i="9"/>
  <c r="F48" i="9"/>
  <c r="L47" i="9"/>
  <c r="K47" i="9"/>
  <c r="J47" i="9"/>
  <c r="I47" i="9"/>
  <c r="H47" i="9"/>
  <c r="G47" i="9"/>
  <c r="F47" i="9"/>
  <c r="L46" i="9"/>
  <c r="K46" i="9"/>
  <c r="J46" i="9"/>
  <c r="I46" i="9"/>
  <c r="H46" i="9"/>
  <c r="G46" i="9"/>
  <c r="F46" i="9"/>
  <c r="L45" i="9"/>
  <c r="K45" i="9"/>
  <c r="J45" i="9"/>
  <c r="I45" i="9"/>
  <c r="H45" i="9"/>
  <c r="G45" i="9"/>
  <c r="F45" i="9"/>
  <c r="L44" i="9"/>
  <c r="K44" i="9"/>
  <c r="J44" i="9"/>
  <c r="I44" i="9"/>
  <c r="H44" i="9"/>
  <c r="G44" i="9"/>
  <c r="F44" i="9"/>
  <c r="L43" i="9"/>
  <c r="K43" i="9"/>
  <c r="J43" i="9"/>
  <c r="I43" i="9"/>
  <c r="H43" i="9"/>
  <c r="G43" i="9"/>
  <c r="F43" i="9"/>
  <c r="L42" i="9"/>
  <c r="K42" i="9"/>
  <c r="J42" i="9"/>
  <c r="I42" i="9"/>
  <c r="H42" i="9"/>
  <c r="G42" i="9"/>
  <c r="F42" i="9"/>
  <c r="L41" i="9"/>
  <c r="K41" i="9"/>
  <c r="J41" i="9"/>
  <c r="I41" i="9"/>
  <c r="H41" i="9"/>
  <c r="G41" i="9"/>
  <c r="F41" i="9"/>
  <c r="L40" i="9"/>
  <c r="K40" i="9"/>
  <c r="J40" i="9"/>
  <c r="I40" i="9"/>
  <c r="H40" i="9"/>
  <c r="G40" i="9"/>
  <c r="F40" i="9"/>
  <c r="L39" i="9"/>
  <c r="K39" i="9"/>
  <c r="J39" i="9"/>
  <c r="I39" i="9"/>
  <c r="H39" i="9"/>
  <c r="G39" i="9"/>
  <c r="F39" i="9"/>
  <c r="L38" i="9"/>
  <c r="K38" i="9"/>
  <c r="J38" i="9"/>
  <c r="I38" i="9"/>
  <c r="H38" i="9"/>
  <c r="G38" i="9"/>
  <c r="F38" i="9"/>
  <c r="L37" i="9"/>
  <c r="K37" i="9"/>
  <c r="J37" i="9"/>
  <c r="I37" i="9"/>
  <c r="H37" i="9"/>
  <c r="G37" i="9"/>
  <c r="F37" i="9"/>
  <c r="L36" i="9"/>
  <c r="K36" i="9"/>
  <c r="J36" i="9"/>
  <c r="I36" i="9"/>
  <c r="H36" i="9"/>
  <c r="G36" i="9"/>
  <c r="F36" i="9"/>
  <c r="L35" i="9"/>
  <c r="K35" i="9"/>
  <c r="J35" i="9"/>
  <c r="I35" i="9"/>
  <c r="H35" i="9"/>
  <c r="G35" i="9"/>
  <c r="F35" i="9"/>
  <c r="V24" i="9" l="1"/>
  <c r="Q30" i="9"/>
  <c r="O30" i="9"/>
  <c r="M30" i="9"/>
  <c r="K30" i="9"/>
  <c r="I30" i="9"/>
  <c r="G30" i="9"/>
  <c r="F30" i="9"/>
  <c r="Q9" i="9"/>
  <c r="O9" i="9"/>
  <c r="M9" i="9"/>
  <c r="K9" i="9"/>
  <c r="I9" i="9"/>
  <c r="U31" i="9"/>
  <c r="T31" i="9"/>
  <c r="Q28" i="9"/>
  <c r="O28" i="9"/>
  <c r="M28" i="9"/>
  <c r="K28" i="9"/>
  <c r="I28" i="9"/>
  <c r="G28" i="9"/>
  <c r="T30" i="9"/>
  <c r="Q27" i="9"/>
  <c r="O27" i="9"/>
  <c r="M27" i="9"/>
  <c r="K27" i="9"/>
  <c r="I27" i="9"/>
  <c r="G27" i="9"/>
  <c r="T29" i="9"/>
  <c r="Q26" i="9"/>
  <c r="O26" i="9"/>
  <c r="M26" i="9"/>
  <c r="K26" i="9"/>
  <c r="I26" i="9"/>
  <c r="G26" i="9"/>
  <c r="T28" i="9"/>
  <c r="Z27" i="9"/>
  <c r="Y27" i="9"/>
  <c r="X27" i="9"/>
  <c r="W27" i="9"/>
  <c r="V27" i="9"/>
  <c r="U27" i="9"/>
  <c r="T27" i="9"/>
  <c r="Q23" i="9"/>
  <c r="O23" i="9"/>
  <c r="M23" i="9"/>
  <c r="K23" i="9"/>
  <c r="I23" i="9"/>
  <c r="G23" i="9"/>
  <c r="T26" i="9"/>
  <c r="Q22" i="9"/>
  <c r="O22" i="9"/>
  <c r="M22" i="9"/>
  <c r="K22" i="9"/>
  <c r="I22" i="9"/>
  <c r="G22" i="9"/>
  <c r="T25" i="9"/>
  <c r="Z24" i="9"/>
  <c r="Y24" i="9"/>
  <c r="X24" i="9"/>
  <c r="W24" i="9"/>
  <c r="U24" i="9"/>
  <c r="T24" i="9"/>
  <c r="Q20" i="9"/>
  <c r="O20" i="9"/>
  <c r="M20" i="9"/>
  <c r="K20" i="9"/>
  <c r="I20" i="9"/>
  <c r="G20" i="9"/>
  <c r="T23" i="9"/>
  <c r="Q19" i="9"/>
  <c r="O19" i="9"/>
  <c r="M19" i="9"/>
  <c r="K19" i="9"/>
  <c r="I19" i="9"/>
  <c r="G19" i="9"/>
  <c r="T22" i="9"/>
  <c r="Z21" i="9"/>
  <c r="Y21" i="9"/>
  <c r="X21" i="9"/>
  <c r="W21" i="9"/>
  <c r="V21" i="9"/>
  <c r="U21" i="9"/>
  <c r="T21" i="9"/>
  <c r="T20" i="9"/>
  <c r="T19" i="9"/>
  <c r="T18" i="9"/>
  <c r="T17" i="9"/>
  <c r="T16" i="9"/>
  <c r="T15" i="9"/>
  <c r="Z14" i="9"/>
  <c r="Y14" i="9"/>
  <c r="X14" i="9"/>
  <c r="W14" i="9"/>
  <c r="V14" i="9"/>
  <c r="U14" i="9"/>
  <c r="T14" i="9"/>
  <c r="Q17" i="9"/>
  <c r="O17" i="9"/>
  <c r="M17" i="9"/>
  <c r="K17" i="9"/>
  <c r="I17" i="9"/>
  <c r="G17" i="9"/>
  <c r="T13" i="9"/>
  <c r="Q16" i="9"/>
  <c r="O16" i="9"/>
  <c r="M16" i="9"/>
  <c r="K16" i="9"/>
  <c r="I16" i="9"/>
  <c r="G16" i="9"/>
  <c r="T12" i="9"/>
  <c r="Z11" i="9"/>
  <c r="Y11" i="9"/>
  <c r="X11" i="9"/>
  <c r="W11" i="9"/>
  <c r="V11" i="9"/>
  <c r="U11" i="9"/>
  <c r="T11" i="9"/>
  <c r="Q14" i="9"/>
  <c r="O14" i="9"/>
  <c r="M14" i="9"/>
  <c r="K14" i="9"/>
  <c r="I14" i="9"/>
  <c r="G14" i="9"/>
  <c r="T10" i="9"/>
  <c r="Z9" i="9"/>
  <c r="Y9" i="9"/>
  <c r="X9" i="9"/>
  <c r="W9" i="9"/>
  <c r="V9" i="9"/>
  <c r="U9" i="9"/>
  <c r="T9" i="9"/>
  <c r="Q12" i="9"/>
  <c r="O12" i="9"/>
  <c r="M12" i="9"/>
  <c r="K12" i="9"/>
  <c r="I12" i="9"/>
  <c r="G12" i="9"/>
  <c r="T8" i="9"/>
  <c r="Z7" i="9"/>
  <c r="Y7" i="9"/>
  <c r="X7" i="9"/>
  <c r="W7" i="9"/>
  <c r="V7" i="9"/>
  <c r="U7" i="9"/>
  <c r="T7" i="9"/>
  <c r="Q29" i="9"/>
  <c r="O29" i="9"/>
  <c r="M29" i="9"/>
  <c r="K29" i="9"/>
  <c r="I29" i="9"/>
  <c r="G29" i="9"/>
  <c r="T6" i="9"/>
  <c r="Z5" i="9"/>
  <c r="O8" i="9"/>
  <c r="M8" i="9"/>
  <c r="K8" i="9"/>
  <c r="V5" i="9"/>
  <c r="G8" i="9"/>
  <c r="T5" i="9"/>
  <c r="Z4" i="9"/>
  <c r="Y4" i="9"/>
  <c r="X4" i="9"/>
  <c r="W4" i="9"/>
  <c r="V4" i="9"/>
  <c r="U4" i="9"/>
  <c r="T4" i="9"/>
  <c r="Z3" i="9"/>
  <c r="Y3" i="9"/>
  <c r="X3" i="9"/>
  <c r="W3" i="9"/>
  <c r="V3" i="9"/>
  <c r="U3" i="9"/>
  <c r="T3" i="9"/>
</calcChain>
</file>

<file path=xl/sharedStrings.xml><?xml version="1.0" encoding="utf-8"?>
<sst xmlns="http://schemas.openxmlformats.org/spreadsheetml/2006/main" count="432" uniqueCount="272">
  <si>
    <t>全样本</t>
    <phoneticPr fontId="1" type="noConversion"/>
  </si>
  <si>
    <t>比重</t>
    <phoneticPr fontId="1" type="noConversion"/>
  </si>
  <si>
    <t>个人特征</t>
    <phoneticPr fontId="1" type="noConversion"/>
  </si>
  <si>
    <t xml:space="preserve">    &lt;=15000</t>
    <phoneticPr fontId="1" type="noConversion"/>
  </si>
  <si>
    <t xml:space="preserve">    15001-30000</t>
    <phoneticPr fontId="1" type="noConversion"/>
  </si>
  <si>
    <t xml:space="preserve">    30001-45000</t>
    <phoneticPr fontId="1" type="noConversion"/>
  </si>
  <si>
    <t xml:space="preserve">    45001-60000</t>
    <phoneticPr fontId="1" type="noConversion"/>
  </si>
  <si>
    <t xml:space="preserve">    60001-75000</t>
    <phoneticPr fontId="1" type="noConversion"/>
  </si>
  <si>
    <t xml:space="preserve">    75001-90000</t>
    <phoneticPr fontId="1" type="noConversion"/>
  </si>
  <si>
    <t xml:space="preserve">    &gt;90000</t>
    <phoneticPr fontId="1" type="noConversion"/>
  </si>
  <si>
    <r>
      <t xml:space="preserve">    1</t>
    </r>
    <r>
      <rPr>
        <sz val="12"/>
        <color theme="1"/>
        <rFont val="宋体"/>
        <family val="1"/>
        <charset val="134"/>
      </rPr>
      <t>个</t>
    </r>
    <phoneticPr fontId="1" type="noConversion"/>
  </si>
  <si>
    <r>
      <t xml:space="preserve">    2</t>
    </r>
    <r>
      <rPr>
        <sz val="12"/>
        <color theme="1"/>
        <rFont val="宋体"/>
        <family val="1"/>
        <charset val="134"/>
      </rPr>
      <t>个</t>
    </r>
    <phoneticPr fontId="1" type="noConversion"/>
  </si>
  <si>
    <r>
      <t xml:space="preserve">    3</t>
    </r>
    <r>
      <rPr>
        <sz val="12"/>
        <color theme="1"/>
        <rFont val="宋体"/>
        <family val="3"/>
        <charset val="134"/>
      </rPr>
      <t>个</t>
    </r>
    <phoneticPr fontId="1" type="noConversion"/>
  </si>
  <si>
    <r>
      <t xml:space="preserve">    4</t>
    </r>
    <r>
      <rPr>
        <sz val="12"/>
        <color theme="1"/>
        <rFont val="宋体"/>
        <family val="3"/>
        <charset val="134"/>
      </rPr>
      <t>个</t>
    </r>
    <phoneticPr fontId="1" type="noConversion"/>
  </si>
  <si>
    <r>
      <t xml:space="preserve">    5</t>
    </r>
    <r>
      <rPr>
        <sz val="12"/>
        <color theme="1"/>
        <rFont val="宋体"/>
        <family val="3"/>
        <charset val="134"/>
      </rPr>
      <t>个</t>
    </r>
    <r>
      <rPr>
        <sz val="12"/>
        <color theme="1"/>
        <rFont val="宋体"/>
        <family val="1"/>
        <charset val="134"/>
      </rPr>
      <t>及以上</t>
    </r>
    <phoneticPr fontId="1" type="noConversion"/>
  </si>
  <si>
    <t>样本量</t>
    <phoneticPr fontId="1" type="noConversion"/>
  </si>
  <si>
    <t>核心老年家户</t>
    <phoneticPr fontId="1" type="noConversion"/>
  </si>
  <si>
    <t>双亲老年家户</t>
    <phoneticPr fontId="1" type="noConversion"/>
  </si>
  <si>
    <t>变量</t>
    <phoneticPr fontId="1" type="noConversion"/>
  </si>
  <si>
    <r>
      <rPr>
        <b/>
        <sz val="11"/>
        <color theme="1"/>
        <rFont val="等线"/>
        <family val="2"/>
      </rPr>
      <t>变量</t>
    </r>
    <phoneticPr fontId="1" type="noConversion"/>
  </si>
  <si>
    <r>
      <rPr>
        <b/>
        <sz val="12"/>
        <color theme="1"/>
        <rFont val="宋体"/>
        <family val="1"/>
        <charset val="134"/>
      </rPr>
      <t>全样本</t>
    </r>
    <phoneticPr fontId="1" type="noConversion"/>
  </si>
  <si>
    <r>
      <rPr>
        <b/>
        <sz val="12"/>
        <color theme="1"/>
        <rFont val="宋体"/>
        <family val="1"/>
        <charset val="134"/>
      </rPr>
      <t>核心老年家户</t>
    </r>
    <phoneticPr fontId="1" type="noConversion"/>
  </si>
  <si>
    <r>
      <rPr>
        <b/>
        <sz val="12"/>
        <color theme="1"/>
        <rFont val="宋体"/>
        <family val="1"/>
        <charset val="134"/>
      </rPr>
      <t>双亲老年家户</t>
    </r>
    <phoneticPr fontId="1" type="noConversion"/>
  </si>
  <si>
    <r>
      <rPr>
        <b/>
        <sz val="12"/>
        <color theme="1"/>
        <rFont val="宋体"/>
        <family val="1"/>
        <charset val="134"/>
      </rPr>
      <t>样本量</t>
    </r>
    <phoneticPr fontId="1" type="noConversion"/>
  </si>
  <si>
    <r>
      <rPr>
        <b/>
        <sz val="12"/>
        <color theme="1"/>
        <rFont val="宋体"/>
        <family val="1"/>
        <charset val="134"/>
      </rPr>
      <t>比重</t>
    </r>
    <phoneticPr fontId="1" type="noConversion"/>
  </si>
  <si>
    <r>
      <rPr>
        <b/>
        <i/>
        <sz val="12"/>
        <color theme="1"/>
        <rFont val="宋体"/>
        <family val="3"/>
        <charset val="134"/>
      </rPr>
      <t>因变量</t>
    </r>
    <phoneticPr fontId="1" type="noConversion"/>
  </si>
  <si>
    <r>
      <rPr>
        <b/>
        <sz val="12"/>
        <color theme="1"/>
        <rFont val="宋体"/>
        <family val="3"/>
        <charset val="134"/>
      </rPr>
      <t>终结事件</t>
    </r>
    <phoneticPr fontId="1" type="noConversion"/>
  </si>
  <si>
    <r>
      <t xml:space="preserve">  </t>
    </r>
    <r>
      <rPr>
        <sz val="12"/>
        <color theme="1"/>
        <rFont val="宋体"/>
        <family val="1"/>
        <charset val="134"/>
      </rPr>
      <t>自评健康未下降</t>
    </r>
    <phoneticPr fontId="1" type="noConversion"/>
  </si>
  <si>
    <r>
      <t xml:space="preserve">  </t>
    </r>
    <r>
      <rPr>
        <sz val="12"/>
        <color theme="1"/>
        <rFont val="宋体"/>
        <family val="1"/>
        <charset val="134"/>
      </rPr>
      <t>自评健康下降</t>
    </r>
    <phoneticPr fontId="1" type="noConversion"/>
  </si>
  <si>
    <r>
      <rPr>
        <b/>
        <sz val="12"/>
        <color theme="1"/>
        <rFont val="宋体"/>
        <family val="3"/>
        <charset val="134"/>
      </rPr>
      <t>自评健康状态</t>
    </r>
    <phoneticPr fontId="1" type="noConversion"/>
  </si>
  <si>
    <r>
      <t xml:space="preserve">  </t>
    </r>
    <r>
      <rPr>
        <sz val="12"/>
        <color theme="1"/>
        <rFont val="宋体"/>
        <family val="1"/>
        <charset val="134"/>
      </rPr>
      <t>很好</t>
    </r>
    <phoneticPr fontId="1" type="noConversion"/>
  </si>
  <si>
    <r>
      <t xml:space="preserve">  </t>
    </r>
    <r>
      <rPr>
        <sz val="12"/>
        <color theme="1"/>
        <rFont val="宋体"/>
        <family val="1"/>
        <charset val="134"/>
      </rPr>
      <t>好</t>
    </r>
    <phoneticPr fontId="1" type="noConversion"/>
  </si>
  <si>
    <r>
      <t xml:space="preserve">  </t>
    </r>
    <r>
      <rPr>
        <sz val="12"/>
        <color theme="1"/>
        <rFont val="宋体"/>
        <family val="1"/>
        <charset val="134"/>
      </rPr>
      <t>普通</t>
    </r>
    <phoneticPr fontId="1" type="noConversion"/>
  </si>
  <si>
    <r>
      <t xml:space="preserve">  </t>
    </r>
    <r>
      <rPr>
        <sz val="12"/>
        <color theme="1"/>
        <rFont val="宋体"/>
        <family val="1"/>
        <charset val="134"/>
      </rPr>
      <t>不好</t>
    </r>
    <phoneticPr fontId="1" type="noConversion"/>
  </si>
  <si>
    <r>
      <t xml:space="preserve">  </t>
    </r>
    <r>
      <rPr>
        <sz val="12"/>
        <color theme="1"/>
        <rFont val="宋体"/>
        <family val="1"/>
        <charset val="134"/>
      </rPr>
      <t>很不好</t>
    </r>
    <phoneticPr fontId="1" type="noConversion"/>
  </si>
  <si>
    <r>
      <rPr>
        <b/>
        <i/>
        <sz val="12"/>
        <color theme="1"/>
        <rFont val="宋体"/>
        <family val="3"/>
        <charset val="134"/>
      </rPr>
      <t>关键自变量</t>
    </r>
    <phoneticPr fontId="1" type="noConversion"/>
  </si>
  <si>
    <r>
      <t xml:space="preserve">  </t>
    </r>
    <r>
      <rPr>
        <sz val="12"/>
        <color theme="1"/>
        <rFont val="宋体"/>
        <family val="1"/>
        <charset val="134"/>
      </rPr>
      <t>住房可负担</t>
    </r>
    <phoneticPr fontId="1" type="noConversion"/>
  </si>
  <si>
    <r>
      <t xml:space="preserve">  </t>
    </r>
    <r>
      <rPr>
        <sz val="12"/>
        <color theme="1"/>
        <rFont val="宋体"/>
        <family val="1"/>
        <charset val="134"/>
      </rPr>
      <t>住房不可负担</t>
    </r>
    <phoneticPr fontId="1" type="noConversion"/>
  </si>
  <si>
    <r>
      <t xml:space="preserve">  </t>
    </r>
    <r>
      <rPr>
        <sz val="12"/>
        <color theme="1"/>
        <rFont val="宋体"/>
        <family val="1"/>
        <charset val="134"/>
      </rPr>
      <t>租房可负担</t>
    </r>
    <phoneticPr fontId="1" type="noConversion"/>
  </si>
  <si>
    <r>
      <t xml:space="preserve">  </t>
    </r>
    <r>
      <rPr>
        <sz val="12"/>
        <color theme="1"/>
        <rFont val="宋体"/>
        <family val="1"/>
        <charset val="134"/>
      </rPr>
      <t>租房不可负担</t>
    </r>
    <phoneticPr fontId="1" type="noConversion"/>
  </si>
  <si>
    <r>
      <rPr>
        <b/>
        <i/>
        <sz val="12"/>
        <color theme="1"/>
        <rFont val="宋体"/>
        <family val="3"/>
        <charset val="134"/>
      </rPr>
      <t>控制变量</t>
    </r>
    <phoneticPr fontId="1" type="noConversion"/>
  </si>
  <si>
    <r>
      <rPr>
        <b/>
        <sz val="12"/>
        <color theme="1"/>
        <rFont val="宋体"/>
        <family val="3"/>
        <charset val="134"/>
      </rPr>
      <t>性别</t>
    </r>
    <phoneticPr fontId="1" type="noConversion"/>
  </si>
  <si>
    <r>
      <t xml:space="preserve">  </t>
    </r>
    <r>
      <rPr>
        <sz val="12"/>
        <color theme="1"/>
        <rFont val="宋体"/>
        <family val="1"/>
        <charset val="134"/>
      </rPr>
      <t>男</t>
    </r>
    <phoneticPr fontId="1" type="noConversion"/>
  </si>
  <si>
    <r>
      <t xml:space="preserve">  </t>
    </r>
    <r>
      <rPr>
        <sz val="12"/>
        <color theme="1"/>
        <rFont val="宋体"/>
        <family val="1"/>
        <charset val="134"/>
      </rPr>
      <t>女</t>
    </r>
    <phoneticPr fontId="1" type="noConversion"/>
  </si>
  <si>
    <r>
      <rPr>
        <b/>
        <sz val="12"/>
        <color theme="1"/>
        <rFont val="宋体"/>
        <family val="3"/>
        <charset val="134"/>
      </rPr>
      <t>年龄</t>
    </r>
    <phoneticPr fontId="1" type="noConversion"/>
  </si>
  <si>
    <r>
      <t xml:space="preserve">  </t>
    </r>
    <r>
      <rPr>
        <sz val="12"/>
        <color theme="1"/>
        <rFont val="宋体"/>
        <family val="1"/>
        <charset val="134"/>
      </rPr>
      <t>受访者</t>
    </r>
    <phoneticPr fontId="1" type="noConversion"/>
  </si>
  <si>
    <r>
      <t xml:space="preserve">  </t>
    </r>
    <r>
      <rPr>
        <sz val="12"/>
        <color theme="1"/>
        <rFont val="宋体"/>
        <family val="1"/>
        <charset val="134"/>
      </rPr>
      <t>受访者配偶</t>
    </r>
    <phoneticPr fontId="1" type="noConversion"/>
  </si>
  <si>
    <r>
      <rPr>
        <b/>
        <sz val="12"/>
        <color theme="1"/>
        <rFont val="宋体"/>
        <family val="3"/>
        <charset val="134"/>
      </rPr>
      <t>婚姻状态</t>
    </r>
    <phoneticPr fontId="1" type="noConversion"/>
  </si>
  <si>
    <r>
      <t xml:space="preserve">  </t>
    </r>
    <r>
      <rPr>
        <sz val="12"/>
        <color theme="1"/>
        <rFont val="宋体"/>
        <family val="3"/>
        <charset val="134"/>
      </rPr>
      <t>「已婚」</t>
    </r>
    <r>
      <rPr>
        <sz val="12"/>
        <color theme="1"/>
        <rFont val="Times New Roman"/>
        <family val="1"/>
      </rPr>
      <t>(</t>
    </r>
    <r>
      <rPr>
        <sz val="12"/>
        <color theme="1"/>
        <rFont val="宋体"/>
        <family val="3"/>
        <charset val="134"/>
      </rPr>
      <t>包括同居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</si>
  <si>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  </t>
    </r>
    <r>
      <rPr>
        <sz val="12"/>
        <color theme="1"/>
        <rFont val="宋体"/>
        <family val="3"/>
        <charset val="134"/>
      </rPr>
      <t>「未婚」</t>
    </r>
    <r>
      <rPr>
        <sz val="12"/>
        <color theme="1"/>
        <rFont val="Times New Roman"/>
        <family val="1"/>
      </rPr>
      <t>(</t>
    </r>
    <r>
      <rPr>
        <sz val="12"/>
        <color theme="1"/>
        <rFont val="宋体"/>
        <family val="3"/>
        <charset val="134"/>
      </rPr>
      <t>包括从未结婚、离婚、分居或丧偶</t>
    </r>
    <r>
      <rPr>
        <sz val="12"/>
        <color theme="1"/>
        <rFont val="Times New Roman"/>
        <family val="1"/>
      </rPr>
      <t>)</t>
    </r>
    <phoneticPr fontId="1" type="noConversion"/>
  </si>
  <si>
    <r>
      <rPr>
        <b/>
        <sz val="12"/>
        <color theme="1"/>
        <rFont val="宋体"/>
        <family val="3"/>
        <charset val="134"/>
      </rPr>
      <t>工作属性</t>
    </r>
  </si>
  <si>
    <r>
      <t xml:space="preserve">  </t>
    </r>
    <r>
      <rPr>
        <sz val="12"/>
        <color theme="1"/>
        <rFont val="宋体"/>
        <family val="3"/>
        <charset val="134"/>
      </rPr>
      <t>雇主</t>
    </r>
    <phoneticPr fontId="1" type="noConversion"/>
  </si>
  <si>
    <r>
      <t xml:space="preserve">  </t>
    </r>
    <r>
      <rPr>
        <sz val="12"/>
        <color theme="1"/>
        <rFont val="宋体"/>
        <family val="3"/>
        <charset val="134"/>
      </rPr>
      <t>私人部门</t>
    </r>
    <phoneticPr fontId="1" type="noConversion"/>
  </si>
  <si>
    <r>
      <t xml:space="preserve">  </t>
    </r>
    <r>
      <rPr>
        <sz val="12"/>
        <color theme="1"/>
        <rFont val="宋体"/>
        <family val="3"/>
        <charset val="134"/>
      </rPr>
      <t>公营部门</t>
    </r>
    <phoneticPr fontId="1" type="noConversion"/>
  </si>
  <si>
    <r>
      <rPr>
        <b/>
        <sz val="12"/>
        <color theme="1"/>
        <rFont val="宋体"/>
        <family val="3"/>
        <charset val="134"/>
      </rPr>
      <t>家庭收入</t>
    </r>
    <phoneticPr fontId="1" type="noConversion"/>
  </si>
  <si>
    <r>
      <rPr>
        <b/>
        <sz val="12"/>
        <color theme="1"/>
        <rFont val="宋体"/>
        <family val="3"/>
        <charset val="134"/>
      </rPr>
      <t>子女数量</t>
    </r>
  </si>
  <si>
    <r>
      <t xml:space="preserve">  </t>
    </r>
    <r>
      <rPr>
        <sz val="12"/>
        <color theme="1"/>
        <rFont val="宋体"/>
        <family val="1"/>
        <charset val="134"/>
      </rPr>
      <t>没有</t>
    </r>
    <phoneticPr fontId="1" type="noConversion"/>
  </si>
  <si>
    <r>
      <rPr>
        <b/>
        <sz val="12"/>
        <color theme="1"/>
        <rFont val="宋体"/>
        <family val="3"/>
        <charset val="134"/>
      </rPr>
      <t>教育程度</t>
    </r>
    <phoneticPr fontId="1" type="noConversion"/>
  </si>
  <si>
    <r>
      <rPr>
        <b/>
        <sz val="12"/>
        <color theme="1"/>
        <rFont val="宋体"/>
        <family val="3"/>
        <charset val="134"/>
      </rPr>
      <t>受访者最高教育</t>
    </r>
    <phoneticPr fontId="1" type="noConversion"/>
  </si>
  <si>
    <r>
      <t xml:space="preserve">  </t>
    </r>
    <r>
      <rPr>
        <sz val="12"/>
        <color theme="1"/>
        <rFont val="宋体"/>
        <family val="3"/>
        <charset val="134"/>
      </rPr>
      <t>小学或以下</t>
    </r>
    <phoneticPr fontId="1" type="noConversion"/>
  </si>
  <si>
    <r>
      <t xml:space="preserve">  </t>
    </r>
    <r>
      <rPr>
        <sz val="12"/>
        <color theme="1"/>
        <rFont val="宋体"/>
        <family val="3"/>
        <charset val="134"/>
      </rPr>
      <t>中学</t>
    </r>
    <phoneticPr fontId="1" type="noConversion"/>
  </si>
  <si>
    <r>
      <t xml:space="preserve">  </t>
    </r>
    <r>
      <rPr>
        <sz val="12"/>
        <color theme="1"/>
        <rFont val="宋体"/>
        <family val="3"/>
        <charset val="134"/>
      </rPr>
      <t>大学及以上</t>
    </r>
    <phoneticPr fontId="1" type="noConversion"/>
  </si>
  <si>
    <r>
      <rPr>
        <b/>
        <sz val="12"/>
        <color theme="1"/>
        <rFont val="宋体"/>
        <family val="3"/>
        <charset val="134"/>
      </rPr>
      <t>受访者配偶最高教育</t>
    </r>
    <phoneticPr fontId="1" type="noConversion"/>
  </si>
  <si>
    <r>
      <rPr>
        <b/>
        <sz val="12"/>
        <color theme="1"/>
        <rFont val="宋体"/>
        <family val="3"/>
        <charset val="134"/>
      </rPr>
      <t>住宅权属</t>
    </r>
  </si>
  <si>
    <r>
      <t xml:space="preserve">  </t>
    </r>
    <r>
      <rPr>
        <sz val="12"/>
        <color theme="1"/>
        <rFont val="宋体"/>
        <family val="3"/>
        <charset val="134"/>
      </rPr>
      <t>私有住房</t>
    </r>
    <phoneticPr fontId="1" type="noConversion"/>
  </si>
  <si>
    <r>
      <t xml:space="preserve">  </t>
    </r>
    <r>
      <rPr>
        <sz val="12"/>
        <color theme="1"/>
        <rFont val="宋体"/>
        <family val="3"/>
        <charset val="134"/>
      </rPr>
      <t>私人租房</t>
    </r>
    <phoneticPr fontId="1" type="noConversion"/>
  </si>
  <si>
    <r>
      <t xml:space="preserve">  </t>
    </r>
    <r>
      <rPr>
        <sz val="12"/>
        <color theme="1"/>
        <rFont val="宋体"/>
        <family val="3"/>
        <charset val="134"/>
      </rPr>
      <t>公有或亲人所有</t>
    </r>
    <phoneticPr fontId="1" type="noConversion"/>
  </si>
  <si>
    <r>
      <t xml:space="preserve">  </t>
    </r>
    <r>
      <rPr>
        <sz val="12"/>
        <color theme="1"/>
        <rFont val="宋体"/>
        <family val="1"/>
        <charset val="134"/>
      </rPr>
      <t>其他</t>
    </r>
    <phoneticPr fontId="1" type="noConversion"/>
  </si>
  <si>
    <r>
      <rPr>
        <b/>
        <sz val="12"/>
        <color theme="1"/>
        <rFont val="宋体"/>
        <family val="3"/>
        <charset val="134"/>
      </rPr>
      <t>住宅型式</t>
    </r>
  </si>
  <si>
    <r>
      <t xml:space="preserve">  </t>
    </r>
    <r>
      <rPr>
        <sz val="12"/>
        <color theme="1"/>
        <rFont val="宋体"/>
        <family val="3"/>
        <charset val="134"/>
      </rPr>
      <t>独院</t>
    </r>
    <r>
      <rPr>
        <sz val="12"/>
        <color theme="1"/>
        <rFont val="Times New Roman"/>
        <family val="1"/>
      </rPr>
      <t>\</t>
    </r>
    <r>
      <rPr>
        <sz val="12"/>
        <color theme="1"/>
        <rFont val="宋体"/>
        <family val="3"/>
        <charset val="134"/>
      </rPr>
      <t>双并</t>
    </r>
    <r>
      <rPr>
        <sz val="12"/>
        <color theme="1"/>
        <rFont val="Times New Roman"/>
        <family val="1"/>
      </rPr>
      <t>\</t>
    </r>
    <r>
      <rPr>
        <sz val="12"/>
        <color theme="1"/>
        <rFont val="宋体"/>
        <family val="3"/>
        <charset val="134"/>
      </rPr>
      <t>连栋</t>
    </r>
    <phoneticPr fontId="1" type="noConversion"/>
  </si>
  <si>
    <r>
      <t xml:space="preserve">  </t>
    </r>
    <r>
      <rPr>
        <sz val="12"/>
        <color theme="1"/>
        <rFont val="宋体"/>
        <family val="3"/>
        <charset val="134"/>
      </rPr>
      <t>公寓</t>
    </r>
    <r>
      <rPr>
        <sz val="12"/>
        <color theme="1"/>
        <rFont val="Times New Roman"/>
        <family val="1"/>
      </rPr>
      <t>\</t>
    </r>
    <r>
      <rPr>
        <sz val="12"/>
        <color theme="1"/>
        <rFont val="宋体"/>
        <family val="3"/>
        <charset val="134"/>
      </rPr>
      <t>大楼</t>
    </r>
    <r>
      <rPr>
        <sz val="12"/>
        <color theme="1"/>
        <rFont val="Times New Roman"/>
        <family val="1"/>
      </rPr>
      <t>\</t>
    </r>
    <r>
      <rPr>
        <sz val="12"/>
        <color theme="1"/>
        <rFont val="宋体"/>
        <family val="3"/>
        <charset val="134"/>
      </rPr>
      <t>华夏</t>
    </r>
    <phoneticPr fontId="1" type="noConversion"/>
  </si>
  <si>
    <r>
      <t xml:space="preserve">  </t>
    </r>
    <r>
      <rPr>
        <sz val="12"/>
        <color theme="1"/>
        <rFont val="宋体"/>
        <family val="3"/>
        <charset val="134"/>
      </rPr>
      <t>传统农村式</t>
    </r>
    <phoneticPr fontId="1" type="noConversion"/>
  </si>
  <si>
    <r>
      <t xml:space="preserve">  </t>
    </r>
    <r>
      <rPr>
        <sz val="12"/>
        <color theme="1"/>
        <rFont val="宋体"/>
        <family val="3"/>
        <charset val="134"/>
      </rPr>
      <t>其他</t>
    </r>
    <phoneticPr fontId="1" type="noConversion"/>
  </si>
  <si>
    <r>
      <rPr>
        <b/>
        <sz val="12"/>
        <color theme="1"/>
        <rFont val="宋体"/>
        <family val="3"/>
        <charset val="134"/>
      </rPr>
      <t>住房面积</t>
    </r>
  </si>
  <si>
    <r>
      <rPr>
        <b/>
        <sz val="12"/>
        <color theme="1"/>
        <rFont val="宋体"/>
        <family val="3"/>
        <charset val="134"/>
      </rPr>
      <t>合计样本量</t>
    </r>
    <phoneticPr fontId="1" type="noConversion"/>
  </si>
  <si>
    <t>N</t>
  </si>
  <si>
    <t>(.)</t>
  </si>
  <si>
    <t>pp</t>
  </si>
  <si>
    <t>LogLikelihood</t>
  </si>
  <si>
    <t>住房不可负担</t>
    <phoneticPr fontId="1" type="noConversion"/>
  </si>
  <si>
    <t>租房不可负担</t>
    <phoneticPr fontId="1" type="noConversion"/>
  </si>
  <si>
    <t/>
  </si>
  <si>
    <t>0.000</t>
  </si>
  <si>
    <t>(0.15)</t>
  </si>
  <si>
    <t>-0.170***</t>
  </si>
  <si>
    <t>-0.617***</t>
  </si>
  <si>
    <t>(0.04)</t>
  </si>
  <si>
    <t>(0.20)</t>
  </si>
  <si>
    <t>0.001***</t>
  </si>
  <si>
    <t>0.007***</t>
  </si>
  <si>
    <t>(0.00)</t>
  </si>
  <si>
    <t>-0.007</t>
  </si>
  <si>
    <t>(0.01)</t>
  </si>
  <si>
    <t>-0.144</t>
  </si>
  <si>
    <t>-1.179***</t>
  </si>
  <si>
    <t>(0.10)</t>
  </si>
  <si>
    <t>(0.34)</t>
  </si>
  <si>
    <t>1.466***</t>
  </si>
  <si>
    <t>(0.37)</t>
  </si>
  <si>
    <t>0.293**</t>
  </si>
  <si>
    <t>1.507**</t>
  </si>
  <si>
    <t>(0.14)</t>
  </si>
  <si>
    <t>(0.67)</t>
  </si>
  <si>
    <t>(0.19)</t>
  </si>
  <si>
    <t>(0.95)</t>
  </si>
  <si>
    <t>(0.69)</t>
  </si>
  <si>
    <t>1.953***</t>
  </si>
  <si>
    <t>(0.21)</t>
  </si>
  <si>
    <t>(0.66)</t>
  </si>
  <si>
    <t>-0.166</t>
  </si>
  <si>
    <t>1.126</t>
  </si>
  <si>
    <t>-0.022</t>
  </si>
  <si>
    <t>1.294</t>
  </si>
  <si>
    <t>(0.22)</t>
  </si>
  <si>
    <t>(0.82)</t>
  </si>
  <si>
    <t>-0.146</t>
  </si>
  <si>
    <t>0.326</t>
  </si>
  <si>
    <t>(0.26)</t>
  </si>
  <si>
    <t>(0.98)</t>
  </si>
  <si>
    <t>0.067</t>
  </si>
  <si>
    <t>-15.361***</t>
  </si>
  <si>
    <t>(0.25)</t>
  </si>
  <si>
    <t>(1.04)</t>
  </si>
  <si>
    <t>-0.246*</t>
  </si>
  <si>
    <t>-0.609</t>
  </si>
  <si>
    <t>(0.55)</t>
  </si>
  <si>
    <t>-0.343</t>
  </si>
  <si>
    <t>-1.725***</t>
  </si>
  <si>
    <t>-0.430***</t>
  </si>
  <si>
    <t>-0.694</t>
  </si>
  <si>
    <t>-0.740***</t>
  </si>
  <si>
    <t>-0.676</t>
  </si>
  <si>
    <t>(0.74)</t>
  </si>
  <si>
    <t>(0.12)</t>
  </si>
  <si>
    <t>0.077</t>
  </si>
  <si>
    <t>-16.271***</t>
  </si>
  <si>
    <t>(0.13)</t>
  </si>
  <si>
    <t>(1.16)</t>
  </si>
  <si>
    <t>-0.274</t>
  </si>
  <si>
    <t>0.343</t>
  </si>
  <si>
    <t>(0.36)</t>
  </si>
  <si>
    <t>(0.57)</t>
  </si>
  <si>
    <t>-0.456</t>
  </si>
  <si>
    <t>1.937**</t>
  </si>
  <si>
    <t>8.693**</t>
  </si>
  <si>
    <t>(0.89)</t>
  </si>
  <si>
    <t>171</t>
  </si>
  <si>
    <t>-764.335</t>
  </si>
  <si>
    <t>-55.613</t>
  </si>
  <si>
    <t>Standard errors in parentheses</t>
  </si>
  <si>
    <t>*** p&lt;0.01; ** p&lt;0.05; * p&lt;0.1</t>
  </si>
  <si>
    <t>="* p&lt;0.10</t>
  </si>
  <si>
    <t xml:space="preserve"> ** p&lt;0.05</t>
  </si>
  <si>
    <t xml:space="preserve"> *** p&lt;0.01"</t>
  </si>
  <si>
    <t>1.593***</t>
    <phoneticPr fontId="1" type="noConversion"/>
  </si>
  <si>
    <t>2.009***</t>
    <phoneticPr fontId="1" type="noConversion"/>
  </si>
  <si>
    <t>受访者年龄</t>
    <phoneticPr fontId="1" type="noConversion"/>
  </si>
  <si>
    <t>年龄平方项</t>
    <phoneticPr fontId="1" type="noConversion"/>
  </si>
  <si>
    <t>关键自变量</t>
    <phoneticPr fontId="1" type="noConversion"/>
  </si>
  <si>
    <t>控制变量-家户特征</t>
  </si>
  <si>
    <r>
      <t xml:space="preserve">  </t>
    </r>
    <r>
      <rPr>
        <sz val="10.5"/>
        <color theme="1"/>
        <rFont val="宋体"/>
        <family val="3"/>
        <charset val="134"/>
      </rPr>
      <t>公寓</t>
    </r>
  </si>
  <si>
    <r>
      <t xml:space="preserve">  </t>
    </r>
    <r>
      <rPr>
        <sz val="10.5"/>
        <color theme="1"/>
        <rFont val="宋体"/>
        <family val="3"/>
        <charset val="134"/>
      </rPr>
      <t>大厦</t>
    </r>
  </si>
  <si>
    <r>
      <t xml:space="preserve">  </t>
    </r>
    <r>
      <rPr>
        <sz val="10.5"/>
        <color theme="1"/>
        <rFont val="宋体"/>
        <family val="3"/>
        <charset val="134"/>
      </rPr>
      <t>传统农村</t>
    </r>
  </si>
  <si>
    <t>HAS（参照组=可负担）</t>
    <phoneticPr fontId="1" type="noConversion"/>
  </si>
  <si>
    <t>性别（参照组=女性）</t>
    <phoneticPr fontId="1" type="noConversion"/>
  </si>
  <si>
    <t>男性</t>
    <phoneticPr fontId="1" type="noConversion"/>
  </si>
  <si>
    <t>婚姻（参照组=未婚）</t>
    <phoneticPr fontId="1" type="noConversion"/>
  </si>
  <si>
    <t>已婚（包括同居等）</t>
    <phoneticPr fontId="1" type="noConversion"/>
  </si>
  <si>
    <r>
      <rPr>
        <sz val="12"/>
        <color theme="1"/>
        <rFont val="宋体"/>
        <family val="1"/>
        <charset val="134"/>
      </rPr>
      <t>参数估计</t>
    </r>
    <phoneticPr fontId="1" type="noConversion"/>
  </si>
  <si>
    <r>
      <rPr>
        <sz val="12"/>
        <color theme="1"/>
        <rFont val="宋体"/>
        <family val="1"/>
        <charset val="134"/>
      </rPr>
      <t>风险比</t>
    </r>
    <phoneticPr fontId="1" type="noConversion"/>
  </si>
  <si>
    <r>
      <rPr>
        <sz val="11"/>
        <color theme="1"/>
        <rFont val="等线"/>
        <family val="2"/>
      </rPr>
      <t>购房者</t>
    </r>
    <phoneticPr fontId="1" type="noConversion"/>
  </si>
  <si>
    <r>
      <rPr>
        <sz val="11"/>
        <color theme="1"/>
        <rFont val="等线"/>
        <family val="2"/>
      </rPr>
      <t>租房者</t>
    </r>
    <phoneticPr fontId="1" type="noConversion"/>
  </si>
  <si>
    <t>-0.345***</t>
  </si>
  <si>
    <t>0.909*</t>
  </si>
  <si>
    <t>(0.52)</t>
  </si>
  <si>
    <t>-0.489***</t>
  </si>
  <si>
    <t>0.020</t>
  </si>
  <si>
    <t>1.438</t>
  </si>
  <si>
    <t>住宅型式（参照组=独栋）</t>
    <phoneticPr fontId="1" type="noConversion"/>
  </si>
  <si>
    <r>
      <t xml:space="preserve">  </t>
    </r>
    <r>
      <rPr>
        <sz val="10.5"/>
        <color theme="1"/>
        <rFont val="宋体"/>
        <family val="3"/>
        <charset val="134"/>
      </rPr>
      <t>私人部门</t>
    </r>
  </si>
  <si>
    <t>工作属性（参照组=雇主）</t>
    <phoneticPr fontId="1" type="noConversion"/>
  </si>
  <si>
    <t>公营部门</t>
  </si>
  <si>
    <t>收入效应</t>
    <phoneticPr fontId="1" type="noConversion"/>
  </si>
  <si>
    <t>子女数量（参照组=没有子女）</t>
    <phoneticPr fontId="1" type="noConversion"/>
  </si>
  <si>
    <r>
      <t>1</t>
    </r>
    <r>
      <rPr>
        <sz val="12"/>
        <color theme="1"/>
        <rFont val="宋体"/>
        <family val="1"/>
        <charset val="134"/>
      </rPr>
      <t>个</t>
    </r>
    <phoneticPr fontId="1" type="noConversion"/>
  </si>
  <si>
    <r>
      <t>2</t>
    </r>
    <r>
      <rPr>
        <sz val="12"/>
        <color theme="1"/>
        <rFont val="宋体"/>
        <family val="1"/>
        <charset val="134"/>
      </rPr>
      <t>个</t>
    </r>
    <phoneticPr fontId="1" type="noConversion"/>
  </si>
  <si>
    <r>
      <t>3</t>
    </r>
    <r>
      <rPr>
        <sz val="12"/>
        <color theme="1"/>
        <rFont val="宋体"/>
        <family val="1"/>
        <charset val="134"/>
      </rPr>
      <t>个</t>
    </r>
    <phoneticPr fontId="1" type="noConversion"/>
  </si>
  <si>
    <r>
      <t>4</t>
    </r>
    <r>
      <rPr>
        <sz val="12"/>
        <color theme="1"/>
        <rFont val="宋体"/>
        <family val="1"/>
        <charset val="134"/>
      </rPr>
      <t>个</t>
    </r>
    <phoneticPr fontId="1" type="noConversion"/>
  </si>
  <si>
    <r>
      <t>5</t>
    </r>
    <r>
      <rPr>
        <sz val="12"/>
        <color theme="1"/>
        <rFont val="宋体"/>
        <family val="1"/>
        <charset val="134"/>
      </rPr>
      <t>个及以上</t>
    </r>
    <phoneticPr fontId="1" type="noConversion"/>
  </si>
  <si>
    <t>受访者最高教育（参照组=小学或以下）</t>
    <phoneticPr fontId="1" type="noConversion"/>
  </si>
  <si>
    <t>中学</t>
    <phoneticPr fontId="1" type="noConversion"/>
  </si>
  <si>
    <t>大学及以上</t>
    <phoneticPr fontId="1" type="noConversion"/>
  </si>
  <si>
    <t>受访者配偶最高教育（参照组=小学或以下）</t>
    <phoneticPr fontId="1" type="noConversion"/>
  </si>
  <si>
    <t>控制变量-住宅特征</t>
  </si>
  <si>
    <t>私人租房</t>
    <phoneticPr fontId="1" type="noConversion"/>
  </si>
  <si>
    <t>住宅权属（参照组=私有住房）</t>
    <phoneticPr fontId="1" type="noConversion"/>
  </si>
  <si>
    <t>0.366***</t>
    <phoneticPr fontId="1" type="noConversion"/>
  </si>
  <si>
    <t>1.507**</t>
    <phoneticPr fontId="1" type="noConversion"/>
  </si>
  <si>
    <t>1.093**</t>
    <phoneticPr fontId="1" type="noConversion"/>
  </si>
  <si>
    <t>公有或父母所有</t>
    <phoneticPr fontId="1" type="noConversion"/>
  </si>
  <si>
    <t>其他</t>
    <phoneticPr fontId="1" type="noConversion"/>
  </si>
  <si>
    <t>变量</t>
    <phoneticPr fontId="1" type="noConversion"/>
  </si>
  <si>
    <t>住房面积</t>
    <phoneticPr fontId="1" type="noConversion"/>
  </si>
  <si>
    <t>截距</t>
    <phoneticPr fontId="1" type="noConversion"/>
  </si>
  <si>
    <t>rho</t>
  </si>
  <si>
    <t>hos_space_       -0.03934</t>
  </si>
  <si>
    <t>0b.rec_gen~_            .</t>
  </si>
  <si>
    <t>.</t>
  </si>
  <si>
    <t>1.rec_gend~_      0.03889</t>
  </si>
  <si>
    <t>0b.rec_mar~_            .</t>
  </si>
  <si>
    <t>1.rec_mari~_     -0.11822</t>
  </si>
  <si>
    <t>1b.rec_d_e~_            .</t>
  </si>
  <si>
    <t>2.rec_d_em~_      0.02083</t>
  </si>
  <si>
    <t>3.rec_d_em~_      0.05390</t>
  </si>
  <si>
    <t>0b.n_rec_i~_            .</t>
  </si>
  <si>
    <t>1.n_rec_in~_     -0.02450</t>
  </si>
  <si>
    <t>2.n_rec_in~_     -0.02880</t>
  </si>
  <si>
    <t>3.n_rec_in~_     -0.02286</t>
  </si>
  <si>
    <t>4.n_rec_in~_      0.01378</t>
  </si>
  <si>
    <t>5.n_rec_in~_     -0.00320</t>
  </si>
  <si>
    <t>6.n_rec_in~_      0.01488</t>
  </si>
  <si>
    <t>1b.rec_edu_             .</t>
  </si>
  <si>
    <t>2.rec_edu_       -0.02984</t>
  </si>
  <si>
    <t>3.rec_edu_       -0.04251</t>
  </si>
  <si>
    <t>1b.rec_edu_p            .</t>
  </si>
  <si>
    <t>2.rec_edu_p      -0.09715</t>
  </si>
  <si>
    <t>3.rec_edu_p      -0.05976</t>
  </si>
  <si>
    <t>1b.rec_ten~e            .</t>
  </si>
  <si>
    <t>2.rec_tenure      0.01349</t>
  </si>
  <si>
    <t>3.rec_tenure     -0.09148</t>
  </si>
  <si>
    <t>4.rec_tenure      0.01647</t>
  </si>
  <si>
    <t>global test</t>
  </si>
  <si>
    <t>购房者</t>
    <phoneticPr fontId="1" type="noConversion"/>
  </si>
  <si>
    <t>租房者</t>
    <phoneticPr fontId="1" type="noConversion"/>
  </si>
  <si>
    <t>n_d_hos_affd      0.02276</t>
    <phoneticPr fontId="1" type="noConversion"/>
  </si>
  <si>
    <t>关键自变量</t>
  </si>
  <si>
    <t>HAS（参照组=可负担）</t>
  </si>
  <si>
    <t>住房不可负担</t>
  </si>
  <si>
    <t>租房不可负担</t>
  </si>
  <si>
    <t>性别（参照组=女性）</t>
  </si>
  <si>
    <t>男性</t>
  </si>
  <si>
    <t>婚姻（参照组=未婚）</t>
  </si>
  <si>
    <t>已婚（包括同居等）</t>
  </si>
  <si>
    <t>工作属性（参照组=雇主）</t>
  </si>
  <si>
    <t>私人部门</t>
  </si>
  <si>
    <t>受访者最高教育（参照组=小学或以下）</t>
  </si>
  <si>
    <t>中学</t>
  </si>
  <si>
    <t>大学及以上</t>
  </si>
  <si>
    <t>受访者配偶最高教育（参照组=小学或以下）</t>
  </si>
  <si>
    <t>住宅型式（参照组=独栋）</t>
  </si>
  <si>
    <t>公寓</t>
  </si>
  <si>
    <t>大厦</t>
  </si>
  <si>
    <t>传统农村</t>
  </si>
  <si>
    <t>住房面积</t>
  </si>
  <si>
    <t xml:space="preserve">    30001-45000</t>
  </si>
  <si>
    <t xml:space="preserve">    45001-60000</t>
  </si>
  <si>
    <t xml:space="preserve">    60001-75000</t>
  </si>
  <si>
    <t xml:space="preserve">    75001-90000</t>
  </si>
  <si>
    <t xml:space="preserve">    &gt;90000</t>
  </si>
  <si>
    <t>家庭收入（参照组=小于等于15000）</t>
    <phoneticPr fontId="1" type="noConversion"/>
  </si>
  <si>
    <t>.</t>
    <phoneticPr fontId="1" type="noConversion"/>
  </si>
  <si>
    <t>P值</t>
    <phoneticPr fontId="1" type="noConversion"/>
  </si>
  <si>
    <t>控制变量-家户特征</t>
    <phoneticPr fontId="1" type="noConversion"/>
  </si>
  <si>
    <t>私人部门</t>
    <phoneticPr fontId="1" type="noConversion"/>
  </si>
  <si>
    <t>公营部门</t>
    <phoneticPr fontId="1" type="noConversion"/>
  </si>
  <si>
    <t>控制变量-住宅特征</t>
    <phoneticPr fontId="1" type="noConversion"/>
  </si>
  <si>
    <t>公寓</t>
    <phoneticPr fontId="1" type="noConversion"/>
  </si>
  <si>
    <t>大厦</t>
    <phoneticPr fontId="1" type="noConversion"/>
  </si>
  <si>
    <t>传统农村</t>
    <phoneticPr fontId="1" type="noConversion"/>
  </si>
  <si>
    <t>global test</t>
    <phoneticPr fontId="1" type="noConversion"/>
  </si>
  <si>
    <t>估计系数</t>
    <phoneticPr fontId="1" type="noConversion"/>
  </si>
  <si>
    <t>风险比率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</si>
</sst>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%"/>
    <numFmt numFmtId="177" formatCode="0.0_ "/>
    <numFmt numFmtId="178" formatCode="0.0_);[Red]\(0.0\)"/>
    <numFmt numFmtId="179" formatCode="0.000"/>
  </numFmts>
  <fonts count="2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12"/>
      <color theme="1"/>
      <name val="宋体"/>
      <family val="1"/>
      <charset val="134"/>
    </font>
    <font>
      <b/>
      <sz val="12"/>
      <color theme="1"/>
      <name val="宋体"/>
      <family val="3"/>
      <charset val="134"/>
    </font>
    <font>
      <b/>
      <sz val="12"/>
      <color theme="1"/>
      <name val="Times New Roman"/>
      <family val="1"/>
    </font>
    <font>
      <b/>
      <i/>
      <sz val="12"/>
      <color theme="1"/>
      <name val="宋体"/>
      <family val="3"/>
      <charset val="134"/>
    </font>
    <font>
      <b/>
      <sz val="11"/>
      <color theme="1"/>
      <name val="等线"/>
      <family val="2"/>
      <scheme val="minor"/>
    </font>
    <font>
      <b/>
      <sz val="12"/>
      <color theme="1"/>
      <name val="宋体"/>
      <family val="1"/>
      <charset val="134"/>
    </font>
    <font>
      <b/>
      <sz val="11"/>
      <color theme="1"/>
      <name val="Times New Roman"/>
      <family val="1"/>
    </font>
    <font>
      <b/>
      <sz val="11"/>
      <color theme="1"/>
      <name val="等线"/>
      <family val="2"/>
    </font>
    <font>
      <b/>
      <i/>
      <sz val="12"/>
      <color theme="1"/>
      <name val="Times New Roman"/>
      <family val="1"/>
    </font>
    <font>
      <b/>
      <sz val="11"/>
      <color theme="1"/>
      <name val="KaiTi"/>
      <family val="3"/>
      <charset val="134"/>
    </font>
    <font>
      <sz val="10.5"/>
      <color theme="1"/>
      <name val="Calibri"/>
      <family val="2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1"/>
      <color theme="1"/>
      <name val="等线"/>
      <family val="2"/>
    </font>
    <font>
      <b/>
      <sz val="10.5"/>
      <color theme="1"/>
      <name val="Calibri"/>
      <family val="2"/>
    </font>
    <font>
      <b/>
      <sz val="10.5"/>
      <color theme="1"/>
      <name val="KaiTi"/>
      <family val="3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0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3" fillId="0" borderId="0" xfId="0" applyFont="1" applyBorder="1"/>
    <xf numFmtId="0" fontId="7" fillId="0" borderId="0" xfId="0" applyFont="1" applyBorder="1"/>
    <xf numFmtId="0" fontId="7" fillId="0" borderId="1" xfId="0" applyFont="1" applyBorder="1" applyAlignment="1">
      <alignment horizontal="left" vertical="center" wrapText="1"/>
    </xf>
    <xf numFmtId="176" fontId="3" fillId="0" borderId="0" xfId="0" applyNumberFormat="1" applyFont="1" applyBorder="1" applyAlignment="1">
      <alignment horizontal="left" vertical="center" wrapText="1"/>
    </xf>
    <xf numFmtId="177" fontId="3" fillId="0" borderId="0" xfId="0" applyNumberFormat="1" applyFont="1" applyBorder="1" applyAlignment="1">
      <alignment horizontal="left" vertical="center" wrapText="1"/>
    </xf>
    <xf numFmtId="178" fontId="2" fillId="0" borderId="0" xfId="0" applyNumberFormat="1" applyFont="1" applyBorder="1" applyAlignment="1">
      <alignment horizontal="left"/>
    </xf>
    <xf numFmtId="0" fontId="3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6" fillId="0" borderId="0" xfId="0" applyFont="1" applyAlignment="1">
      <alignment horizontal="justify" vertical="center"/>
    </xf>
    <xf numFmtId="0" fontId="15" fillId="0" borderId="0" xfId="0" applyFont="1" applyAlignment="1">
      <alignment horizontal="justify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/>
    <xf numFmtId="0" fontId="4" fillId="0" borderId="0" xfId="0" applyFont="1"/>
    <xf numFmtId="0" fontId="6" fillId="0" borderId="0" xfId="0" applyFont="1"/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0" fontId="14" fillId="0" borderId="0" xfId="0" applyFont="1" applyAlignment="1">
      <alignment horizontal="justify" vertical="center"/>
    </xf>
    <xf numFmtId="0" fontId="2" fillId="0" borderId="0" xfId="0" applyFont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2" fillId="0" borderId="2" xfId="0" applyFont="1" applyBorder="1" applyAlignment="1"/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/>
    <xf numFmtId="0" fontId="0" fillId="0" borderId="3" xfId="0" applyBorder="1"/>
    <xf numFmtId="179" fontId="16" fillId="0" borderId="0" xfId="0" applyNumberFormat="1" applyFont="1" applyAlignment="1">
      <alignment horizontal="justify" vertical="center"/>
    </xf>
    <xf numFmtId="179" fontId="19" fillId="0" borderId="7" xfId="0" applyNumberFormat="1" applyFont="1" applyBorder="1" applyAlignment="1">
      <alignment horizontal="center" vertical="center"/>
    </xf>
    <xf numFmtId="179" fontId="20" fillId="0" borderId="0" xfId="0" applyNumberFormat="1" applyFont="1" applyAlignment="1">
      <alignment horizontal="justify" vertical="center"/>
    </xf>
    <xf numFmtId="179" fontId="15" fillId="0" borderId="0" xfId="0" applyNumberFormat="1" applyFont="1"/>
    <xf numFmtId="179" fontId="19" fillId="0" borderId="0" xfId="0" applyNumberFormat="1" applyFont="1" applyAlignment="1">
      <alignment horizontal="justify" vertical="center"/>
    </xf>
    <xf numFmtId="179" fontId="17" fillId="0" borderId="0" xfId="0" applyNumberFormat="1" applyFont="1" applyAlignment="1">
      <alignment horizontal="justify" vertical="center"/>
    </xf>
    <xf numFmtId="179" fontId="15" fillId="0" borderId="0" xfId="0" applyNumberFormat="1" applyFont="1" applyAlignment="1">
      <alignment horizontal="justify" vertical="center"/>
    </xf>
    <xf numFmtId="179" fontId="15" fillId="0" borderId="7" xfId="0" applyNumberFormat="1" applyFont="1" applyBorder="1" applyAlignment="1">
      <alignment horizontal="justify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Border="1" applyAlignment="1">
      <alignment horizontal="center"/>
    </xf>
    <xf numFmtId="179" fontId="16" fillId="0" borderId="6" xfId="0" applyNumberFormat="1" applyFont="1" applyBorder="1" applyAlignment="1">
      <alignment horizontal="center" vertical="center"/>
    </xf>
    <xf numFmtId="179" fontId="16" fillId="0" borderId="0" xfId="0" applyNumberFormat="1" applyFont="1" applyAlignment="1">
      <alignment horizontal="justify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79" fontId="16" fillId="0" borderId="5" xfId="0" applyNumberFormat="1" applyFont="1" applyBorder="1" applyAlignment="1">
      <alignment horizontal="justify" vertical="center"/>
    </xf>
    <xf numFmtId="179" fontId="16" fillId="0" borderId="0" xfId="0" applyNumberFormat="1" applyFont="1" applyBorder="1" applyAlignment="1">
      <alignment horizontal="justify" vertical="center"/>
    </xf>
    <xf numFmtId="179" fontId="16" fillId="0" borderId="4" xfId="0" applyNumberFormat="1" applyFont="1" applyBorder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opLeftCell="A34" zoomScale="85" zoomScaleNormal="85" workbookViewId="0">
      <selection activeCell="H50" sqref="H50"/>
    </sheetView>
  </sheetViews>
  <sheetFormatPr defaultRowHeight="13.8" x14ac:dyDescent="0.25"/>
  <cols>
    <col min="2" max="2" width="18.77734375" customWidth="1"/>
    <col min="4" max="4" width="13.5546875" bestFit="1" customWidth="1"/>
    <col min="6" max="6" width="9.5546875" bestFit="1" customWidth="1"/>
    <col min="8" max="8" width="9.77734375" customWidth="1"/>
  </cols>
  <sheetData>
    <row r="1" spans="2:15" ht="46.8" customHeight="1" x14ac:dyDescent="0.25">
      <c r="B1" s="49" t="s">
        <v>19</v>
      </c>
      <c r="C1" s="48" t="s">
        <v>20</v>
      </c>
      <c r="D1" s="48"/>
      <c r="E1" s="48" t="s">
        <v>21</v>
      </c>
      <c r="F1" s="48"/>
      <c r="G1" s="48" t="s">
        <v>22</v>
      </c>
      <c r="H1" s="48"/>
      <c r="I1" s="51" t="s">
        <v>18</v>
      </c>
      <c r="J1" s="53" t="s">
        <v>0</v>
      </c>
      <c r="K1" s="53"/>
      <c r="L1" s="53" t="s">
        <v>16</v>
      </c>
      <c r="M1" s="53"/>
      <c r="N1" s="53" t="s">
        <v>17</v>
      </c>
      <c r="O1" s="53"/>
    </row>
    <row r="2" spans="2:15" ht="15.6" x14ac:dyDescent="0.25">
      <c r="B2" s="50"/>
      <c r="C2" s="3" t="s">
        <v>23</v>
      </c>
      <c r="D2" s="3" t="s">
        <v>24</v>
      </c>
      <c r="E2" s="3" t="s">
        <v>23</v>
      </c>
      <c r="F2" s="3" t="s">
        <v>24</v>
      </c>
      <c r="G2" s="3" t="s">
        <v>23</v>
      </c>
      <c r="H2" s="3" t="s">
        <v>24</v>
      </c>
      <c r="I2" s="52"/>
      <c r="J2" s="2" t="s">
        <v>15</v>
      </c>
      <c r="K2" s="2" t="s">
        <v>1</v>
      </c>
      <c r="L2" s="2" t="s">
        <v>15</v>
      </c>
      <c r="M2" s="2" t="s">
        <v>1</v>
      </c>
      <c r="N2" s="2" t="s">
        <v>15</v>
      </c>
      <c r="O2" s="2" t="s">
        <v>1</v>
      </c>
    </row>
    <row r="3" spans="2:15" ht="15.6" x14ac:dyDescent="0.25">
      <c r="B3" s="4" t="s">
        <v>25</v>
      </c>
      <c r="C3" s="1"/>
      <c r="D3" s="1"/>
      <c r="E3" s="1"/>
      <c r="F3" s="1"/>
      <c r="G3" s="1"/>
      <c r="H3" s="1"/>
    </row>
    <row r="4" spans="2:15" ht="15.6" x14ac:dyDescent="0.25">
      <c r="B4" s="5" t="s">
        <v>26</v>
      </c>
      <c r="C4" s="1"/>
      <c r="D4" s="1"/>
      <c r="E4" s="1"/>
      <c r="F4" s="1"/>
      <c r="G4" s="1"/>
      <c r="H4" s="1"/>
    </row>
    <row r="5" spans="2:15" ht="16.2" x14ac:dyDescent="0.25">
      <c r="B5" s="1" t="s">
        <v>27</v>
      </c>
      <c r="C5" s="1">
        <v>4563</v>
      </c>
      <c r="D5" s="9">
        <v>0.72899999999999998</v>
      </c>
      <c r="E5" s="1">
        <v>1392</v>
      </c>
      <c r="F5" s="9">
        <v>0.72599999999999998</v>
      </c>
      <c r="G5" s="1">
        <v>3171</v>
      </c>
      <c r="H5" s="9">
        <v>0.73</v>
      </c>
    </row>
    <row r="6" spans="2:15" ht="16.2" x14ac:dyDescent="0.25">
      <c r="B6" s="1" t="s">
        <v>28</v>
      </c>
      <c r="C6" s="1">
        <v>1696</v>
      </c>
      <c r="D6" s="9">
        <v>0.27100000000000002</v>
      </c>
      <c r="E6" s="1">
        <v>525</v>
      </c>
      <c r="F6" s="9">
        <v>0.27400000000000002</v>
      </c>
      <c r="G6" s="1">
        <v>1171</v>
      </c>
      <c r="H6" s="9">
        <v>0.27</v>
      </c>
    </row>
    <row r="7" spans="2:15" ht="15.6" x14ac:dyDescent="0.25">
      <c r="B7" s="5" t="s">
        <v>29</v>
      </c>
      <c r="C7" s="1"/>
      <c r="D7" s="9"/>
      <c r="E7" s="1"/>
      <c r="F7" s="9"/>
      <c r="G7" s="1"/>
      <c r="H7" s="9"/>
    </row>
    <row r="8" spans="2:15" ht="16.2" x14ac:dyDescent="0.25">
      <c r="B8" s="1" t="s">
        <v>30</v>
      </c>
      <c r="C8" s="1">
        <v>2909</v>
      </c>
      <c r="D8" s="9">
        <v>0.104</v>
      </c>
      <c r="E8" s="1">
        <v>1099</v>
      </c>
      <c r="F8" s="9">
        <v>0.08</v>
      </c>
      <c r="G8" s="1">
        <v>1810</v>
      </c>
      <c r="H8" s="9">
        <v>0.127</v>
      </c>
    </row>
    <row r="9" spans="2:15" ht="16.2" x14ac:dyDescent="0.25">
      <c r="B9" s="1" t="s">
        <v>31</v>
      </c>
      <c r="C9" s="1">
        <v>8552</v>
      </c>
      <c r="D9" s="9">
        <v>0.30599999999999999</v>
      </c>
      <c r="E9" s="1">
        <v>3711</v>
      </c>
      <c r="F9" s="9">
        <v>0.27</v>
      </c>
      <c r="G9" s="1">
        <v>4841</v>
      </c>
      <c r="H9" s="9">
        <v>0.34</v>
      </c>
    </row>
    <row r="10" spans="2:15" ht="16.2" x14ac:dyDescent="0.25">
      <c r="B10" s="1" t="s">
        <v>32</v>
      </c>
      <c r="C10" s="1">
        <v>12178</v>
      </c>
      <c r="D10" s="9">
        <v>0.435</v>
      </c>
      <c r="E10" s="1">
        <v>6019</v>
      </c>
      <c r="F10" s="9">
        <v>0.438</v>
      </c>
      <c r="G10" s="1">
        <v>6159</v>
      </c>
      <c r="H10" s="9">
        <v>0.432</v>
      </c>
    </row>
    <row r="11" spans="2:15" ht="16.2" x14ac:dyDescent="0.25">
      <c r="B11" s="1" t="s">
        <v>33</v>
      </c>
      <c r="C11" s="1">
        <v>3889</v>
      </c>
      <c r="D11" s="9">
        <v>0.13900000000000001</v>
      </c>
      <c r="E11" s="1">
        <v>2575</v>
      </c>
      <c r="F11" s="9">
        <v>0.188</v>
      </c>
      <c r="G11" s="1">
        <v>1314</v>
      </c>
      <c r="H11" s="9">
        <v>9.1999999999999998E-2</v>
      </c>
    </row>
    <row r="12" spans="2:15" ht="16.2" x14ac:dyDescent="0.25">
      <c r="B12" s="1" t="s">
        <v>34</v>
      </c>
      <c r="C12" s="1">
        <v>460</v>
      </c>
      <c r="D12" s="9">
        <v>1.6E-2</v>
      </c>
      <c r="E12" s="1">
        <v>325</v>
      </c>
      <c r="F12" s="9">
        <v>2.4E-2</v>
      </c>
      <c r="G12" s="1">
        <v>135</v>
      </c>
      <c r="H12" s="9">
        <v>8.9999999999999993E-3</v>
      </c>
    </row>
    <row r="13" spans="2:15" ht="15.6" x14ac:dyDescent="0.25">
      <c r="B13" s="4" t="s">
        <v>35</v>
      </c>
      <c r="C13" s="1"/>
      <c r="D13" s="9"/>
      <c r="E13" s="1"/>
      <c r="F13" s="9"/>
      <c r="G13" s="1"/>
      <c r="H13" s="9"/>
    </row>
    <row r="14" spans="2:15" ht="16.2" x14ac:dyDescent="0.25">
      <c r="B14" s="1" t="s">
        <v>36</v>
      </c>
      <c r="C14" s="1">
        <v>9817</v>
      </c>
      <c r="D14" s="9">
        <v>0.35099999999999998</v>
      </c>
      <c r="E14" s="1">
        <v>4583</v>
      </c>
      <c r="F14" s="9">
        <v>0.33400000000000002</v>
      </c>
      <c r="G14" s="1">
        <v>5234</v>
      </c>
      <c r="H14" s="9">
        <v>0.36699999999999999</v>
      </c>
    </row>
    <row r="15" spans="2:15" ht="16.2" x14ac:dyDescent="0.25">
      <c r="B15" s="1" t="s">
        <v>37</v>
      </c>
      <c r="C15" s="1">
        <v>18171</v>
      </c>
      <c r="D15" s="9">
        <v>0.64900000000000002</v>
      </c>
      <c r="E15" s="1">
        <v>9146</v>
      </c>
      <c r="F15" s="9">
        <v>0.66600000000000004</v>
      </c>
      <c r="G15" s="1">
        <v>9025</v>
      </c>
      <c r="H15" s="9">
        <v>0.63300000000000001</v>
      </c>
    </row>
    <row r="16" spans="2:15" ht="16.2" x14ac:dyDescent="0.25">
      <c r="B16" s="1" t="s">
        <v>38</v>
      </c>
      <c r="C16" s="1">
        <v>501</v>
      </c>
      <c r="D16" s="9">
        <v>0.33</v>
      </c>
      <c r="E16" s="1">
        <v>147</v>
      </c>
      <c r="F16" s="9">
        <v>0.33900000000000002</v>
      </c>
      <c r="G16" s="1">
        <v>354</v>
      </c>
      <c r="H16" s="9">
        <v>0.32700000000000001</v>
      </c>
    </row>
    <row r="17" spans="1:8" ht="16.2" x14ac:dyDescent="0.25">
      <c r="B17" s="1" t="s">
        <v>39</v>
      </c>
      <c r="C17" s="1">
        <v>1017</v>
      </c>
      <c r="D17" s="9">
        <v>0.67</v>
      </c>
      <c r="E17" s="1">
        <v>287</v>
      </c>
      <c r="F17" s="9">
        <v>0.66100000000000003</v>
      </c>
      <c r="G17" s="1">
        <v>730</v>
      </c>
      <c r="H17" s="9">
        <v>0.67300000000000004</v>
      </c>
    </row>
    <row r="18" spans="1:8" ht="15.6" x14ac:dyDescent="0.25">
      <c r="B18" s="4" t="s">
        <v>40</v>
      </c>
      <c r="C18" s="1"/>
      <c r="D18" s="9"/>
      <c r="E18" s="1"/>
      <c r="F18" s="9"/>
      <c r="G18" s="1"/>
      <c r="H18" s="9"/>
    </row>
    <row r="19" spans="1:8" ht="15.6" x14ac:dyDescent="0.25">
      <c r="A19" t="s">
        <v>2</v>
      </c>
      <c r="B19" s="5" t="s">
        <v>41</v>
      </c>
      <c r="C19" s="1"/>
      <c r="D19" s="9"/>
      <c r="E19" s="1"/>
      <c r="F19" s="9"/>
      <c r="G19" s="1"/>
      <c r="H19" s="9"/>
    </row>
    <row r="20" spans="1:8" ht="16.2" x14ac:dyDescent="0.25">
      <c r="B20" s="1" t="s">
        <v>42</v>
      </c>
      <c r="C20" s="1">
        <v>13793</v>
      </c>
      <c r="D20" s="9">
        <v>0.51800000000000002</v>
      </c>
      <c r="E20" s="1">
        <v>7110</v>
      </c>
      <c r="F20" s="9">
        <v>0.56999999999999995</v>
      </c>
      <c r="G20" s="1">
        <v>6683</v>
      </c>
      <c r="H20" s="9">
        <v>0.47299999999999998</v>
      </c>
    </row>
    <row r="21" spans="1:8" ht="16.2" x14ac:dyDescent="0.25">
      <c r="B21" s="1" t="s">
        <v>43</v>
      </c>
      <c r="C21" s="1">
        <v>12820</v>
      </c>
      <c r="D21" s="9">
        <v>0.48199999999999998</v>
      </c>
      <c r="E21" s="1">
        <v>5363</v>
      </c>
      <c r="F21" s="9">
        <v>0.43</v>
      </c>
      <c r="G21" s="1">
        <v>7457</v>
      </c>
      <c r="H21" s="9">
        <v>0.52700000000000002</v>
      </c>
    </row>
    <row r="22" spans="1:8" ht="15.6" x14ac:dyDescent="0.25">
      <c r="B22" s="5" t="s">
        <v>44</v>
      </c>
      <c r="C22" s="1"/>
      <c r="D22" s="9"/>
      <c r="E22" s="1"/>
      <c r="F22" s="9"/>
      <c r="G22" s="1"/>
      <c r="H22" s="9"/>
    </row>
    <row r="23" spans="1:8" ht="16.2" x14ac:dyDescent="0.25">
      <c r="B23" s="1" t="s">
        <v>45</v>
      </c>
      <c r="C23" s="10">
        <v>53.358609999999999</v>
      </c>
      <c r="D23" s="10">
        <v>13.126099999999999</v>
      </c>
      <c r="E23" s="10">
        <v>67.408060000000006</v>
      </c>
      <c r="F23" s="10">
        <v>4.7406769999999998</v>
      </c>
      <c r="G23" s="10">
        <v>45.21902</v>
      </c>
      <c r="H23" s="10">
        <v>8.8588190000000004</v>
      </c>
    </row>
    <row r="24" spans="1:8" ht="16.2" x14ac:dyDescent="0.25">
      <c r="B24" s="1" t="s">
        <v>46</v>
      </c>
      <c r="C24" s="10">
        <v>53.633270000000003</v>
      </c>
      <c r="D24" s="10">
        <v>14.30416</v>
      </c>
      <c r="E24" s="10">
        <v>69.483699999999999</v>
      </c>
      <c r="F24" s="10">
        <v>6.626544</v>
      </c>
      <c r="G24" s="10">
        <v>44.973840000000003</v>
      </c>
      <c r="H24" s="10">
        <v>8.9529219999999992</v>
      </c>
    </row>
    <row r="25" spans="1:8" ht="15.6" x14ac:dyDescent="0.25">
      <c r="B25" s="5" t="s">
        <v>47</v>
      </c>
      <c r="C25" s="1"/>
      <c r="D25" s="9"/>
      <c r="E25" s="1"/>
      <c r="F25" s="9"/>
      <c r="G25" s="1"/>
      <c r="H25" s="9"/>
    </row>
    <row r="26" spans="1:8" ht="16.2" x14ac:dyDescent="0.3">
      <c r="B26" s="6" t="s">
        <v>48</v>
      </c>
      <c r="C26" s="1">
        <v>13389</v>
      </c>
      <c r="D26" s="9">
        <v>0.48099999999999998</v>
      </c>
      <c r="E26" s="1">
        <v>7002</v>
      </c>
      <c r="F26" s="9">
        <v>0.51300000000000001</v>
      </c>
      <c r="G26" s="1">
        <v>6387</v>
      </c>
      <c r="H26" s="9">
        <v>0.45</v>
      </c>
    </row>
    <row r="27" spans="1:8" ht="16.2" x14ac:dyDescent="0.3">
      <c r="B27" s="6" t="s">
        <v>49</v>
      </c>
      <c r="C27" s="1">
        <v>14452</v>
      </c>
      <c r="D27" s="9">
        <v>0.51900000000000002</v>
      </c>
      <c r="E27" s="1">
        <v>6638</v>
      </c>
      <c r="F27" s="9">
        <v>0.48699999999999999</v>
      </c>
      <c r="G27" s="1">
        <v>7814</v>
      </c>
      <c r="H27" s="9">
        <v>0.55000000000000004</v>
      </c>
    </row>
    <row r="28" spans="1:8" ht="16.2" x14ac:dyDescent="0.3">
      <c r="B28" s="7" t="s">
        <v>50</v>
      </c>
      <c r="C28" s="1"/>
      <c r="D28" s="9"/>
      <c r="E28" s="1"/>
      <c r="F28" s="9"/>
      <c r="G28" s="1"/>
      <c r="H28" s="9"/>
    </row>
    <row r="29" spans="1:8" ht="16.2" x14ac:dyDescent="0.3">
      <c r="B29" s="6" t="s">
        <v>51</v>
      </c>
      <c r="C29" s="1">
        <v>4199</v>
      </c>
      <c r="D29" s="9">
        <v>0.185</v>
      </c>
      <c r="E29" s="1">
        <v>2006</v>
      </c>
      <c r="F29" s="9">
        <v>0.2</v>
      </c>
      <c r="G29" s="1">
        <v>2193</v>
      </c>
      <c r="H29" s="9">
        <v>0.17299999999999999</v>
      </c>
    </row>
    <row r="30" spans="1:8" ht="16.2" x14ac:dyDescent="0.3">
      <c r="B30" s="6" t="s">
        <v>52</v>
      </c>
      <c r="C30" s="1">
        <v>15211</v>
      </c>
      <c r="D30" s="9">
        <v>0.67</v>
      </c>
      <c r="E30" s="1">
        <v>6633</v>
      </c>
      <c r="F30" s="9">
        <v>0.66300000000000003</v>
      </c>
      <c r="G30" s="1">
        <v>8578</v>
      </c>
      <c r="H30" s="9">
        <v>0.67600000000000005</v>
      </c>
    </row>
    <row r="31" spans="1:8" ht="16.2" x14ac:dyDescent="0.3">
      <c r="B31" s="6" t="s">
        <v>53</v>
      </c>
      <c r="C31" s="1">
        <v>3288</v>
      </c>
      <c r="D31" s="9">
        <v>0.14499999999999999</v>
      </c>
      <c r="E31" s="1">
        <v>1372</v>
      </c>
      <c r="F31" s="9">
        <v>0.13700000000000001</v>
      </c>
      <c r="G31" s="1">
        <v>1916</v>
      </c>
      <c r="H31" s="9">
        <v>0.151</v>
      </c>
    </row>
    <row r="32" spans="1:8" ht="16.2" x14ac:dyDescent="0.3">
      <c r="B32" s="7" t="s">
        <v>54</v>
      </c>
      <c r="C32" s="1"/>
      <c r="D32" s="9"/>
      <c r="E32" s="1"/>
      <c r="F32" s="9"/>
      <c r="G32" s="1"/>
      <c r="H32" s="9"/>
    </row>
    <row r="33" spans="2:8" ht="15.6" x14ac:dyDescent="0.3">
      <c r="B33" s="6" t="s">
        <v>3</v>
      </c>
      <c r="C33" s="1">
        <v>4827</v>
      </c>
      <c r="D33" s="9">
        <v>0.17199999999999999</v>
      </c>
      <c r="E33" s="1">
        <v>3154</v>
      </c>
      <c r="F33" s="9">
        <v>0.23</v>
      </c>
      <c r="G33" s="1">
        <v>1673</v>
      </c>
      <c r="H33" s="9">
        <v>0.11700000000000001</v>
      </c>
    </row>
    <row r="34" spans="2:8" ht="15.6" x14ac:dyDescent="0.3">
      <c r="B34" s="6" t="s">
        <v>4</v>
      </c>
      <c r="C34" s="1">
        <v>7378</v>
      </c>
      <c r="D34" s="9">
        <v>0.26400000000000001</v>
      </c>
      <c r="E34" s="1">
        <v>2845</v>
      </c>
      <c r="F34" s="9">
        <v>0.20699999999999999</v>
      </c>
      <c r="G34" s="1">
        <v>4533</v>
      </c>
      <c r="H34" s="9">
        <v>0.318</v>
      </c>
    </row>
    <row r="35" spans="2:8" ht="15.6" x14ac:dyDescent="0.3">
      <c r="B35" s="6" t="s">
        <v>5</v>
      </c>
      <c r="C35" s="1">
        <v>4822</v>
      </c>
      <c r="D35" s="9">
        <v>0.17199999999999999</v>
      </c>
      <c r="E35" s="1">
        <v>1926</v>
      </c>
      <c r="F35" s="9">
        <v>0.14000000000000001</v>
      </c>
      <c r="G35" s="1">
        <v>2896</v>
      </c>
      <c r="H35" s="9">
        <v>0.20300000000000001</v>
      </c>
    </row>
    <row r="36" spans="2:8" ht="15.6" x14ac:dyDescent="0.3">
      <c r="B36" s="6" t="s">
        <v>6</v>
      </c>
      <c r="C36" s="1">
        <v>3365</v>
      </c>
      <c r="D36" s="9">
        <v>0.12</v>
      </c>
      <c r="E36" s="1">
        <v>1316</v>
      </c>
      <c r="F36" s="9">
        <v>9.6000000000000002E-2</v>
      </c>
      <c r="G36" s="1">
        <v>2049</v>
      </c>
      <c r="H36" s="9">
        <v>0.14399999999999999</v>
      </c>
    </row>
    <row r="37" spans="2:8" ht="15.6" x14ac:dyDescent="0.3">
      <c r="B37" s="6" t="s">
        <v>7</v>
      </c>
      <c r="C37" s="1">
        <v>1440</v>
      </c>
      <c r="D37" s="9">
        <v>5.0999999999999997E-2</v>
      </c>
      <c r="E37" s="1">
        <v>599</v>
      </c>
      <c r="F37" s="9">
        <v>4.3999999999999997E-2</v>
      </c>
      <c r="G37" s="1">
        <v>841</v>
      </c>
      <c r="H37" s="9">
        <v>5.8999999999999997E-2</v>
      </c>
    </row>
    <row r="38" spans="2:8" ht="15.6" x14ac:dyDescent="0.3">
      <c r="B38" s="6" t="s">
        <v>8</v>
      </c>
      <c r="C38" s="1">
        <v>819</v>
      </c>
      <c r="D38" s="9">
        <v>2.9000000000000001E-2</v>
      </c>
      <c r="E38" s="1">
        <v>296</v>
      </c>
      <c r="F38" s="9">
        <v>2.1999999999999999E-2</v>
      </c>
      <c r="G38" s="1">
        <v>523</v>
      </c>
      <c r="H38" s="9">
        <v>3.6999999999999998E-2</v>
      </c>
    </row>
    <row r="39" spans="2:8" ht="15.6" x14ac:dyDescent="0.3">
      <c r="B39" s="6" t="s">
        <v>9</v>
      </c>
      <c r="C39" s="1">
        <v>5337</v>
      </c>
      <c r="D39" s="9">
        <v>0.191</v>
      </c>
      <c r="E39" s="1">
        <v>3593</v>
      </c>
      <c r="F39" s="9">
        <v>0.26200000000000001</v>
      </c>
      <c r="G39" s="1">
        <v>1744</v>
      </c>
      <c r="H39" s="9">
        <v>0.122</v>
      </c>
    </row>
    <row r="40" spans="2:8" ht="16.2" x14ac:dyDescent="0.3">
      <c r="B40" s="7" t="s">
        <v>55</v>
      </c>
      <c r="C40" s="1"/>
      <c r="D40" s="9"/>
      <c r="E40" s="1"/>
      <c r="F40" s="9"/>
      <c r="G40" s="1"/>
      <c r="H40" s="9"/>
    </row>
    <row r="41" spans="2:8" ht="16.2" x14ac:dyDescent="0.25">
      <c r="B41" s="1" t="s">
        <v>56</v>
      </c>
      <c r="C41" s="1">
        <v>2708</v>
      </c>
      <c r="D41" s="9">
        <v>9.7000000000000003E-2</v>
      </c>
      <c r="E41" s="1">
        <v>1656</v>
      </c>
      <c r="F41" s="9">
        <v>0.121</v>
      </c>
      <c r="G41" s="1">
        <v>1052</v>
      </c>
      <c r="H41" s="9">
        <v>7.3999999999999996E-2</v>
      </c>
    </row>
    <row r="42" spans="2:8" ht="16.2" x14ac:dyDescent="0.25">
      <c r="B42" s="1" t="s">
        <v>10</v>
      </c>
      <c r="C42" s="1">
        <v>2966</v>
      </c>
      <c r="D42" s="9">
        <v>0.106</v>
      </c>
      <c r="E42" s="1">
        <v>1015</v>
      </c>
      <c r="F42" s="9">
        <v>7.3999999999999996E-2</v>
      </c>
      <c r="G42" s="1">
        <v>1951</v>
      </c>
      <c r="H42" s="9">
        <v>0.13700000000000001</v>
      </c>
    </row>
    <row r="43" spans="2:8" ht="16.2" x14ac:dyDescent="0.25">
      <c r="B43" s="1" t="s">
        <v>11</v>
      </c>
      <c r="C43" s="1">
        <v>9196</v>
      </c>
      <c r="D43" s="9">
        <v>0.32900000000000001</v>
      </c>
      <c r="E43" s="1">
        <v>3667</v>
      </c>
      <c r="F43" s="9">
        <v>0.26700000000000002</v>
      </c>
      <c r="G43" s="1">
        <v>5529</v>
      </c>
      <c r="H43" s="9">
        <v>0.38800000000000001</v>
      </c>
    </row>
    <row r="44" spans="2:8" ht="16.2" x14ac:dyDescent="0.25">
      <c r="B44" s="1" t="s">
        <v>12</v>
      </c>
      <c r="C44" s="1">
        <v>7842</v>
      </c>
      <c r="D44" s="9">
        <v>0.28000000000000003</v>
      </c>
      <c r="E44" s="1">
        <v>3712</v>
      </c>
      <c r="F44" s="9">
        <v>0.27</v>
      </c>
      <c r="G44" s="1">
        <v>4130</v>
      </c>
      <c r="H44" s="9">
        <v>0.28999999999999998</v>
      </c>
    </row>
    <row r="45" spans="2:8" ht="16.2" x14ac:dyDescent="0.25">
      <c r="B45" s="1" t="s">
        <v>13</v>
      </c>
      <c r="C45" s="1">
        <v>3451</v>
      </c>
      <c r="D45" s="9">
        <v>0.123</v>
      </c>
      <c r="E45" s="1">
        <v>2256</v>
      </c>
      <c r="F45" s="9">
        <v>0.16400000000000001</v>
      </c>
      <c r="G45" s="1">
        <v>1195</v>
      </c>
      <c r="H45" s="9">
        <v>8.4000000000000005E-2</v>
      </c>
    </row>
    <row r="46" spans="2:8" ht="16.2" x14ac:dyDescent="0.25">
      <c r="B46" s="1" t="s">
        <v>14</v>
      </c>
      <c r="C46" s="1">
        <v>1825</v>
      </c>
      <c r="D46" s="9">
        <v>6.5000000000000002E-2</v>
      </c>
      <c r="E46" s="1">
        <v>1423</v>
      </c>
      <c r="F46" s="9">
        <v>0.104</v>
      </c>
      <c r="G46" s="1">
        <v>402</v>
      </c>
      <c r="H46" s="9">
        <v>2.8000000000000001E-2</v>
      </c>
    </row>
    <row r="47" spans="2:8" ht="15.6" x14ac:dyDescent="0.25">
      <c r="B47" s="5" t="s">
        <v>57</v>
      </c>
      <c r="C47" s="1"/>
      <c r="D47" s="9"/>
      <c r="E47" s="1"/>
      <c r="F47" s="9"/>
      <c r="G47" s="1"/>
      <c r="H47" s="9"/>
    </row>
    <row r="48" spans="2:8" ht="15.6" x14ac:dyDescent="0.25">
      <c r="B48" s="5" t="s">
        <v>58</v>
      </c>
      <c r="C48" s="1"/>
      <c r="D48" s="9"/>
      <c r="E48" s="1"/>
      <c r="F48" s="9"/>
      <c r="G48" s="1"/>
      <c r="H48" s="9"/>
    </row>
    <row r="49" spans="2:8" ht="16.2" x14ac:dyDescent="0.3">
      <c r="B49" s="6" t="s">
        <v>59</v>
      </c>
      <c r="C49" s="1">
        <v>9325</v>
      </c>
      <c r="D49" s="9">
        <v>0.377</v>
      </c>
      <c r="E49" s="1">
        <v>6192</v>
      </c>
      <c r="F49" s="9">
        <v>0.56799999999999995</v>
      </c>
      <c r="G49" s="1">
        <v>3133</v>
      </c>
      <c r="H49" s="9">
        <v>0.22600000000000001</v>
      </c>
    </row>
    <row r="50" spans="2:8" ht="16.2" x14ac:dyDescent="0.3">
      <c r="B50" s="6" t="s">
        <v>60</v>
      </c>
      <c r="C50" s="1">
        <v>11712</v>
      </c>
      <c r="D50" s="9">
        <v>0.47299999999999998</v>
      </c>
      <c r="E50" s="1">
        <v>3630</v>
      </c>
      <c r="F50" s="9">
        <v>0.33300000000000002</v>
      </c>
      <c r="G50" s="1">
        <v>8082</v>
      </c>
      <c r="H50" s="9">
        <v>0.58399999999999996</v>
      </c>
    </row>
    <row r="51" spans="2:8" ht="16.2" x14ac:dyDescent="0.3">
      <c r="B51" s="6" t="s">
        <v>61</v>
      </c>
      <c r="C51" s="1">
        <v>3700</v>
      </c>
      <c r="D51" s="9">
        <v>0.15</v>
      </c>
      <c r="E51" s="1">
        <v>1076</v>
      </c>
      <c r="F51" s="9">
        <v>9.9000000000000005E-2</v>
      </c>
      <c r="G51" s="1">
        <v>2624</v>
      </c>
      <c r="H51" s="9">
        <v>0.19</v>
      </c>
    </row>
    <row r="52" spans="2:8" ht="31.2" x14ac:dyDescent="0.25">
      <c r="B52" s="5" t="s">
        <v>62</v>
      </c>
      <c r="C52" s="1"/>
      <c r="D52" s="9"/>
      <c r="E52" s="1"/>
      <c r="F52" s="9"/>
      <c r="G52" s="1"/>
      <c r="H52" s="9"/>
    </row>
    <row r="53" spans="2:8" ht="16.2" x14ac:dyDescent="0.3">
      <c r="B53" s="6" t="s">
        <v>59</v>
      </c>
      <c r="C53" s="1">
        <v>8535</v>
      </c>
      <c r="D53" s="9">
        <v>0.35</v>
      </c>
      <c r="E53" s="1">
        <v>5732</v>
      </c>
      <c r="F53" s="9">
        <v>0.53300000000000003</v>
      </c>
      <c r="G53" s="1">
        <v>2803</v>
      </c>
      <c r="H53" s="9">
        <v>0.20599999999999999</v>
      </c>
    </row>
    <row r="54" spans="2:8" ht="16.2" x14ac:dyDescent="0.3">
      <c r="B54" s="6" t="s">
        <v>60</v>
      </c>
      <c r="C54" s="1">
        <v>12245</v>
      </c>
      <c r="D54" s="9">
        <v>0.502</v>
      </c>
      <c r="E54" s="1">
        <v>3851</v>
      </c>
      <c r="F54" s="9">
        <v>0.35799999999999998</v>
      </c>
      <c r="G54" s="1">
        <v>8394</v>
      </c>
      <c r="H54" s="9">
        <v>0.61699999999999999</v>
      </c>
    </row>
    <row r="55" spans="2:8" ht="16.2" x14ac:dyDescent="0.3">
      <c r="B55" s="6" t="s">
        <v>61</v>
      </c>
      <c r="C55" s="1">
        <v>3591</v>
      </c>
      <c r="D55" s="9">
        <v>0.14699999999999999</v>
      </c>
      <c r="E55" s="1">
        <v>1176</v>
      </c>
      <c r="F55" s="9">
        <v>0.109</v>
      </c>
      <c r="G55" s="1">
        <v>2415</v>
      </c>
      <c r="H55" s="9">
        <v>0.17699999999999999</v>
      </c>
    </row>
    <row r="56" spans="2:8" ht="16.2" x14ac:dyDescent="0.3">
      <c r="B56" s="7" t="s">
        <v>63</v>
      </c>
      <c r="C56" s="1"/>
      <c r="D56" s="9"/>
      <c r="E56" s="1"/>
      <c r="F56" s="9"/>
      <c r="G56" s="1"/>
      <c r="H56" s="9"/>
    </row>
    <row r="57" spans="2:8" ht="16.2" x14ac:dyDescent="0.3">
      <c r="B57" s="6" t="s">
        <v>64</v>
      </c>
      <c r="C57" s="1">
        <v>16162</v>
      </c>
      <c r="D57" s="9">
        <v>0.69199999999999995</v>
      </c>
      <c r="E57" s="1">
        <v>7631</v>
      </c>
      <c r="F57" s="9">
        <v>0.77600000000000002</v>
      </c>
      <c r="G57" s="1">
        <v>8531</v>
      </c>
      <c r="H57" s="9">
        <v>0.63100000000000001</v>
      </c>
    </row>
    <row r="58" spans="2:8" ht="16.2" x14ac:dyDescent="0.3">
      <c r="B58" s="6" t="s">
        <v>65</v>
      </c>
      <c r="C58" s="1">
        <v>3016</v>
      </c>
      <c r="D58" s="9">
        <v>0.129</v>
      </c>
      <c r="E58" s="1">
        <v>982</v>
      </c>
      <c r="F58" s="9">
        <v>0.1</v>
      </c>
      <c r="G58" s="1">
        <v>2034</v>
      </c>
      <c r="H58" s="9">
        <v>0.151</v>
      </c>
    </row>
    <row r="59" spans="2:8" ht="16.2" x14ac:dyDescent="0.3">
      <c r="B59" s="6" t="s">
        <v>66</v>
      </c>
      <c r="C59" s="1">
        <v>3734</v>
      </c>
      <c r="D59" s="9">
        <v>0.16</v>
      </c>
      <c r="E59" s="1">
        <v>1011</v>
      </c>
      <c r="F59" s="9">
        <v>0.10299999999999999</v>
      </c>
      <c r="G59" s="1">
        <v>2723</v>
      </c>
      <c r="H59" s="9">
        <v>0.20200000000000001</v>
      </c>
    </row>
    <row r="60" spans="2:8" ht="16.2" x14ac:dyDescent="0.25">
      <c r="B60" s="1" t="s">
        <v>67</v>
      </c>
      <c r="C60" s="1">
        <v>432</v>
      </c>
      <c r="D60" s="9">
        <v>1.9E-2</v>
      </c>
      <c r="E60" s="1">
        <v>208</v>
      </c>
      <c r="F60" s="9">
        <v>2.1000000000000001E-2</v>
      </c>
      <c r="G60" s="1">
        <v>224</v>
      </c>
      <c r="H60" s="9">
        <v>1.7000000000000001E-2</v>
      </c>
    </row>
    <row r="61" spans="2:8" ht="16.2" x14ac:dyDescent="0.3">
      <c r="B61" s="7" t="s">
        <v>68</v>
      </c>
      <c r="C61" s="1"/>
      <c r="D61" s="9"/>
      <c r="E61" s="1"/>
      <c r="F61" s="9"/>
      <c r="G61" s="1"/>
      <c r="H61" s="9"/>
    </row>
    <row r="62" spans="2:8" ht="16.2" x14ac:dyDescent="0.3">
      <c r="B62" s="6" t="s">
        <v>69</v>
      </c>
      <c r="C62" s="1">
        <v>6502</v>
      </c>
      <c r="D62" s="9">
        <v>0.27900000000000003</v>
      </c>
      <c r="E62" s="1">
        <v>1819</v>
      </c>
      <c r="F62" s="9">
        <v>0.185</v>
      </c>
      <c r="G62" s="1">
        <v>4683</v>
      </c>
      <c r="H62" s="9">
        <v>0.34699999999999998</v>
      </c>
    </row>
    <row r="63" spans="2:8" ht="16.2" x14ac:dyDescent="0.3">
      <c r="B63" s="6" t="s">
        <v>70</v>
      </c>
      <c r="C63" s="1">
        <v>330</v>
      </c>
      <c r="D63" s="9">
        <v>1.4E-2</v>
      </c>
      <c r="E63" s="1">
        <v>46</v>
      </c>
      <c r="F63" s="9">
        <v>5.0000000000000001E-3</v>
      </c>
      <c r="G63" s="1">
        <v>284</v>
      </c>
      <c r="H63" s="9">
        <v>2.1000000000000001E-2</v>
      </c>
    </row>
    <row r="64" spans="2:8" ht="16.2" x14ac:dyDescent="0.3">
      <c r="B64" s="6" t="s">
        <v>71</v>
      </c>
      <c r="C64" s="1">
        <v>16477</v>
      </c>
      <c r="D64" s="9">
        <v>0.70699999999999996</v>
      </c>
      <c r="E64" s="1">
        <v>7956</v>
      </c>
      <c r="F64" s="9">
        <v>0.81</v>
      </c>
      <c r="G64" s="1">
        <v>8521</v>
      </c>
      <c r="H64" s="9">
        <v>0.63200000000000001</v>
      </c>
    </row>
    <row r="65" spans="2:8" ht="16.2" x14ac:dyDescent="0.3">
      <c r="B65" s="6" t="s">
        <v>72</v>
      </c>
      <c r="C65" s="1">
        <v>6</v>
      </c>
      <c r="D65" s="9">
        <v>0</v>
      </c>
      <c r="E65" s="1">
        <v>2</v>
      </c>
      <c r="F65" s="9">
        <v>0</v>
      </c>
      <c r="G65" s="1">
        <v>4</v>
      </c>
      <c r="H65" s="9">
        <v>0</v>
      </c>
    </row>
    <row r="66" spans="2:8" ht="16.2" x14ac:dyDescent="0.3">
      <c r="B66" s="7" t="s">
        <v>73</v>
      </c>
      <c r="C66" s="11">
        <v>43.117440000000002</v>
      </c>
      <c r="D66" s="11">
        <v>33.003160000000001</v>
      </c>
      <c r="E66" s="11">
        <v>44.586109999999998</v>
      </c>
      <c r="F66" s="11">
        <v>38.645029999999998</v>
      </c>
      <c r="G66" s="11">
        <v>42.080730000000003</v>
      </c>
      <c r="H66" s="11">
        <v>28.308399999999999</v>
      </c>
    </row>
    <row r="67" spans="2:8" ht="15.6" x14ac:dyDescent="0.25">
      <c r="B67" s="8" t="s">
        <v>74</v>
      </c>
      <c r="C67" s="47">
        <v>27988</v>
      </c>
      <c r="D67" s="47"/>
      <c r="E67" s="47">
        <v>13729</v>
      </c>
      <c r="F67" s="47"/>
      <c r="G67" s="47">
        <v>14259</v>
      </c>
      <c r="H67" s="47"/>
    </row>
  </sheetData>
  <mergeCells count="11">
    <mergeCell ref="B1:B2"/>
    <mergeCell ref="I1:I2"/>
    <mergeCell ref="J1:K1"/>
    <mergeCell ref="L1:M1"/>
    <mergeCell ref="N1:O1"/>
    <mergeCell ref="C67:D67"/>
    <mergeCell ref="E67:F67"/>
    <mergeCell ref="G67:H67"/>
    <mergeCell ref="C1:D1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CD435-EFF4-48B3-B75D-2207D6E5BAC9}">
  <dimension ref="A1:I74"/>
  <sheetViews>
    <sheetView topLeftCell="A25" zoomScale="85" zoomScaleNormal="85" workbookViewId="0">
      <selection activeCell="L21" sqref="L21"/>
    </sheetView>
  </sheetViews>
  <sheetFormatPr defaultRowHeight="13.8" x14ac:dyDescent="0.25"/>
  <cols>
    <col min="1" max="1" width="3.33203125" customWidth="1"/>
    <col min="2" max="2" width="4.109375" hidden="1" customWidth="1"/>
    <col min="3" max="4" width="8.88671875" hidden="1" customWidth="1"/>
    <col min="5" max="5" width="34.88671875" style="18" customWidth="1"/>
    <col min="6" max="7" width="8.88671875" style="24"/>
    <col min="8" max="8" width="11.33203125" style="24" customWidth="1"/>
    <col min="9" max="9" width="8.88671875" style="24"/>
  </cols>
  <sheetData>
    <row r="1" spans="1:9" x14ac:dyDescent="0.25">
      <c r="E1" s="56" t="s">
        <v>201</v>
      </c>
      <c r="F1" s="55" t="s">
        <v>170</v>
      </c>
      <c r="G1" s="55"/>
      <c r="H1" s="55" t="s">
        <v>171</v>
      </c>
      <c r="I1" s="55"/>
    </row>
    <row r="2" spans="1:9" ht="15.6" x14ac:dyDescent="0.25">
      <c r="A2" s="12"/>
      <c r="B2" s="12"/>
      <c r="C2" s="12"/>
      <c r="D2" s="12"/>
      <c r="E2" s="57"/>
      <c r="F2" s="31" t="s">
        <v>168</v>
      </c>
      <c r="G2" s="31" t="s">
        <v>169</v>
      </c>
      <c r="H2" s="31" t="s">
        <v>168</v>
      </c>
      <c r="I2" s="31" t="s">
        <v>169</v>
      </c>
    </row>
    <row r="3" spans="1:9" ht="15.6" x14ac:dyDescent="0.25">
      <c r="A3" s="12"/>
      <c r="B3" s="12"/>
      <c r="C3" s="12"/>
      <c r="D3" s="12"/>
      <c r="E3" s="20" t="s">
        <v>158</v>
      </c>
      <c r="F3" s="14"/>
      <c r="G3" s="14"/>
      <c r="H3" s="14"/>
      <c r="I3" s="14"/>
    </row>
    <row r="4" spans="1:9" ht="15.6" x14ac:dyDescent="0.25">
      <c r="A4" s="12"/>
      <c r="B4" s="12"/>
      <c r="C4" s="12"/>
      <c r="D4" s="12"/>
      <c r="E4" s="15" t="s">
        <v>163</v>
      </c>
      <c r="F4" s="14"/>
      <c r="G4" s="14"/>
    </row>
    <row r="5" spans="1:9" ht="15.6" x14ac:dyDescent="0.25">
      <c r="A5" s="12"/>
      <c r="B5" s="12"/>
      <c r="C5" s="12"/>
      <c r="D5" s="12"/>
      <c r="E5" s="15" t="s">
        <v>79</v>
      </c>
      <c r="F5" s="14">
        <v>0.10199999999999999</v>
      </c>
      <c r="G5" s="14"/>
      <c r="H5" s="24" t="s">
        <v>81</v>
      </c>
    </row>
    <row r="6" spans="1:9" ht="15.6" x14ac:dyDescent="0.25">
      <c r="A6" s="12"/>
      <c r="B6" s="12"/>
      <c r="C6" s="12"/>
      <c r="D6" s="12"/>
      <c r="E6" s="19" t="s">
        <v>81</v>
      </c>
      <c r="F6" s="14" t="s">
        <v>83</v>
      </c>
      <c r="G6" s="14"/>
      <c r="H6" s="24" t="s">
        <v>81</v>
      </c>
    </row>
    <row r="7" spans="1:9" ht="15.6" x14ac:dyDescent="0.25">
      <c r="A7" s="12"/>
      <c r="B7" s="12"/>
      <c r="C7" s="12"/>
      <c r="D7" s="12"/>
      <c r="E7" s="15" t="s">
        <v>80</v>
      </c>
      <c r="F7" s="14"/>
      <c r="G7" s="14"/>
      <c r="H7" s="24" t="s">
        <v>142</v>
      </c>
    </row>
    <row r="8" spans="1:9" ht="15.6" x14ac:dyDescent="0.25">
      <c r="A8" s="12"/>
      <c r="B8" s="12"/>
      <c r="C8" s="12"/>
      <c r="D8" s="12"/>
      <c r="E8" s="19"/>
      <c r="F8" s="14"/>
      <c r="G8" s="14"/>
      <c r="H8" s="24" t="s">
        <v>140</v>
      </c>
    </row>
    <row r="9" spans="1:9" ht="15.6" x14ac:dyDescent="0.25">
      <c r="A9" s="12"/>
      <c r="B9" s="12"/>
      <c r="C9" s="12"/>
      <c r="D9" s="12"/>
      <c r="E9" s="20" t="s">
        <v>159</v>
      </c>
      <c r="F9" s="14"/>
      <c r="G9" s="14"/>
    </row>
    <row r="10" spans="1:9" ht="15.6" x14ac:dyDescent="0.25">
      <c r="A10" s="12"/>
      <c r="B10" s="12"/>
      <c r="C10" s="12"/>
      <c r="D10" s="12"/>
      <c r="E10" s="15" t="s">
        <v>156</v>
      </c>
      <c r="F10" s="14" t="s">
        <v>84</v>
      </c>
      <c r="G10" s="14"/>
      <c r="H10" s="24" t="s">
        <v>85</v>
      </c>
    </row>
    <row r="11" spans="1:9" ht="15.6" x14ac:dyDescent="0.25">
      <c r="A11" s="12"/>
      <c r="B11" s="12"/>
      <c r="C11" s="12"/>
      <c r="D11" s="12"/>
      <c r="E11" s="19" t="s">
        <v>81</v>
      </c>
      <c r="F11" s="14" t="s">
        <v>86</v>
      </c>
      <c r="G11" s="14"/>
      <c r="H11" s="24" t="s">
        <v>87</v>
      </c>
    </row>
    <row r="12" spans="1:9" ht="15.6" x14ac:dyDescent="0.25">
      <c r="A12" s="12"/>
      <c r="B12" s="12"/>
      <c r="C12" s="12"/>
      <c r="D12" s="12"/>
      <c r="E12" s="15" t="s">
        <v>157</v>
      </c>
      <c r="F12" s="14" t="s">
        <v>88</v>
      </c>
      <c r="G12" s="14"/>
      <c r="H12" s="24" t="s">
        <v>89</v>
      </c>
    </row>
    <row r="13" spans="1:9" ht="15.6" x14ac:dyDescent="0.25">
      <c r="A13" s="12"/>
      <c r="B13" s="12"/>
      <c r="C13" s="12"/>
      <c r="D13" s="12"/>
      <c r="E13" s="19" t="s">
        <v>81</v>
      </c>
      <c r="F13" s="14" t="s">
        <v>90</v>
      </c>
      <c r="G13" s="14"/>
      <c r="H13" s="24" t="s">
        <v>90</v>
      </c>
    </row>
    <row r="14" spans="1:9" ht="15.6" x14ac:dyDescent="0.25">
      <c r="A14" s="12"/>
      <c r="B14" s="12"/>
      <c r="C14" s="12"/>
      <c r="D14" s="12"/>
      <c r="E14" s="21" t="s">
        <v>178</v>
      </c>
      <c r="F14" s="14"/>
      <c r="G14" s="14"/>
    </row>
    <row r="15" spans="1:9" ht="15.6" x14ac:dyDescent="0.25">
      <c r="A15" s="12"/>
      <c r="B15" s="12"/>
      <c r="C15" s="12"/>
      <c r="D15" s="12"/>
      <c r="E15" s="22" t="s">
        <v>160</v>
      </c>
      <c r="F15" s="14" t="s">
        <v>172</v>
      </c>
      <c r="G15" s="14"/>
      <c r="H15" s="24" t="s">
        <v>173</v>
      </c>
    </row>
    <row r="16" spans="1:9" ht="15.6" x14ac:dyDescent="0.25">
      <c r="A16" s="12"/>
      <c r="B16" s="12"/>
      <c r="C16" s="12"/>
      <c r="D16" s="12"/>
      <c r="E16" s="22"/>
      <c r="F16" s="14" t="s">
        <v>133</v>
      </c>
      <c r="G16" s="14"/>
      <c r="H16" s="24" t="s">
        <v>174</v>
      </c>
    </row>
    <row r="17" spans="1:8" ht="15.6" x14ac:dyDescent="0.25">
      <c r="A17" s="12"/>
      <c r="B17" s="12"/>
      <c r="C17" s="12"/>
      <c r="D17" s="12"/>
      <c r="E17" s="22" t="s">
        <v>161</v>
      </c>
      <c r="F17" s="14" t="s">
        <v>175</v>
      </c>
      <c r="G17" s="14"/>
      <c r="H17" s="24" t="s">
        <v>198</v>
      </c>
    </row>
    <row r="18" spans="1:8" ht="15.6" x14ac:dyDescent="0.25">
      <c r="A18" s="12"/>
      <c r="B18" s="12"/>
      <c r="C18" s="12"/>
      <c r="D18" s="12"/>
      <c r="E18" s="22"/>
      <c r="F18" s="14" t="s">
        <v>101</v>
      </c>
      <c r="G18" s="14"/>
      <c r="H18" s="24" t="s">
        <v>125</v>
      </c>
    </row>
    <row r="19" spans="1:8" ht="15.6" x14ac:dyDescent="0.25">
      <c r="A19" s="12"/>
      <c r="B19" s="12"/>
      <c r="C19" s="12"/>
      <c r="D19" s="12"/>
      <c r="E19" s="22" t="s">
        <v>162</v>
      </c>
      <c r="F19" s="14" t="s">
        <v>176</v>
      </c>
      <c r="G19" s="14"/>
      <c r="H19" s="24" t="s">
        <v>177</v>
      </c>
    </row>
    <row r="20" spans="1:8" ht="15.6" x14ac:dyDescent="0.25">
      <c r="A20" s="12"/>
      <c r="B20" s="12"/>
      <c r="C20" s="12"/>
      <c r="D20" s="12"/>
      <c r="E20" s="22"/>
      <c r="F20" s="14" t="s">
        <v>101</v>
      </c>
      <c r="G20" s="14"/>
      <c r="H20" s="24" t="s">
        <v>145</v>
      </c>
    </row>
    <row r="21" spans="1:8" ht="31.2" customHeight="1" x14ac:dyDescent="0.25">
      <c r="A21" s="12"/>
      <c r="B21" s="12"/>
      <c r="C21" s="12"/>
      <c r="D21" s="12"/>
      <c r="E21" s="15" t="s">
        <v>164</v>
      </c>
      <c r="F21" s="14"/>
      <c r="G21" s="14"/>
    </row>
    <row r="22" spans="1:8" ht="31.2" customHeight="1" x14ac:dyDescent="0.25">
      <c r="A22" s="12"/>
      <c r="B22" s="12"/>
      <c r="C22" s="12"/>
      <c r="D22" s="12"/>
      <c r="E22" s="15" t="s">
        <v>165</v>
      </c>
      <c r="F22" s="14" t="s">
        <v>93</v>
      </c>
      <c r="G22" s="14"/>
      <c r="H22" s="24" t="s">
        <v>94</v>
      </c>
    </row>
    <row r="23" spans="1:8" ht="15.6" x14ac:dyDescent="0.25">
      <c r="A23" s="12"/>
      <c r="B23" s="12"/>
      <c r="C23" s="12"/>
      <c r="D23" s="12"/>
      <c r="E23" s="19" t="s">
        <v>81</v>
      </c>
      <c r="F23" s="14" t="s">
        <v>95</v>
      </c>
      <c r="G23" s="14"/>
      <c r="H23" s="24" t="s">
        <v>96</v>
      </c>
    </row>
    <row r="24" spans="1:8" ht="46.8" customHeight="1" x14ac:dyDescent="0.25">
      <c r="A24" s="12"/>
      <c r="B24" s="12"/>
      <c r="C24" s="12"/>
      <c r="D24" s="12"/>
      <c r="E24" s="15" t="s">
        <v>166</v>
      </c>
      <c r="F24" s="14"/>
      <c r="G24" s="14"/>
    </row>
    <row r="25" spans="1:8" ht="46.8" customHeight="1" x14ac:dyDescent="0.25">
      <c r="A25" s="12"/>
      <c r="B25" s="12"/>
      <c r="C25" s="12"/>
      <c r="D25" s="12"/>
      <c r="E25" s="23" t="s">
        <v>167</v>
      </c>
      <c r="F25" s="14" t="s">
        <v>196</v>
      </c>
      <c r="G25" s="14"/>
      <c r="H25" s="24" t="s">
        <v>97</v>
      </c>
    </row>
    <row r="26" spans="1:8" ht="15.6" x14ac:dyDescent="0.25">
      <c r="A26" s="12"/>
      <c r="B26" s="12"/>
      <c r="C26" s="12"/>
      <c r="D26" s="12"/>
      <c r="E26" s="19" t="s">
        <v>81</v>
      </c>
      <c r="F26" s="14">
        <v>-0.11</v>
      </c>
      <c r="G26" s="14"/>
      <c r="H26" s="24" t="s">
        <v>98</v>
      </c>
    </row>
    <row r="27" spans="1:8" ht="46.8" customHeight="1" x14ac:dyDescent="0.25">
      <c r="A27" s="12"/>
      <c r="B27" s="12"/>
      <c r="C27" s="12"/>
      <c r="D27" s="12"/>
      <c r="E27" s="16" t="s">
        <v>180</v>
      </c>
      <c r="F27" s="14" t="s">
        <v>82</v>
      </c>
      <c r="G27" s="14"/>
      <c r="H27" s="24" t="s">
        <v>82</v>
      </c>
    </row>
    <row r="28" spans="1:8" ht="46.8" customHeight="1" x14ac:dyDescent="0.25">
      <c r="A28" s="12"/>
      <c r="B28" s="12"/>
      <c r="C28" s="12"/>
      <c r="D28" s="12"/>
      <c r="E28" s="17" t="s">
        <v>179</v>
      </c>
      <c r="F28" s="14" t="s">
        <v>99</v>
      </c>
      <c r="G28" s="14"/>
      <c r="H28" s="24" t="s">
        <v>100</v>
      </c>
    </row>
    <row r="29" spans="1:8" ht="15.6" x14ac:dyDescent="0.25">
      <c r="A29" s="12"/>
      <c r="B29" s="12"/>
      <c r="C29" s="12"/>
      <c r="D29" s="12"/>
      <c r="E29" s="19" t="s">
        <v>81</v>
      </c>
      <c r="F29" s="14" t="s">
        <v>101</v>
      </c>
      <c r="G29" s="14"/>
      <c r="H29" s="24" t="s">
        <v>102</v>
      </c>
    </row>
    <row r="30" spans="1:8" ht="46.8" customHeight="1" x14ac:dyDescent="0.25">
      <c r="A30" s="12"/>
      <c r="B30" s="12"/>
      <c r="C30" s="12"/>
      <c r="D30" s="12"/>
      <c r="E30" s="25" t="s">
        <v>181</v>
      </c>
      <c r="F30" s="14">
        <v>0.107</v>
      </c>
      <c r="G30" s="14"/>
      <c r="H30" s="24" t="s">
        <v>197</v>
      </c>
    </row>
    <row r="31" spans="1:8" ht="15.6" x14ac:dyDescent="0.25">
      <c r="A31" s="12"/>
      <c r="B31" s="12"/>
      <c r="C31" s="12"/>
      <c r="D31" s="12"/>
      <c r="E31" s="19" t="s">
        <v>81</v>
      </c>
      <c r="F31" s="14" t="s">
        <v>103</v>
      </c>
      <c r="G31" s="14"/>
      <c r="H31" s="24" t="s">
        <v>104</v>
      </c>
    </row>
    <row r="32" spans="1:8" ht="46.8" customHeight="1" x14ac:dyDescent="0.25">
      <c r="A32" s="12"/>
      <c r="B32" s="12"/>
      <c r="C32" s="12"/>
      <c r="D32" s="12"/>
      <c r="E32" s="15" t="s">
        <v>183</v>
      </c>
      <c r="F32" s="14"/>
      <c r="G32" s="14"/>
    </row>
    <row r="33" spans="1:8" ht="46.8" customHeight="1" x14ac:dyDescent="0.25">
      <c r="A33" s="12"/>
      <c r="B33" s="12"/>
      <c r="C33" s="12"/>
      <c r="D33" s="12"/>
      <c r="E33" s="19" t="s">
        <v>184</v>
      </c>
      <c r="F33" s="14">
        <v>-0.111</v>
      </c>
      <c r="G33" s="14"/>
      <c r="H33" s="24" t="s">
        <v>106</v>
      </c>
    </row>
    <row r="34" spans="1:8" ht="15.6" x14ac:dyDescent="0.25">
      <c r="A34" s="12"/>
      <c r="B34" s="12"/>
      <c r="C34" s="12"/>
      <c r="D34" s="12"/>
      <c r="E34" s="19" t="s">
        <v>81</v>
      </c>
      <c r="F34" s="14" t="s">
        <v>107</v>
      </c>
      <c r="G34" s="14"/>
      <c r="H34" s="24" t="s">
        <v>108</v>
      </c>
    </row>
    <row r="35" spans="1:8" ht="46.8" customHeight="1" x14ac:dyDescent="0.25">
      <c r="A35" s="12"/>
      <c r="B35" s="12"/>
      <c r="C35" s="12"/>
      <c r="D35" s="12"/>
      <c r="E35" s="19" t="s">
        <v>185</v>
      </c>
      <c r="F35" s="14" t="s">
        <v>109</v>
      </c>
      <c r="G35" s="14"/>
      <c r="H35" s="24" t="s">
        <v>110</v>
      </c>
    </row>
    <row r="36" spans="1:8" ht="15.6" x14ac:dyDescent="0.25">
      <c r="A36" s="12"/>
      <c r="B36" s="12"/>
      <c r="C36" s="12"/>
      <c r="D36" s="12"/>
      <c r="E36" s="19" t="s">
        <v>81</v>
      </c>
      <c r="F36" s="14" t="s">
        <v>87</v>
      </c>
      <c r="G36" s="14"/>
      <c r="H36" s="24" t="s">
        <v>105</v>
      </c>
    </row>
    <row r="37" spans="1:8" ht="46.8" customHeight="1" x14ac:dyDescent="0.25">
      <c r="A37" s="12"/>
      <c r="B37" s="12"/>
      <c r="C37" s="12"/>
      <c r="D37" s="12"/>
      <c r="E37" s="19" t="s">
        <v>186</v>
      </c>
      <c r="F37" s="14" t="s">
        <v>111</v>
      </c>
      <c r="G37" s="14"/>
      <c r="H37" s="24" t="s">
        <v>112</v>
      </c>
    </row>
    <row r="38" spans="1:8" ht="15.6" x14ac:dyDescent="0.25">
      <c r="A38" s="12"/>
      <c r="B38" s="12"/>
      <c r="C38" s="12"/>
      <c r="D38" s="12"/>
      <c r="E38" s="19" t="s">
        <v>81</v>
      </c>
      <c r="F38" s="14" t="s">
        <v>113</v>
      </c>
      <c r="G38" s="14"/>
      <c r="H38" s="24" t="s">
        <v>114</v>
      </c>
    </row>
    <row r="39" spans="1:8" ht="46.8" customHeight="1" x14ac:dyDescent="0.25">
      <c r="A39" s="12"/>
      <c r="B39" s="12"/>
      <c r="C39" s="12"/>
      <c r="D39" s="12"/>
      <c r="E39" s="19" t="s">
        <v>187</v>
      </c>
      <c r="F39" s="14" t="s">
        <v>115</v>
      </c>
      <c r="G39" s="14"/>
      <c r="H39" s="24" t="s">
        <v>116</v>
      </c>
    </row>
    <row r="40" spans="1:8" ht="15.6" x14ac:dyDescent="0.25">
      <c r="A40" s="12"/>
      <c r="B40" s="12"/>
      <c r="C40" s="12"/>
      <c r="D40" s="12"/>
      <c r="E40" s="19" t="s">
        <v>81</v>
      </c>
      <c r="F40" s="14" t="s">
        <v>117</v>
      </c>
      <c r="G40" s="14"/>
      <c r="H40" s="24" t="s">
        <v>118</v>
      </c>
    </row>
    <row r="41" spans="1:8" ht="15.6" x14ac:dyDescent="0.25">
      <c r="A41" s="12"/>
      <c r="B41" s="12"/>
      <c r="C41" s="12"/>
      <c r="D41" s="12"/>
      <c r="E41" s="19" t="s">
        <v>188</v>
      </c>
      <c r="F41" s="14" t="s">
        <v>119</v>
      </c>
      <c r="G41" s="14"/>
      <c r="H41" s="24" t="s">
        <v>120</v>
      </c>
    </row>
    <row r="42" spans="1:8" ht="15.6" x14ac:dyDescent="0.25">
      <c r="A42" s="12"/>
      <c r="B42" s="12"/>
      <c r="C42" s="12"/>
      <c r="D42" s="12"/>
      <c r="E42" s="19" t="s">
        <v>81</v>
      </c>
      <c r="F42" s="14" t="s">
        <v>121</v>
      </c>
      <c r="G42" s="14"/>
      <c r="H42" s="24" t="s">
        <v>122</v>
      </c>
    </row>
    <row r="43" spans="1:8" ht="31.8" customHeight="1" thickBot="1" x14ac:dyDescent="0.3">
      <c r="A43" s="13"/>
      <c r="B43" s="13"/>
      <c r="C43" s="13"/>
      <c r="D43" s="13"/>
      <c r="E43" s="26" t="s">
        <v>189</v>
      </c>
      <c r="F43" s="27" t="s">
        <v>82</v>
      </c>
      <c r="G43" s="27"/>
      <c r="H43" s="28" t="s">
        <v>82</v>
      </c>
    </row>
    <row r="44" spans="1:8" ht="31.2" customHeight="1" x14ac:dyDescent="0.25">
      <c r="E44" s="18" t="s">
        <v>190</v>
      </c>
      <c r="F44" s="24" t="s">
        <v>123</v>
      </c>
      <c r="H44" s="24" t="s">
        <v>124</v>
      </c>
    </row>
    <row r="45" spans="1:8" x14ac:dyDescent="0.25">
      <c r="F45" s="24" t="s">
        <v>101</v>
      </c>
      <c r="H45" s="24" t="s">
        <v>125</v>
      </c>
    </row>
    <row r="46" spans="1:8" ht="31.2" customHeight="1" x14ac:dyDescent="0.25">
      <c r="E46" s="18" t="s">
        <v>191</v>
      </c>
      <c r="F46" s="24" t="s">
        <v>126</v>
      </c>
      <c r="H46" s="24" t="s">
        <v>127</v>
      </c>
    </row>
    <row r="47" spans="1:8" x14ac:dyDescent="0.25">
      <c r="E47" s="18" t="s">
        <v>81</v>
      </c>
      <c r="F47" s="24" t="s">
        <v>107</v>
      </c>
      <c r="H47" s="24" t="s">
        <v>108</v>
      </c>
    </row>
    <row r="48" spans="1:8" ht="31.2" customHeight="1" x14ac:dyDescent="0.25">
      <c r="E48" s="26" t="s">
        <v>192</v>
      </c>
      <c r="F48" s="24" t="s">
        <v>82</v>
      </c>
      <c r="H48" s="24" t="s">
        <v>82</v>
      </c>
    </row>
    <row r="49" spans="5:8" x14ac:dyDescent="0.25">
      <c r="E49" s="18" t="s">
        <v>81</v>
      </c>
      <c r="F49" s="24" t="s">
        <v>76</v>
      </c>
      <c r="H49" s="24" t="s">
        <v>76</v>
      </c>
    </row>
    <row r="50" spans="5:8" ht="31.2" customHeight="1" x14ac:dyDescent="0.25">
      <c r="E50" s="18" t="s">
        <v>190</v>
      </c>
      <c r="F50" s="24" t="s">
        <v>128</v>
      </c>
      <c r="H50" s="24" t="s">
        <v>129</v>
      </c>
    </row>
    <row r="51" spans="5:8" x14ac:dyDescent="0.25">
      <c r="F51" s="24" t="s">
        <v>83</v>
      </c>
      <c r="H51" s="24" t="s">
        <v>114</v>
      </c>
    </row>
    <row r="52" spans="5:8" ht="31.2" customHeight="1" x14ac:dyDescent="0.25">
      <c r="E52" s="18" t="s">
        <v>191</v>
      </c>
      <c r="F52" s="24" t="s">
        <v>130</v>
      </c>
      <c r="H52" s="24" t="s">
        <v>131</v>
      </c>
    </row>
    <row r="53" spans="5:8" x14ac:dyDescent="0.25">
      <c r="E53" s="18" t="s">
        <v>81</v>
      </c>
      <c r="F53" s="24" t="s">
        <v>113</v>
      </c>
      <c r="H53" s="24" t="s">
        <v>132</v>
      </c>
    </row>
    <row r="54" spans="5:8" ht="31.2" customHeight="1" x14ac:dyDescent="0.25">
      <c r="E54" s="29" t="s">
        <v>193</v>
      </c>
    </row>
    <row r="55" spans="5:8" ht="14.4" x14ac:dyDescent="0.25">
      <c r="E55" s="16" t="s">
        <v>195</v>
      </c>
    </row>
    <row r="56" spans="5:8" ht="31.2" customHeight="1" x14ac:dyDescent="0.25">
      <c r="E56" s="18" t="s">
        <v>194</v>
      </c>
      <c r="H56" s="30">
        <v>-0.60199999999999998</v>
      </c>
    </row>
    <row r="57" spans="5:8" x14ac:dyDescent="0.25">
      <c r="E57" s="18" t="s">
        <v>81</v>
      </c>
      <c r="H57" s="24" t="s">
        <v>133</v>
      </c>
    </row>
    <row r="58" spans="5:8" x14ac:dyDescent="0.25">
      <c r="E58" s="18" t="s">
        <v>199</v>
      </c>
      <c r="F58" s="24" t="s">
        <v>134</v>
      </c>
      <c r="H58" s="24" t="s">
        <v>135</v>
      </c>
    </row>
    <row r="59" spans="5:8" x14ac:dyDescent="0.25">
      <c r="E59" s="18" t="s">
        <v>81</v>
      </c>
      <c r="F59" s="24" t="s">
        <v>136</v>
      </c>
      <c r="H59" s="24" t="s">
        <v>137</v>
      </c>
    </row>
    <row r="60" spans="5:8" ht="31.2" customHeight="1" x14ac:dyDescent="0.25">
      <c r="E60" s="18" t="s">
        <v>200</v>
      </c>
      <c r="F60" s="24" t="s">
        <v>138</v>
      </c>
      <c r="H60" s="24" t="s">
        <v>139</v>
      </c>
    </row>
    <row r="61" spans="5:8" x14ac:dyDescent="0.25">
      <c r="E61" s="18" t="s">
        <v>81</v>
      </c>
      <c r="F61" s="24" t="s">
        <v>140</v>
      </c>
      <c r="H61" s="24" t="s">
        <v>141</v>
      </c>
    </row>
    <row r="62" spans="5:8" ht="15.6" x14ac:dyDescent="0.25">
      <c r="E62" s="15" t="s">
        <v>202</v>
      </c>
      <c r="F62" s="14">
        <v>2E-3</v>
      </c>
      <c r="G62" s="14"/>
      <c r="H62" s="24" t="s">
        <v>91</v>
      </c>
    </row>
    <row r="63" spans="5:8" ht="15.6" x14ac:dyDescent="0.25">
      <c r="E63" s="19" t="s">
        <v>81</v>
      </c>
      <c r="F63" s="14" t="s">
        <v>90</v>
      </c>
      <c r="G63" s="14"/>
      <c r="H63" s="24" t="s">
        <v>92</v>
      </c>
    </row>
    <row r="64" spans="5:8" x14ac:dyDescent="0.25">
      <c r="E64" s="18" t="s">
        <v>203</v>
      </c>
      <c r="F64" s="24" t="s">
        <v>143</v>
      </c>
      <c r="H64" s="24" t="s">
        <v>144</v>
      </c>
    </row>
    <row r="65" spans="1:9" ht="12.6" customHeight="1" x14ac:dyDescent="0.25">
      <c r="E65" s="32" t="s">
        <v>182</v>
      </c>
      <c r="F65" s="33"/>
      <c r="G65" s="33"/>
      <c r="H65" s="33"/>
      <c r="I65" s="33"/>
    </row>
    <row r="66" spans="1:9" x14ac:dyDescent="0.25">
      <c r="E66" s="34" t="s">
        <v>75</v>
      </c>
      <c r="F66" s="58">
        <v>1526</v>
      </c>
      <c r="G66" s="58"/>
      <c r="H66" s="58" t="s">
        <v>146</v>
      </c>
      <c r="I66" s="58"/>
    </row>
    <row r="67" spans="1:9" x14ac:dyDescent="0.25">
      <c r="E67" s="34" t="s">
        <v>77</v>
      </c>
      <c r="F67" s="58" t="s">
        <v>154</v>
      </c>
      <c r="G67" s="58"/>
      <c r="H67" s="58" t="s">
        <v>155</v>
      </c>
      <c r="I67" s="58"/>
    </row>
    <row r="68" spans="1:9" x14ac:dyDescent="0.25">
      <c r="E68" s="35" t="s">
        <v>78</v>
      </c>
      <c r="F68" s="54" t="s">
        <v>147</v>
      </c>
      <c r="G68" s="54"/>
      <c r="H68" s="54" t="s">
        <v>148</v>
      </c>
      <c r="I68" s="54"/>
    </row>
    <row r="69" spans="1:9" x14ac:dyDescent="0.25">
      <c r="E69" s="18" t="s">
        <v>149</v>
      </c>
    </row>
    <row r="70" spans="1:9" x14ac:dyDescent="0.25">
      <c r="E70" s="18" t="s">
        <v>150</v>
      </c>
    </row>
    <row r="71" spans="1:9" x14ac:dyDescent="0.25">
      <c r="E71" s="18" t="s">
        <v>151</v>
      </c>
      <c r="F71" s="24" t="s">
        <v>152</v>
      </c>
      <c r="G71" s="24" t="s">
        <v>153</v>
      </c>
    </row>
    <row r="73" spans="1:9" ht="15.6" x14ac:dyDescent="0.25">
      <c r="A73" s="12"/>
      <c r="B73" s="12"/>
      <c r="C73" s="12"/>
      <c r="D73" s="12"/>
    </row>
    <row r="74" spans="1:9" ht="15.6" x14ac:dyDescent="0.25">
      <c r="A74" s="12"/>
      <c r="B74" s="12"/>
      <c r="C74" s="12"/>
      <c r="D74" s="12"/>
    </row>
  </sheetData>
  <mergeCells count="9">
    <mergeCell ref="F68:G68"/>
    <mergeCell ref="H68:I68"/>
    <mergeCell ref="F1:G1"/>
    <mergeCell ref="H1:I1"/>
    <mergeCell ref="E1:E2"/>
    <mergeCell ref="F66:G66"/>
    <mergeCell ref="H66:I66"/>
    <mergeCell ref="F67:G67"/>
    <mergeCell ref="H67:I6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B0F38-2C50-4A2B-B641-075C931D32E5}">
  <dimension ref="B1:L72"/>
  <sheetViews>
    <sheetView zoomScale="145" zoomScaleNormal="145" workbookViewId="0">
      <selection activeCell="C35" sqref="C1:I35"/>
    </sheetView>
  </sheetViews>
  <sheetFormatPr defaultRowHeight="13.8" x14ac:dyDescent="0.25"/>
  <cols>
    <col min="2" max="3" width="25.109375" customWidth="1"/>
  </cols>
  <sheetData>
    <row r="1" spans="2:9" x14ac:dyDescent="0.25">
      <c r="C1" s="56" t="s">
        <v>18</v>
      </c>
      <c r="D1" s="61" t="s">
        <v>0</v>
      </c>
      <c r="E1" s="61"/>
      <c r="F1" s="61" t="s">
        <v>16</v>
      </c>
      <c r="G1" s="61" t="s">
        <v>16</v>
      </c>
      <c r="H1" s="61" t="s">
        <v>17</v>
      </c>
      <c r="I1" s="61" t="s">
        <v>17</v>
      </c>
    </row>
    <row r="2" spans="2:9" x14ac:dyDescent="0.25">
      <c r="C2" s="62"/>
      <c r="D2" s="36" t="s">
        <v>232</v>
      </c>
      <c r="E2" s="36" t="s">
        <v>233</v>
      </c>
      <c r="F2" s="36" t="s">
        <v>232</v>
      </c>
      <c r="G2" s="36" t="s">
        <v>233</v>
      </c>
      <c r="H2" s="36" t="s">
        <v>232</v>
      </c>
      <c r="I2" s="36" t="s">
        <v>233</v>
      </c>
    </row>
    <row r="3" spans="2:9" x14ac:dyDescent="0.25">
      <c r="C3" s="57"/>
      <c r="D3" s="37" t="s">
        <v>261</v>
      </c>
      <c r="E3" s="37" t="s">
        <v>261</v>
      </c>
      <c r="F3" s="37" t="s">
        <v>261</v>
      </c>
      <c r="G3" s="37" t="s">
        <v>261</v>
      </c>
      <c r="H3" s="37" t="s">
        <v>261</v>
      </c>
      <c r="I3" s="37" t="s">
        <v>261</v>
      </c>
    </row>
    <row r="4" spans="2:9" x14ac:dyDescent="0.25">
      <c r="C4" s="36" t="s">
        <v>235</v>
      </c>
      <c r="D4" s="36"/>
      <c r="E4" s="36"/>
      <c r="F4" s="36"/>
      <c r="G4" s="36"/>
      <c r="H4" s="36"/>
      <c r="I4" s="36"/>
    </row>
    <row r="5" spans="2:9" x14ac:dyDescent="0.25">
      <c r="B5" t="s">
        <v>204</v>
      </c>
      <c r="C5" s="36" t="s">
        <v>236</v>
      </c>
      <c r="D5" s="36"/>
      <c r="E5" s="36"/>
      <c r="F5" s="36"/>
      <c r="G5" s="36"/>
      <c r="H5" s="36"/>
      <c r="I5" s="36"/>
    </row>
    <row r="6" spans="2:9" x14ac:dyDescent="0.25">
      <c r="C6" s="36" t="s">
        <v>237</v>
      </c>
      <c r="D6" s="36">
        <v>0.41930000000000001</v>
      </c>
      <c r="E6" s="36"/>
      <c r="F6" s="36">
        <v>0.25469999999999998</v>
      </c>
      <c r="G6" s="36"/>
      <c r="H6" s="36">
        <v>0.84330000000000005</v>
      </c>
      <c r="I6" s="36"/>
    </row>
    <row r="7" spans="2:9" x14ac:dyDescent="0.25">
      <c r="B7" t="s">
        <v>234</v>
      </c>
      <c r="C7" s="36" t="s">
        <v>238</v>
      </c>
      <c r="D7" s="36"/>
      <c r="E7" s="36">
        <v>0.28289999999999998</v>
      </c>
      <c r="F7" s="36"/>
      <c r="G7" s="36">
        <v>0.27239999999999998</v>
      </c>
      <c r="H7" s="36"/>
      <c r="I7" s="36">
        <v>0.52390000000000003</v>
      </c>
    </row>
    <row r="8" spans="2:9" x14ac:dyDescent="0.25">
      <c r="B8" t="s">
        <v>205</v>
      </c>
      <c r="C8" s="36" t="s">
        <v>159</v>
      </c>
      <c r="D8" s="36"/>
      <c r="E8" s="36"/>
      <c r="F8" s="36"/>
      <c r="G8" s="36"/>
      <c r="H8" s="36"/>
      <c r="I8" s="36"/>
    </row>
    <row r="9" spans="2:9" x14ac:dyDescent="0.25">
      <c r="B9" t="s">
        <v>206</v>
      </c>
      <c r="C9" s="36" t="s">
        <v>239</v>
      </c>
      <c r="D9" s="36"/>
      <c r="E9" s="36"/>
      <c r="F9" s="36"/>
      <c r="G9" s="36"/>
      <c r="H9" s="36"/>
      <c r="I9" s="36"/>
    </row>
    <row r="10" spans="2:9" x14ac:dyDescent="0.25">
      <c r="B10" t="s">
        <v>208</v>
      </c>
      <c r="C10" s="36" t="s">
        <v>240</v>
      </c>
      <c r="D10" s="36">
        <v>0.18909999999999999</v>
      </c>
      <c r="E10" s="36">
        <v>0.81240000000000001</v>
      </c>
      <c r="F10" s="36">
        <v>0.26889999999999997</v>
      </c>
      <c r="G10" s="36">
        <v>0.71150000000000002</v>
      </c>
      <c r="H10" s="36">
        <v>0.44500000000000001</v>
      </c>
      <c r="I10" s="36">
        <v>0.36890000000000001</v>
      </c>
    </row>
    <row r="11" spans="2:9" x14ac:dyDescent="0.25">
      <c r="B11" t="s">
        <v>209</v>
      </c>
      <c r="C11" s="36" t="s">
        <v>241</v>
      </c>
      <c r="D11" s="36"/>
      <c r="E11" s="36"/>
      <c r="F11" s="36"/>
      <c r="G11" s="36"/>
      <c r="H11" s="36"/>
      <c r="I11" s="36"/>
    </row>
    <row r="12" spans="2:9" x14ac:dyDescent="0.25">
      <c r="B12" t="s">
        <v>210</v>
      </c>
      <c r="C12" s="36" t="s">
        <v>242</v>
      </c>
      <c r="D12" s="36">
        <v>0</v>
      </c>
      <c r="E12" s="36">
        <v>0.85089999999999999</v>
      </c>
      <c r="F12" s="36">
        <v>1.4E-3</v>
      </c>
      <c r="G12" s="36">
        <v>0.55449999999999999</v>
      </c>
      <c r="H12" s="36">
        <v>2.01E-2</v>
      </c>
      <c r="I12" s="36">
        <v>0.88270000000000004</v>
      </c>
    </row>
    <row r="13" spans="2:9" x14ac:dyDescent="0.25">
      <c r="B13" t="s">
        <v>211</v>
      </c>
      <c r="C13" s="36" t="s">
        <v>243</v>
      </c>
      <c r="D13" s="36"/>
      <c r="E13" s="36"/>
      <c r="F13" s="36"/>
      <c r="G13" s="36"/>
      <c r="H13" s="36"/>
      <c r="I13" s="36"/>
    </row>
    <row r="14" spans="2:9" x14ac:dyDescent="0.25">
      <c r="B14" t="s">
        <v>212</v>
      </c>
      <c r="C14" s="36" t="s">
        <v>244</v>
      </c>
      <c r="D14" s="36">
        <v>0.46860000000000002</v>
      </c>
      <c r="E14" s="36">
        <v>0.22919999999999999</v>
      </c>
      <c r="F14" s="36">
        <v>0.89590000000000003</v>
      </c>
      <c r="G14" s="36">
        <v>0.26390000000000002</v>
      </c>
      <c r="H14" s="36">
        <v>0.25850000000000001</v>
      </c>
      <c r="I14" s="36">
        <v>0.46639999999999998</v>
      </c>
    </row>
    <row r="15" spans="2:9" x14ac:dyDescent="0.25">
      <c r="B15" t="s">
        <v>213</v>
      </c>
      <c r="C15" s="36" t="s">
        <v>181</v>
      </c>
      <c r="D15" s="36">
        <v>7.0499999999999993E-2</v>
      </c>
      <c r="E15" s="36">
        <v>0.23350000000000001</v>
      </c>
      <c r="F15" s="36">
        <v>7.3800000000000004E-2</v>
      </c>
      <c r="G15" s="36">
        <v>0.97899999999999998</v>
      </c>
      <c r="H15" s="36">
        <v>0.33750000000000002</v>
      </c>
      <c r="I15" s="36">
        <v>5.0099999999999999E-2</v>
      </c>
    </row>
    <row r="16" spans="2:9" x14ac:dyDescent="0.25">
      <c r="B16" t="s">
        <v>214</v>
      </c>
      <c r="C16" s="36" t="s">
        <v>259</v>
      </c>
      <c r="D16" s="36"/>
      <c r="E16" s="36"/>
      <c r="F16" s="36"/>
      <c r="G16" s="36"/>
      <c r="H16" s="36"/>
      <c r="I16" s="36"/>
    </row>
    <row r="17" spans="2:9" x14ac:dyDescent="0.25">
      <c r="B17" t="s">
        <v>215</v>
      </c>
      <c r="C17" s="36" t="s">
        <v>4</v>
      </c>
      <c r="D17" s="36">
        <v>0.45519999999999999</v>
      </c>
      <c r="E17" s="36">
        <v>0.42499999999999999</v>
      </c>
      <c r="F17" s="36">
        <v>0.14230000000000001</v>
      </c>
      <c r="G17" s="36">
        <v>8.5500000000000007E-2</v>
      </c>
      <c r="H17" s="36">
        <v>0.84530000000000005</v>
      </c>
      <c r="I17" s="36">
        <v>0.87080000000000002</v>
      </c>
    </row>
    <row r="18" spans="2:9" x14ac:dyDescent="0.25">
      <c r="B18" t="s">
        <v>216</v>
      </c>
      <c r="C18" s="36" t="s">
        <v>254</v>
      </c>
      <c r="D18" s="36">
        <v>0.34229999999999999</v>
      </c>
      <c r="E18" s="36">
        <v>0.55679999999999996</v>
      </c>
      <c r="F18" s="36">
        <v>0.1414</v>
      </c>
      <c r="G18" s="36">
        <v>0.377</v>
      </c>
      <c r="H18" s="36">
        <v>0.73029999999999995</v>
      </c>
      <c r="I18" s="36">
        <v>0.55720000000000003</v>
      </c>
    </row>
    <row r="19" spans="2:9" x14ac:dyDescent="0.25">
      <c r="B19" t="s">
        <v>217</v>
      </c>
      <c r="C19" s="36" t="s">
        <v>255</v>
      </c>
      <c r="D19" s="36">
        <v>0.45760000000000001</v>
      </c>
      <c r="E19" s="36">
        <v>0.99070000000000003</v>
      </c>
      <c r="F19" s="36">
        <v>0.12690000000000001</v>
      </c>
      <c r="G19" s="36">
        <v>2.3800000000000002E-2</v>
      </c>
      <c r="H19" s="36">
        <v>0.87339999999999995</v>
      </c>
      <c r="I19" s="36">
        <v>0.74770000000000003</v>
      </c>
    </row>
    <row r="20" spans="2:9" x14ac:dyDescent="0.25">
      <c r="B20" t="s">
        <v>218</v>
      </c>
      <c r="C20" s="36" t="s">
        <v>256</v>
      </c>
      <c r="D20" s="36">
        <v>0.65349999999999997</v>
      </c>
      <c r="E20" s="36">
        <v>0.66290000000000004</v>
      </c>
      <c r="F20" s="36">
        <v>0.1588</v>
      </c>
      <c r="G20" s="36">
        <v>0.11650000000000001</v>
      </c>
      <c r="H20" s="36">
        <v>0.17119999999999999</v>
      </c>
      <c r="I20" s="36">
        <v>0.85750000000000004</v>
      </c>
    </row>
    <row r="21" spans="2:9" x14ac:dyDescent="0.25">
      <c r="B21" t="s">
        <v>219</v>
      </c>
      <c r="C21" s="36" t="s">
        <v>257</v>
      </c>
      <c r="D21" s="36">
        <v>0.91479999999999995</v>
      </c>
      <c r="E21" s="36">
        <v>0.1177</v>
      </c>
      <c r="F21" s="36">
        <v>0.43709999999999999</v>
      </c>
      <c r="G21" s="36">
        <v>0.4955</v>
      </c>
      <c r="H21" s="36">
        <v>0.46729999999999999</v>
      </c>
      <c r="I21" s="36">
        <v>9.9000000000000008E-3</v>
      </c>
    </row>
    <row r="22" spans="2:9" x14ac:dyDescent="0.25">
      <c r="B22" t="s">
        <v>220</v>
      </c>
      <c r="C22" s="36" t="s">
        <v>258</v>
      </c>
      <c r="D22" s="36">
        <v>0.64600000000000002</v>
      </c>
      <c r="E22" s="36">
        <v>0.21429999999999999</v>
      </c>
      <c r="F22" s="36">
        <v>0.93400000000000005</v>
      </c>
      <c r="G22" s="36">
        <v>0.25690000000000002</v>
      </c>
      <c r="H22" s="36">
        <v>0.81789999999999996</v>
      </c>
      <c r="I22" s="36">
        <v>0.42799999999999999</v>
      </c>
    </row>
    <row r="23" spans="2:9" x14ac:dyDescent="0.25">
      <c r="B23" t="s">
        <v>221</v>
      </c>
      <c r="C23" s="36" t="s">
        <v>245</v>
      </c>
      <c r="D23" s="36"/>
      <c r="E23" s="36"/>
      <c r="F23" s="36"/>
      <c r="G23" s="36"/>
      <c r="H23" s="36"/>
      <c r="I23" s="36"/>
    </row>
    <row r="24" spans="2:9" x14ac:dyDescent="0.25">
      <c r="B24" t="s">
        <v>222</v>
      </c>
      <c r="C24" s="36" t="s">
        <v>246</v>
      </c>
      <c r="D24" s="36">
        <v>0.3659</v>
      </c>
      <c r="E24" s="36">
        <v>0.16669999999999999</v>
      </c>
      <c r="F24" s="36">
        <v>0.7964</v>
      </c>
      <c r="G24" s="36">
        <v>0.87350000000000005</v>
      </c>
      <c r="H24" s="36">
        <v>0.52490000000000003</v>
      </c>
      <c r="I24" s="36">
        <v>4.1399999999999999E-2</v>
      </c>
    </row>
    <row r="25" spans="2:9" x14ac:dyDescent="0.25">
      <c r="B25" t="s">
        <v>223</v>
      </c>
      <c r="C25" s="36" t="s">
        <v>247</v>
      </c>
      <c r="D25" s="36">
        <v>0.14710000000000001</v>
      </c>
      <c r="E25" s="36">
        <v>0.15</v>
      </c>
      <c r="F25" s="36">
        <v>0.6179</v>
      </c>
      <c r="G25" s="36">
        <v>0.93779999999999997</v>
      </c>
      <c r="H25" s="36">
        <v>0.18310000000000001</v>
      </c>
      <c r="I25" s="36">
        <v>0.15540000000000001</v>
      </c>
    </row>
    <row r="26" spans="2:9" x14ac:dyDescent="0.25">
      <c r="B26" t="s">
        <v>224</v>
      </c>
      <c r="C26" s="36" t="s">
        <v>248</v>
      </c>
      <c r="D26" s="36"/>
      <c r="E26" s="36"/>
      <c r="F26" s="36"/>
      <c r="G26" s="36"/>
      <c r="H26" s="36"/>
      <c r="I26" s="36"/>
    </row>
    <row r="27" spans="2:9" x14ac:dyDescent="0.25">
      <c r="B27" t="s">
        <v>225</v>
      </c>
      <c r="C27" s="36" t="s">
        <v>246</v>
      </c>
      <c r="D27" s="36">
        <v>3.0000000000000001E-3</v>
      </c>
      <c r="E27" s="36">
        <v>0.84930000000000005</v>
      </c>
      <c r="F27" s="36">
        <v>5.9999999999999995E-4</v>
      </c>
      <c r="G27" s="36">
        <v>0.83230000000000004</v>
      </c>
      <c r="H27" s="36">
        <v>0.1012</v>
      </c>
      <c r="I27" s="36">
        <v>0.64400000000000002</v>
      </c>
    </row>
    <row r="28" spans="2:9" x14ac:dyDescent="0.25">
      <c r="B28" t="s">
        <v>226</v>
      </c>
      <c r="C28" s="36" t="s">
        <v>247</v>
      </c>
      <c r="D28" s="36">
        <v>3.9199999999999999E-2</v>
      </c>
      <c r="E28" s="36">
        <v>3.5700000000000003E-2</v>
      </c>
      <c r="F28" s="36">
        <v>0.14099999999999999</v>
      </c>
      <c r="G28" s="36">
        <v>0.68910000000000005</v>
      </c>
      <c r="H28" s="36">
        <v>3.3599999999999998E-2</v>
      </c>
      <c r="I28" s="36">
        <v>5.2400000000000002E-2</v>
      </c>
    </row>
    <row r="29" spans="2:9" x14ac:dyDescent="0.25">
      <c r="B29" t="s">
        <v>227</v>
      </c>
      <c r="C29" s="36" t="s">
        <v>193</v>
      </c>
      <c r="D29" s="36"/>
      <c r="E29" s="36"/>
      <c r="F29" s="36"/>
      <c r="G29" s="36"/>
      <c r="H29" s="36"/>
      <c r="I29" s="36"/>
    </row>
    <row r="30" spans="2:9" x14ac:dyDescent="0.25">
      <c r="B30" t="s">
        <v>228</v>
      </c>
      <c r="C30" s="36" t="s">
        <v>249</v>
      </c>
      <c r="D30" s="36"/>
      <c r="E30" s="36"/>
      <c r="F30" s="36"/>
      <c r="G30" s="36"/>
      <c r="H30" s="36"/>
      <c r="I30" s="36"/>
    </row>
    <row r="31" spans="2:9" x14ac:dyDescent="0.25">
      <c r="B31" t="s">
        <v>229</v>
      </c>
      <c r="C31" s="36" t="s">
        <v>250</v>
      </c>
      <c r="D31" s="36">
        <v>0.14630000000000001</v>
      </c>
      <c r="E31" s="36">
        <v>0.18920000000000001</v>
      </c>
      <c r="F31" s="36">
        <v>0.2944</v>
      </c>
      <c r="G31" s="36">
        <v>0.28339999999999999</v>
      </c>
      <c r="H31" s="36">
        <v>7.1900000000000006E-2</v>
      </c>
      <c r="I31" s="36">
        <v>5.45E-2</v>
      </c>
    </row>
    <row r="32" spans="2:9" x14ac:dyDescent="0.25">
      <c r="B32" t="s">
        <v>230</v>
      </c>
      <c r="C32" s="36" t="s">
        <v>251</v>
      </c>
      <c r="D32" s="36">
        <v>9.5999999999999992E-3</v>
      </c>
      <c r="E32" s="36">
        <v>0.38440000000000002</v>
      </c>
      <c r="F32" s="36">
        <v>0.70379999999999998</v>
      </c>
      <c r="G32" s="36">
        <v>8.3900000000000002E-2</v>
      </c>
      <c r="H32" s="36">
        <v>2.0400000000000001E-2</v>
      </c>
      <c r="I32" s="36">
        <v>0.19470000000000001</v>
      </c>
    </row>
    <row r="33" spans="3:12" x14ac:dyDescent="0.25">
      <c r="C33" s="36" t="s">
        <v>252</v>
      </c>
      <c r="D33" s="36">
        <v>0.34350000000000003</v>
      </c>
      <c r="E33" s="36">
        <v>0.33350000000000002</v>
      </c>
      <c r="F33" s="36" t="s">
        <v>207</v>
      </c>
      <c r="G33" s="36">
        <v>0.33539999999999998</v>
      </c>
      <c r="H33" s="36">
        <v>0.41049999999999998</v>
      </c>
      <c r="I33" s="36">
        <v>0.36109999999999998</v>
      </c>
    </row>
    <row r="34" spans="3:12" x14ac:dyDescent="0.25">
      <c r="C34" s="36" t="s">
        <v>253</v>
      </c>
      <c r="D34" s="36">
        <v>0.2944</v>
      </c>
      <c r="E34" s="36">
        <v>0.15090000000000001</v>
      </c>
      <c r="F34" s="36">
        <v>4.1700000000000001E-2</v>
      </c>
      <c r="G34" s="36">
        <v>0.51090000000000002</v>
      </c>
      <c r="H34" s="36">
        <v>0.25590000000000002</v>
      </c>
      <c r="I34" s="36">
        <v>0.79120000000000001</v>
      </c>
    </row>
    <row r="35" spans="3:12" x14ac:dyDescent="0.25">
      <c r="C35" s="37" t="s">
        <v>231</v>
      </c>
      <c r="D35" s="37">
        <v>3.8E-3</v>
      </c>
      <c r="E35" s="37">
        <v>0.79810000000000003</v>
      </c>
      <c r="F35" s="37">
        <v>5.5599999999999997E-2</v>
      </c>
      <c r="G35" s="37">
        <v>0.97609999999999997</v>
      </c>
      <c r="H35" s="37">
        <v>3.8800000000000001E-2</v>
      </c>
      <c r="I35" s="37">
        <v>0.61350000000000005</v>
      </c>
    </row>
    <row r="37" spans="3:12" ht="14.4" thickBot="1" x14ac:dyDescent="0.3"/>
    <row r="38" spans="3:12" ht="15" thickBot="1" x14ac:dyDescent="0.3">
      <c r="F38" s="63" t="s">
        <v>18</v>
      </c>
      <c r="G38" s="59" t="s">
        <v>0</v>
      </c>
      <c r="H38" s="59"/>
      <c r="I38" s="59" t="s">
        <v>16</v>
      </c>
      <c r="J38" s="59"/>
      <c r="K38" s="59" t="s">
        <v>17</v>
      </c>
      <c r="L38" s="59"/>
    </row>
    <row r="39" spans="3:12" ht="14.4" x14ac:dyDescent="0.25">
      <c r="F39" s="64"/>
      <c r="G39" s="38" t="s">
        <v>232</v>
      </c>
      <c r="H39" s="38" t="s">
        <v>233</v>
      </c>
      <c r="I39" s="38" t="s">
        <v>232</v>
      </c>
      <c r="J39" s="38" t="s">
        <v>233</v>
      </c>
      <c r="K39" s="38" t="s">
        <v>232</v>
      </c>
      <c r="L39" s="38" t="s">
        <v>233</v>
      </c>
    </row>
    <row r="40" spans="3:12" ht="15" thickBot="1" x14ac:dyDescent="0.3">
      <c r="F40" s="65"/>
      <c r="G40" s="39" t="s">
        <v>261</v>
      </c>
      <c r="H40" s="39" t="s">
        <v>261</v>
      </c>
      <c r="I40" s="39" t="s">
        <v>261</v>
      </c>
      <c r="J40" s="39" t="s">
        <v>261</v>
      </c>
      <c r="K40" s="39" t="s">
        <v>261</v>
      </c>
      <c r="L40" s="39" t="s">
        <v>261</v>
      </c>
    </row>
    <row r="41" spans="3:12" ht="28.8" x14ac:dyDescent="0.3">
      <c r="F41" s="40" t="s">
        <v>158</v>
      </c>
      <c r="G41" s="41"/>
      <c r="H41" s="41"/>
      <c r="I41" s="41"/>
      <c r="J41" s="41"/>
      <c r="K41" s="41"/>
      <c r="L41" s="41"/>
    </row>
    <row r="42" spans="3:12" ht="43.2" x14ac:dyDescent="0.3">
      <c r="F42" s="42" t="s">
        <v>163</v>
      </c>
      <c r="G42" s="41"/>
      <c r="H42" s="41"/>
      <c r="I42" s="41"/>
      <c r="J42" s="41"/>
      <c r="K42" s="41"/>
      <c r="L42" s="41"/>
    </row>
    <row r="43" spans="3:12" ht="28.8" x14ac:dyDescent="0.3">
      <c r="F43" s="43" t="s">
        <v>79</v>
      </c>
      <c r="G43" s="44">
        <v>0.41899999999999998</v>
      </c>
      <c r="H43" s="41"/>
      <c r="I43" s="44">
        <v>0.255</v>
      </c>
      <c r="J43" s="41"/>
      <c r="K43" s="44">
        <v>0.84299999999999997</v>
      </c>
      <c r="L43" s="41"/>
    </row>
    <row r="44" spans="3:12" ht="28.8" x14ac:dyDescent="0.3">
      <c r="F44" s="43" t="s">
        <v>80</v>
      </c>
      <c r="G44" s="41"/>
      <c r="H44" s="44">
        <v>0.28299999999999997</v>
      </c>
      <c r="I44" s="41"/>
      <c r="J44" s="44">
        <v>0.27200000000000002</v>
      </c>
      <c r="K44" s="41"/>
      <c r="L44" s="44">
        <v>0.52400000000000002</v>
      </c>
    </row>
    <row r="45" spans="3:12" ht="43.2" x14ac:dyDescent="0.3">
      <c r="F45" s="40" t="s">
        <v>262</v>
      </c>
      <c r="G45" s="41"/>
      <c r="H45" s="41"/>
      <c r="I45" s="41"/>
      <c r="J45" s="41"/>
      <c r="K45" s="41"/>
      <c r="L45" s="41"/>
    </row>
    <row r="46" spans="3:12" ht="57.6" x14ac:dyDescent="0.3">
      <c r="F46" s="38" t="s">
        <v>164</v>
      </c>
      <c r="G46" s="41"/>
      <c r="H46" s="41"/>
      <c r="I46" s="41"/>
      <c r="J46" s="41"/>
      <c r="K46" s="41"/>
      <c r="L46" s="41"/>
    </row>
    <row r="47" spans="3:12" ht="14.4" x14ac:dyDescent="0.25">
      <c r="F47" s="43" t="s">
        <v>165</v>
      </c>
      <c r="G47" s="44">
        <v>0.189</v>
      </c>
      <c r="H47" s="44">
        <v>0.81200000000000006</v>
      </c>
      <c r="I47" s="44">
        <v>0.26900000000000002</v>
      </c>
      <c r="J47" s="44">
        <v>0.71199999999999997</v>
      </c>
      <c r="K47" s="44">
        <v>0.44500000000000001</v>
      </c>
      <c r="L47" s="44">
        <v>0.36899999999999999</v>
      </c>
    </row>
    <row r="48" spans="3:12" ht="57.6" x14ac:dyDescent="0.3">
      <c r="F48" s="38" t="s">
        <v>166</v>
      </c>
      <c r="G48" s="41"/>
      <c r="H48" s="41"/>
      <c r="I48" s="41"/>
      <c r="J48" s="41"/>
      <c r="K48" s="41"/>
      <c r="L48" s="41"/>
    </row>
    <row r="49" spans="6:12" ht="43.2" x14ac:dyDescent="0.25">
      <c r="F49" s="43" t="s">
        <v>167</v>
      </c>
      <c r="G49" s="44">
        <v>0</v>
      </c>
      <c r="H49" s="44">
        <v>0.85099999999999998</v>
      </c>
      <c r="I49" s="44">
        <v>1E-3</v>
      </c>
      <c r="J49" s="44">
        <v>0.55400000000000005</v>
      </c>
      <c r="K49" s="44">
        <v>0.02</v>
      </c>
      <c r="L49" s="44">
        <v>0.88300000000000001</v>
      </c>
    </row>
    <row r="50" spans="6:12" ht="57.6" x14ac:dyDescent="0.3">
      <c r="F50" s="38" t="s">
        <v>180</v>
      </c>
      <c r="G50" s="41"/>
      <c r="H50" s="41"/>
      <c r="I50" s="41"/>
      <c r="J50" s="41"/>
      <c r="K50" s="41"/>
      <c r="L50" s="41"/>
    </row>
    <row r="51" spans="6:12" ht="14.4" x14ac:dyDescent="0.25">
      <c r="F51" s="43" t="s">
        <v>263</v>
      </c>
      <c r="G51" s="44">
        <v>0.46899999999999997</v>
      </c>
      <c r="H51" s="44">
        <v>0.22900000000000001</v>
      </c>
      <c r="I51" s="44">
        <v>0.89600000000000002</v>
      </c>
      <c r="J51" s="44">
        <v>0.26400000000000001</v>
      </c>
      <c r="K51" s="44">
        <v>0.25900000000000001</v>
      </c>
      <c r="L51" s="44">
        <v>0.46600000000000003</v>
      </c>
    </row>
    <row r="52" spans="6:12" ht="14.4" x14ac:dyDescent="0.25">
      <c r="F52" s="43" t="s">
        <v>264</v>
      </c>
      <c r="G52" s="44">
        <v>7.0999999999999994E-2</v>
      </c>
      <c r="H52" s="44">
        <v>0.23400000000000001</v>
      </c>
      <c r="I52" s="44">
        <v>7.3999999999999996E-2</v>
      </c>
      <c r="J52" s="44">
        <v>0.97899999999999998</v>
      </c>
      <c r="K52" s="44">
        <v>0.33800000000000002</v>
      </c>
      <c r="L52" s="44">
        <v>0.05</v>
      </c>
    </row>
    <row r="53" spans="6:12" ht="14.4" x14ac:dyDescent="0.3">
      <c r="F53" s="60" t="s">
        <v>259</v>
      </c>
      <c r="G53" s="60"/>
      <c r="H53" s="41"/>
      <c r="I53" s="41"/>
      <c r="J53" s="41"/>
      <c r="K53" s="41"/>
      <c r="L53" s="41"/>
    </row>
    <row r="54" spans="6:12" ht="28.8" x14ac:dyDescent="0.25">
      <c r="F54" s="44" t="s">
        <v>4</v>
      </c>
      <c r="G54" s="44">
        <v>0.45500000000000002</v>
      </c>
      <c r="H54" s="44">
        <v>0.42499999999999999</v>
      </c>
      <c r="I54" s="44">
        <v>0.14199999999999999</v>
      </c>
      <c r="J54" s="44">
        <v>8.5999999999999993E-2</v>
      </c>
      <c r="K54" s="44">
        <v>0.84499999999999997</v>
      </c>
      <c r="L54" s="44">
        <v>0.871</v>
      </c>
    </row>
    <row r="55" spans="6:12" ht="28.8" x14ac:dyDescent="0.25">
      <c r="F55" s="44" t="s">
        <v>5</v>
      </c>
      <c r="G55" s="44">
        <v>0.34200000000000003</v>
      </c>
      <c r="H55" s="44">
        <v>0.55700000000000005</v>
      </c>
      <c r="I55" s="44">
        <v>0.14099999999999999</v>
      </c>
      <c r="J55" s="44">
        <v>0.377</v>
      </c>
      <c r="K55" s="44">
        <v>0.73</v>
      </c>
      <c r="L55" s="44">
        <v>0.55700000000000005</v>
      </c>
    </row>
    <row r="56" spans="6:12" ht="28.8" x14ac:dyDescent="0.25">
      <c r="F56" s="44" t="s">
        <v>6</v>
      </c>
      <c r="G56" s="44">
        <v>0.45800000000000002</v>
      </c>
      <c r="H56" s="44">
        <v>0.99099999999999999</v>
      </c>
      <c r="I56" s="44">
        <v>0.127</v>
      </c>
      <c r="J56" s="44">
        <v>2.4E-2</v>
      </c>
      <c r="K56" s="44">
        <v>0.873</v>
      </c>
      <c r="L56" s="44">
        <v>0.748</v>
      </c>
    </row>
    <row r="57" spans="6:12" ht="28.8" x14ac:dyDescent="0.25">
      <c r="F57" s="44" t="s">
        <v>7</v>
      </c>
      <c r="G57" s="44">
        <v>0.65400000000000003</v>
      </c>
      <c r="H57" s="44">
        <v>0.66300000000000003</v>
      </c>
      <c r="I57" s="44">
        <v>0.159</v>
      </c>
      <c r="J57" s="44">
        <v>0.11700000000000001</v>
      </c>
      <c r="K57" s="44">
        <v>0.17100000000000001</v>
      </c>
      <c r="L57" s="44">
        <v>0.85799999999999998</v>
      </c>
    </row>
    <row r="58" spans="6:12" ht="28.8" x14ac:dyDescent="0.25">
      <c r="F58" s="44" t="s">
        <v>8</v>
      </c>
      <c r="G58" s="44">
        <v>0.91500000000000004</v>
      </c>
      <c r="H58" s="44">
        <v>0.11799999999999999</v>
      </c>
      <c r="I58" s="44">
        <v>0.437</v>
      </c>
      <c r="J58" s="44">
        <v>0.496</v>
      </c>
      <c r="K58" s="44">
        <v>0.46700000000000003</v>
      </c>
      <c r="L58" s="44">
        <v>0.01</v>
      </c>
    </row>
    <row r="59" spans="6:12" ht="14.4" x14ac:dyDescent="0.25">
      <c r="F59" s="44" t="s">
        <v>9</v>
      </c>
      <c r="G59" s="44">
        <v>0.64600000000000002</v>
      </c>
      <c r="H59" s="44">
        <v>0.214</v>
      </c>
      <c r="I59" s="44">
        <v>0.93400000000000005</v>
      </c>
      <c r="J59" s="44">
        <v>0.25700000000000001</v>
      </c>
      <c r="K59" s="44">
        <v>0.81799999999999995</v>
      </c>
      <c r="L59" s="44">
        <v>0.42799999999999999</v>
      </c>
    </row>
    <row r="60" spans="6:12" ht="14.4" x14ac:dyDescent="0.3">
      <c r="F60" s="60" t="s">
        <v>189</v>
      </c>
      <c r="G60" s="60"/>
      <c r="H60" s="60"/>
      <c r="I60" s="41"/>
      <c r="J60" s="41"/>
      <c r="K60" s="41"/>
      <c r="L60" s="41"/>
    </row>
    <row r="61" spans="6:12" ht="14.4" x14ac:dyDescent="0.25">
      <c r="F61" s="43" t="s">
        <v>190</v>
      </c>
      <c r="G61" s="44">
        <v>0.36599999999999999</v>
      </c>
      <c r="H61" s="44">
        <v>0.16700000000000001</v>
      </c>
      <c r="I61" s="44">
        <v>0.79600000000000004</v>
      </c>
      <c r="J61" s="44">
        <v>0.874</v>
      </c>
      <c r="K61" s="44">
        <v>0.52500000000000002</v>
      </c>
      <c r="L61" s="44">
        <v>4.1000000000000002E-2</v>
      </c>
    </row>
    <row r="62" spans="6:12" ht="28.8" x14ac:dyDescent="0.25">
      <c r="F62" s="43" t="s">
        <v>191</v>
      </c>
      <c r="G62" s="44">
        <v>0.14699999999999999</v>
      </c>
      <c r="H62" s="44">
        <v>0.15</v>
      </c>
      <c r="I62" s="44">
        <v>0.61799999999999999</v>
      </c>
      <c r="J62" s="44">
        <v>0.93799999999999994</v>
      </c>
      <c r="K62" s="44">
        <v>0.183</v>
      </c>
      <c r="L62" s="44">
        <v>0.155</v>
      </c>
    </row>
    <row r="63" spans="6:12" ht="14.4" x14ac:dyDescent="0.3">
      <c r="F63" s="60" t="s">
        <v>192</v>
      </c>
      <c r="G63" s="60"/>
      <c r="H63" s="60"/>
      <c r="I63" s="41"/>
      <c r="J63" s="41"/>
      <c r="K63" s="41"/>
      <c r="L63" s="41"/>
    </row>
    <row r="64" spans="6:12" ht="14.4" x14ac:dyDescent="0.25">
      <c r="F64" s="43" t="s">
        <v>190</v>
      </c>
      <c r="G64" s="44">
        <v>3.0000000000000001E-3</v>
      </c>
      <c r="H64" s="44">
        <v>0.84899999999999998</v>
      </c>
      <c r="I64" s="44">
        <v>1E-3</v>
      </c>
      <c r="J64" s="44">
        <v>0.83199999999999996</v>
      </c>
      <c r="K64" s="44">
        <v>0.10100000000000001</v>
      </c>
      <c r="L64" s="44">
        <v>0.64400000000000002</v>
      </c>
    </row>
    <row r="65" spans="6:12" ht="28.8" x14ac:dyDescent="0.25">
      <c r="F65" s="43" t="s">
        <v>191</v>
      </c>
      <c r="G65" s="44">
        <v>3.9E-2</v>
      </c>
      <c r="H65" s="44">
        <v>3.5999999999999997E-2</v>
      </c>
      <c r="I65" s="44">
        <v>0.14099999999999999</v>
      </c>
      <c r="J65" s="44">
        <v>0.68899999999999995</v>
      </c>
      <c r="K65" s="44">
        <v>3.4000000000000002E-2</v>
      </c>
      <c r="L65" s="44">
        <v>5.1999999999999998E-2</v>
      </c>
    </row>
    <row r="66" spans="6:12" ht="43.2" x14ac:dyDescent="0.3">
      <c r="F66" s="40" t="s">
        <v>265</v>
      </c>
      <c r="G66" s="41"/>
      <c r="H66" s="41"/>
      <c r="I66" s="41"/>
      <c r="J66" s="41"/>
      <c r="K66" s="41"/>
      <c r="L66" s="41"/>
    </row>
    <row r="67" spans="6:12" ht="57.6" x14ac:dyDescent="0.3">
      <c r="F67" s="38" t="s">
        <v>178</v>
      </c>
      <c r="G67" s="41"/>
      <c r="H67" s="41"/>
      <c r="I67" s="41"/>
      <c r="J67" s="41"/>
      <c r="K67" s="41"/>
      <c r="L67" s="41"/>
    </row>
    <row r="68" spans="6:12" ht="14.4" x14ac:dyDescent="0.25">
      <c r="F68" s="43" t="s">
        <v>266</v>
      </c>
      <c r="G68" s="44">
        <v>0.14599999999999999</v>
      </c>
      <c r="H68" s="44">
        <v>0.189</v>
      </c>
      <c r="I68" s="44">
        <v>0.29399999999999998</v>
      </c>
      <c r="J68" s="44">
        <v>0.28299999999999997</v>
      </c>
      <c r="K68" s="44">
        <v>7.1999999999999995E-2</v>
      </c>
      <c r="L68" s="44">
        <v>5.5E-2</v>
      </c>
    </row>
    <row r="69" spans="6:12" ht="14.4" x14ac:dyDescent="0.25">
      <c r="F69" s="43" t="s">
        <v>267</v>
      </c>
      <c r="G69" s="44">
        <v>0.01</v>
      </c>
      <c r="H69" s="44">
        <v>0.38400000000000001</v>
      </c>
      <c r="I69" s="44">
        <v>0.70399999999999996</v>
      </c>
      <c r="J69" s="44">
        <v>8.4000000000000005E-2</v>
      </c>
      <c r="K69" s="44">
        <v>0.02</v>
      </c>
      <c r="L69" s="44">
        <v>0.19500000000000001</v>
      </c>
    </row>
    <row r="70" spans="6:12" ht="14.4" x14ac:dyDescent="0.25">
      <c r="F70" s="43" t="s">
        <v>268</v>
      </c>
      <c r="G70" s="44">
        <v>0.34399999999999997</v>
      </c>
      <c r="H70" s="44">
        <v>0.33400000000000002</v>
      </c>
      <c r="I70" s="44" t="s">
        <v>260</v>
      </c>
      <c r="J70" s="44">
        <v>0.33500000000000002</v>
      </c>
      <c r="K70" s="44">
        <v>0.41099999999999998</v>
      </c>
      <c r="L70" s="44">
        <v>0.36099999999999999</v>
      </c>
    </row>
    <row r="71" spans="6:12" ht="28.8" x14ac:dyDescent="0.25">
      <c r="F71" s="38" t="s">
        <v>202</v>
      </c>
      <c r="G71" s="44">
        <v>0.29399999999999998</v>
      </c>
      <c r="H71" s="44">
        <v>0.151</v>
      </c>
      <c r="I71" s="44">
        <v>4.2000000000000003E-2</v>
      </c>
      <c r="J71" s="44">
        <v>0.51100000000000001</v>
      </c>
      <c r="K71" s="44">
        <v>0.25600000000000001</v>
      </c>
      <c r="L71" s="44">
        <v>0.79100000000000004</v>
      </c>
    </row>
    <row r="72" spans="6:12" ht="29.4" thickBot="1" x14ac:dyDescent="0.3">
      <c r="F72" s="45" t="s">
        <v>269</v>
      </c>
      <c r="G72" s="45">
        <v>4.0000000000000001E-3</v>
      </c>
      <c r="H72" s="45">
        <v>0.79800000000000004</v>
      </c>
      <c r="I72" s="45">
        <v>5.6000000000000001E-2</v>
      </c>
      <c r="J72" s="45">
        <v>0.97599999999999998</v>
      </c>
      <c r="K72" s="45">
        <v>3.9E-2</v>
      </c>
      <c r="L72" s="45">
        <v>0.61399999999999999</v>
      </c>
    </row>
  </sheetData>
  <mergeCells count="11">
    <mergeCell ref="C1:C3"/>
    <mergeCell ref="F38:F40"/>
    <mergeCell ref="G38:H38"/>
    <mergeCell ref="I38:J38"/>
    <mergeCell ref="K38:L38"/>
    <mergeCell ref="F53:G53"/>
    <mergeCell ref="F60:H60"/>
    <mergeCell ref="F63:H63"/>
    <mergeCell ref="D1:E1"/>
    <mergeCell ref="F1:G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99FCF-993C-48EB-BD84-A18439BAEFF7}">
  <dimension ref="F3:Z64"/>
  <sheetViews>
    <sheetView tabSelected="1" zoomScale="70" zoomScaleNormal="70" workbookViewId="0">
      <selection activeCell="G36" sqref="G36"/>
    </sheetView>
  </sheetViews>
  <sheetFormatPr defaultRowHeight="13.8" x14ac:dyDescent="0.25"/>
  <sheetData>
    <row r="3" spans="6:26" x14ac:dyDescent="0.25">
      <c r="F3" s="56" t="s">
        <v>18</v>
      </c>
      <c r="G3" s="61" t="s">
        <v>0</v>
      </c>
      <c r="H3" s="61"/>
      <c r="I3" s="61"/>
      <c r="J3" s="61"/>
      <c r="K3" s="61" t="s">
        <v>16</v>
      </c>
      <c r="L3" s="61"/>
      <c r="M3" s="61"/>
      <c r="N3" s="61"/>
      <c r="O3" s="61" t="s">
        <v>17</v>
      </c>
      <c r="P3" s="61"/>
      <c r="Q3" s="61"/>
      <c r="R3" s="61"/>
      <c r="T3" s="46" t="str">
        <f>""</f>
        <v/>
      </c>
      <c r="U3" s="46" t="str">
        <f>"(1)"</f>
        <v>(1)</v>
      </c>
      <c r="V3" s="46" t="str">
        <f>"(2)"</f>
        <v>(2)</v>
      </c>
      <c r="W3" s="46" t="str">
        <f>"(3)"</f>
        <v>(3)</v>
      </c>
      <c r="X3" s="46" t="str">
        <f>"(4)"</f>
        <v>(4)</v>
      </c>
      <c r="Y3" s="46" t="str">
        <f>"(5)"</f>
        <v>(5)</v>
      </c>
      <c r="Z3" s="46" t="str">
        <f>"(6)"</f>
        <v>(6)</v>
      </c>
    </row>
    <row r="4" spans="6:26" x14ac:dyDescent="0.25">
      <c r="F4" s="62"/>
      <c r="G4" s="61" t="s">
        <v>232</v>
      </c>
      <c r="H4" s="61"/>
      <c r="I4" s="61" t="s">
        <v>233</v>
      </c>
      <c r="J4" s="61"/>
      <c r="K4" s="61" t="s">
        <v>232</v>
      </c>
      <c r="L4" s="61"/>
      <c r="M4" s="61" t="s">
        <v>233</v>
      </c>
      <c r="N4" s="61"/>
      <c r="O4" s="61" t="s">
        <v>232</v>
      </c>
      <c r="P4" s="61"/>
      <c r="Q4" s="61" t="s">
        <v>233</v>
      </c>
      <c r="R4" s="61"/>
      <c r="T4" s="46" t="str">
        <f>""</f>
        <v/>
      </c>
      <c r="U4" s="46" t="str">
        <f>"sample_full_hos"</f>
        <v>sample_full_hos</v>
      </c>
      <c r="V4" s="46" t="str">
        <f>"sample_full_rent"</f>
        <v>sample_full_rent</v>
      </c>
      <c r="W4" s="46" t="str">
        <f>"sample_core_hos"</f>
        <v>sample_core_hos</v>
      </c>
      <c r="X4" s="46" t="str">
        <f>"sample_core_rent"</f>
        <v>sample_core_rent</v>
      </c>
      <c r="Y4" s="46" t="str">
        <f>"sample_dual_hos"</f>
        <v>sample_dual_hos</v>
      </c>
      <c r="Z4" s="46" t="str">
        <f>"sample_dual_rent"</f>
        <v>sample_dual_rent</v>
      </c>
    </row>
    <row r="5" spans="6:26" x14ac:dyDescent="0.25">
      <c r="F5" s="57"/>
      <c r="G5" s="37" t="s">
        <v>270</v>
      </c>
      <c r="H5" s="37" t="s">
        <v>271</v>
      </c>
      <c r="I5" s="37" t="s">
        <v>270</v>
      </c>
      <c r="J5" s="37" t="s">
        <v>271</v>
      </c>
      <c r="K5" s="37" t="s">
        <v>270</v>
      </c>
      <c r="L5" s="37" t="s">
        <v>271</v>
      </c>
      <c r="M5" s="37" t="s">
        <v>270</v>
      </c>
      <c r="N5" s="37" t="s">
        <v>271</v>
      </c>
      <c r="O5" s="37" t="s">
        <v>270</v>
      </c>
      <c r="P5" s="37" t="s">
        <v>271</v>
      </c>
      <c r="Q5" s="37" t="s">
        <v>270</v>
      </c>
      <c r="R5" s="37" t="s">
        <v>271</v>
      </c>
      <c r="T5" s="46" t="str">
        <f>"n_d_hos_affd"</f>
        <v>n_d_hos_affd</v>
      </c>
      <c r="V5" s="46" t="str">
        <f>""</f>
        <v/>
      </c>
      <c r="Z5" s="46" t="str">
        <f>""</f>
        <v/>
      </c>
    </row>
    <row r="6" spans="6:26" x14ac:dyDescent="0.25">
      <c r="F6" s="36" t="s">
        <v>235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T6" s="46" t="str">
        <f>"hos_space_"</f>
        <v>hos_space_</v>
      </c>
    </row>
    <row r="7" spans="6:26" x14ac:dyDescent="0.25">
      <c r="F7" s="36" t="s">
        <v>236</v>
      </c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T7" s="46" t="str">
        <f>"0.rec_gender_"</f>
        <v>0.rec_gender_</v>
      </c>
      <c r="U7" s="46" t="str">
        <f t="shared" ref="U7:Z7" si="0">"0.000"</f>
        <v>0.000</v>
      </c>
      <c r="V7" s="46" t="str">
        <f t="shared" si="0"/>
        <v>0.000</v>
      </c>
      <c r="W7" s="46" t="str">
        <f t="shared" si="0"/>
        <v>0.000</v>
      </c>
      <c r="X7" s="46" t="str">
        <f t="shared" si="0"/>
        <v>0.000</v>
      </c>
      <c r="Y7" s="46" t="str">
        <f t="shared" si="0"/>
        <v>0.000</v>
      </c>
      <c r="Z7" s="46" t="str">
        <f t="shared" si="0"/>
        <v>0.000</v>
      </c>
    </row>
    <row r="8" spans="6:26" x14ac:dyDescent="0.25">
      <c r="F8" s="36" t="s">
        <v>237</v>
      </c>
      <c r="G8" s="46" t="str">
        <f>"0.138"</f>
        <v>0.138</v>
      </c>
      <c r="H8" s="46"/>
      <c r="K8" s="46" t="str">
        <f>"0.156"</f>
        <v>0.156</v>
      </c>
      <c r="L8" s="46"/>
      <c r="M8" s="46" t="str">
        <f>""</f>
        <v/>
      </c>
      <c r="N8" s="46"/>
      <c r="O8" s="46" t="str">
        <f>"0.141"</f>
        <v>0.141</v>
      </c>
      <c r="P8" s="46"/>
      <c r="Q8" s="36"/>
      <c r="T8" s="46" t="str">
        <f>"1.rec_gender_"</f>
        <v>1.rec_gender_</v>
      </c>
    </row>
    <row r="9" spans="6:26" x14ac:dyDescent="0.25">
      <c r="F9" s="36" t="s">
        <v>238</v>
      </c>
      <c r="G9" s="36"/>
      <c r="H9" s="36"/>
      <c r="I9" s="46" t="str">
        <f>"-0.225"</f>
        <v>-0.225</v>
      </c>
      <c r="J9" s="46"/>
      <c r="K9" s="46" t="str">
        <f>""</f>
        <v/>
      </c>
      <c r="L9" s="46"/>
      <c r="M9" s="46" t="str">
        <f>"0.350"</f>
        <v>0.350</v>
      </c>
      <c r="N9" s="46"/>
      <c r="O9" s="46" t="str">
        <f>""</f>
        <v/>
      </c>
      <c r="P9" s="46"/>
      <c r="Q9" s="46" t="str">
        <f>"-0.183"</f>
        <v>-0.183</v>
      </c>
      <c r="T9" s="46" t="str">
        <f>"0.rec_marital_status_"</f>
        <v>0.rec_marital_status_</v>
      </c>
      <c r="U9" s="46" t="str">
        <f t="shared" ref="U9:Z9" si="1">"0.000"</f>
        <v>0.000</v>
      </c>
      <c r="V9" s="46" t="str">
        <f t="shared" si="1"/>
        <v>0.000</v>
      </c>
      <c r="W9" s="46" t="str">
        <f t="shared" si="1"/>
        <v>0.000</v>
      </c>
      <c r="X9" s="46" t="str">
        <f t="shared" si="1"/>
        <v>0.000</v>
      </c>
      <c r="Y9" s="46" t="str">
        <f t="shared" si="1"/>
        <v>0.000</v>
      </c>
      <c r="Z9" s="46" t="str">
        <f t="shared" si="1"/>
        <v>0.000</v>
      </c>
    </row>
    <row r="10" spans="6:26" x14ac:dyDescent="0.25">
      <c r="F10" s="36" t="s">
        <v>159</v>
      </c>
      <c r="G10" s="36"/>
      <c r="H10" s="36"/>
      <c r="K10" s="36"/>
      <c r="L10" s="36"/>
      <c r="M10" s="36"/>
      <c r="N10" s="36"/>
      <c r="O10" s="36"/>
      <c r="P10" s="36"/>
      <c r="Q10" s="36"/>
      <c r="T10" s="46" t="str">
        <f>"1.rec_marital_status_"</f>
        <v>1.rec_marital_status_</v>
      </c>
    </row>
    <row r="11" spans="6:26" x14ac:dyDescent="0.25">
      <c r="F11" s="36" t="s">
        <v>239</v>
      </c>
      <c r="K11" s="36"/>
      <c r="L11" s="36"/>
      <c r="M11" s="36"/>
      <c r="N11" s="36"/>
      <c r="O11" s="36"/>
      <c r="P11" s="36"/>
      <c r="Q11" s="36"/>
      <c r="T11" s="46" t="str">
        <f>"1.rec_d_employer_"</f>
        <v>1.rec_d_employer_</v>
      </c>
      <c r="U11" s="46" t="str">
        <f t="shared" ref="U11:Z11" si="2">"0.000"</f>
        <v>0.000</v>
      </c>
      <c r="V11" s="46" t="str">
        <f t="shared" si="2"/>
        <v>0.000</v>
      </c>
      <c r="W11" s="46" t="str">
        <f t="shared" si="2"/>
        <v>0.000</v>
      </c>
      <c r="X11" s="46" t="str">
        <f t="shared" si="2"/>
        <v>0.000</v>
      </c>
      <c r="Y11" s="46" t="str">
        <f t="shared" si="2"/>
        <v>0.000</v>
      </c>
      <c r="Z11" s="46" t="str">
        <f t="shared" si="2"/>
        <v>0.000</v>
      </c>
    </row>
    <row r="12" spans="6:26" x14ac:dyDescent="0.25">
      <c r="F12" s="36" t="s">
        <v>240</v>
      </c>
      <c r="G12" s="46" t="str">
        <f>"-0.145*"</f>
        <v>-0.145*</v>
      </c>
      <c r="H12" s="46"/>
      <c r="I12" s="46" t="str">
        <f>"-0.668***"</f>
        <v>-0.668***</v>
      </c>
      <c r="J12" s="46"/>
      <c r="K12" s="46" t="str">
        <f>"0.079"</f>
        <v>0.079</v>
      </c>
      <c r="L12" s="46"/>
      <c r="M12" s="46" t="str">
        <f>"0.176"</f>
        <v>0.176</v>
      </c>
      <c r="N12" s="46"/>
      <c r="O12" s="46" t="str">
        <f>"-0.234**"</f>
        <v>-0.234**</v>
      </c>
      <c r="P12" s="46"/>
      <c r="Q12" s="46" t="str">
        <f>"-1.113***"</f>
        <v>-1.113***</v>
      </c>
      <c r="T12" s="46" t="str">
        <f>"2.rec_d_employer_"</f>
        <v>2.rec_d_employer_</v>
      </c>
    </row>
    <row r="13" spans="6:26" x14ac:dyDescent="0.25">
      <c r="F13" s="36" t="s">
        <v>241</v>
      </c>
      <c r="G13" s="36"/>
      <c r="H13" s="36"/>
      <c r="K13" s="36"/>
      <c r="L13" s="36"/>
      <c r="M13" s="36"/>
      <c r="N13" s="36"/>
      <c r="O13" s="36"/>
      <c r="P13" s="36"/>
      <c r="Q13" s="36"/>
      <c r="T13" s="46" t="str">
        <f>"3.rec_d_employer_"</f>
        <v>3.rec_d_employer_</v>
      </c>
    </row>
    <row r="14" spans="6:26" x14ac:dyDescent="0.25">
      <c r="F14" s="36" t="s">
        <v>242</v>
      </c>
      <c r="G14" s="46" t="str">
        <f>"0.343***"</f>
        <v>0.343***</v>
      </c>
      <c r="H14" s="46"/>
      <c r="I14" s="46" t="str">
        <f>"0.676**"</f>
        <v>0.676**</v>
      </c>
      <c r="J14" s="46"/>
      <c r="K14" s="46" t="str">
        <f>"-0.002"</f>
        <v>-0.002</v>
      </c>
      <c r="L14" s="46"/>
      <c r="M14" s="46" t="str">
        <f>"0.962"</f>
        <v>0.962</v>
      </c>
      <c r="N14" s="46"/>
      <c r="O14" s="46" t="str">
        <f>"0.472***"</f>
        <v>0.472***</v>
      </c>
      <c r="P14" s="46"/>
      <c r="Q14" s="46" t="str">
        <f>"0.863**"</f>
        <v>0.863**</v>
      </c>
      <c r="T14" s="46" t="str">
        <f>"0.n_rec_inc_grp_"</f>
        <v>0.n_rec_inc_grp_</v>
      </c>
      <c r="U14" s="46" t="str">
        <f t="shared" ref="U14:Z14" si="3">"0.000"</f>
        <v>0.000</v>
      </c>
      <c r="V14" s="46" t="str">
        <f t="shared" si="3"/>
        <v>0.000</v>
      </c>
      <c r="W14" s="46" t="str">
        <f t="shared" si="3"/>
        <v>0.000</v>
      </c>
      <c r="X14" s="46" t="str">
        <f t="shared" si="3"/>
        <v>0.000</v>
      </c>
      <c r="Y14" s="46" t="str">
        <f t="shared" si="3"/>
        <v>0.000</v>
      </c>
      <c r="Z14" s="46" t="str">
        <f t="shared" si="3"/>
        <v>0.000</v>
      </c>
    </row>
    <row r="15" spans="6:26" x14ac:dyDescent="0.25">
      <c r="F15" s="36" t="s">
        <v>243</v>
      </c>
      <c r="G15" s="36"/>
      <c r="H15" s="36"/>
      <c r="K15" s="36"/>
      <c r="L15" s="36"/>
      <c r="M15" s="36"/>
      <c r="N15" s="36"/>
      <c r="O15" s="36"/>
      <c r="P15" s="36"/>
      <c r="Q15" s="36"/>
      <c r="T15" s="46" t="str">
        <f>"1.n_rec_inc_grp_"</f>
        <v>1.n_rec_inc_grp_</v>
      </c>
    </row>
    <row r="16" spans="6:26" x14ac:dyDescent="0.25">
      <c r="F16" s="36" t="s">
        <v>244</v>
      </c>
      <c r="G16" s="46" t="str">
        <f>"0.213*"</f>
        <v>0.213*</v>
      </c>
      <c r="H16" s="46"/>
      <c r="I16" s="46" t="str">
        <f>"1.329***"</f>
        <v>1.329***</v>
      </c>
      <c r="J16" s="46"/>
      <c r="K16" s="46" t="str">
        <f>"-0.114"</f>
        <v>-0.114</v>
      </c>
      <c r="L16" s="46"/>
      <c r="M16" s="46" t="str">
        <f>"1.008"</f>
        <v>1.008</v>
      </c>
      <c r="N16" s="46"/>
      <c r="O16" s="46" t="str">
        <f>"0.322**"</f>
        <v>0.322**</v>
      </c>
      <c r="P16" s="46"/>
      <c r="Q16" s="46" t="str">
        <f>"1.909***"</f>
        <v>1.909***</v>
      </c>
      <c r="T16" s="46" t="str">
        <f>"2.n_rec_inc_grp_"</f>
        <v>2.n_rec_inc_grp_</v>
      </c>
    </row>
    <row r="17" spans="6:26" x14ac:dyDescent="0.25">
      <c r="F17" s="36" t="s">
        <v>181</v>
      </c>
      <c r="G17" s="46" t="str">
        <f>"0.008"</f>
        <v>0.008</v>
      </c>
      <c r="H17" s="46"/>
      <c r="I17" s="46" t="str">
        <f>"1.119**"</f>
        <v>1.119**</v>
      </c>
      <c r="J17" s="46"/>
      <c r="K17" s="46" t="str">
        <f>"-0.110"</f>
        <v>-0.110</v>
      </c>
      <c r="L17" s="46"/>
      <c r="M17" s="46" t="str">
        <f>"0.708"</f>
        <v>0.708</v>
      </c>
      <c r="N17" s="46"/>
      <c r="O17" s="46" t="str">
        <f>"0.025"</f>
        <v>0.025</v>
      </c>
      <c r="P17" s="46"/>
      <c r="Q17" s="46" t="str">
        <f>"0.982"</f>
        <v>0.982</v>
      </c>
      <c r="T17" s="46" t="str">
        <f>"3.n_rec_inc_grp_"</f>
        <v>3.n_rec_inc_grp_</v>
      </c>
    </row>
    <row r="18" spans="6:26" x14ac:dyDescent="0.25">
      <c r="F18" s="36" t="s">
        <v>245</v>
      </c>
      <c r="G18" s="36"/>
      <c r="H18" s="36"/>
      <c r="K18" s="36"/>
      <c r="L18" s="36"/>
      <c r="M18" s="36"/>
      <c r="N18" s="36"/>
      <c r="O18" s="36"/>
      <c r="P18" s="36"/>
      <c r="Q18" s="36"/>
      <c r="T18" s="46" t="str">
        <f>"4.n_rec_inc_grp_"</f>
        <v>4.n_rec_inc_grp_</v>
      </c>
    </row>
    <row r="19" spans="6:26" x14ac:dyDescent="0.25">
      <c r="F19" s="36" t="s">
        <v>246</v>
      </c>
      <c r="G19" s="46" t="str">
        <f>"0.051"</f>
        <v>0.051</v>
      </c>
      <c r="H19" s="46"/>
      <c r="I19" s="46" t="str">
        <f>"0.525*"</f>
        <v>0.525*</v>
      </c>
      <c r="J19" s="46"/>
      <c r="K19" s="46" t="str">
        <f>"0.351"</f>
        <v>0.351</v>
      </c>
      <c r="L19" s="46"/>
      <c r="M19" s="46" t="str">
        <f>"2.299**"</f>
        <v>2.299**</v>
      </c>
      <c r="N19" s="46"/>
      <c r="O19" s="46" t="str">
        <f>"0.017"</f>
        <v>0.017</v>
      </c>
      <c r="P19" s="46"/>
      <c r="Q19" s="46" t="str">
        <f>"0.230"</f>
        <v>0.230</v>
      </c>
      <c r="T19" s="46" t="str">
        <f>"5.n_rec_inc_grp_"</f>
        <v>5.n_rec_inc_grp_</v>
      </c>
    </row>
    <row r="20" spans="6:26" x14ac:dyDescent="0.25">
      <c r="F20" s="36" t="s">
        <v>247</v>
      </c>
      <c r="G20" s="46" t="str">
        <f>"0.072"</f>
        <v>0.072</v>
      </c>
      <c r="H20" s="46"/>
      <c r="I20" s="46" t="str">
        <f>"-0.531"</f>
        <v>-0.531</v>
      </c>
      <c r="J20" s="46"/>
      <c r="K20" s="46" t="str">
        <f>"0.237"</f>
        <v>0.237</v>
      </c>
      <c r="L20" s="46"/>
      <c r="M20" s="46" t="str">
        <f>"2.152"</f>
        <v>2.152</v>
      </c>
      <c r="N20" s="46"/>
      <c r="O20" s="46" t="str">
        <f>"0.066"</f>
        <v>0.066</v>
      </c>
      <c r="P20" s="46"/>
      <c r="Q20" s="46" t="str">
        <f>"-1.539**"</f>
        <v>-1.539**</v>
      </c>
      <c r="T20" s="46" t="str">
        <f>"6.n_rec_inc_grp_"</f>
        <v>6.n_rec_inc_grp_</v>
      </c>
    </row>
    <row r="21" spans="6:26" x14ac:dyDescent="0.25">
      <c r="F21" s="36" t="s">
        <v>248</v>
      </c>
      <c r="G21" s="36"/>
      <c r="H21" s="36"/>
      <c r="K21" s="36"/>
      <c r="L21" s="36"/>
      <c r="M21" s="36"/>
      <c r="N21" s="36"/>
      <c r="O21" s="36"/>
      <c r="P21" s="36"/>
      <c r="Q21" s="36"/>
      <c r="T21" s="46" t="str">
        <f>"1.rec_edu_"</f>
        <v>1.rec_edu_</v>
      </c>
      <c r="U21" s="46" t="str">
        <f t="shared" ref="U21:Z21" si="4">"0.000"</f>
        <v>0.000</v>
      </c>
      <c r="V21" s="46" t="str">
        <f t="shared" si="4"/>
        <v>0.000</v>
      </c>
      <c r="W21" s="46" t="str">
        <f t="shared" si="4"/>
        <v>0.000</v>
      </c>
      <c r="X21" s="46" t="str">
        <f t="shared" si="4"/>
        <v>0.000</v>
      </c>
      <c r="Y21" s="46" t="str">
        <f t="shared" si="4"/>
        <v>0.000</v>
      </c>
      <c r="Z21" s="46" t="str">
        <f t="shared" si="4"/>
        <v>0.000</v>
      </c>
    </row>
    <row r="22" spans="6:26" x14ac:dyDescent="0.25">
      <c r="F22" s="36" t="s">
        <v>246</v>
      </c>
      <c r="G22" s="46" t="str">
        <f>"-0.181"</f>
        <v>-0.181</v>
      </c>
      <c r="H22" s="46"/>
      <c r="I22" s="46" t="str">
        <f>"0.251"</f>
        <v>0.251</v>
      </c>
      <c r="J22" s="46"/>
      <c r="K22" s="46" t="str">
        <f>"-0.297"</f>
        <v>-0.297</v>
      </c>
      <c r="L22" s="46"/>
      <c r="M22" s="46" t="str">
        <f>"-1.160"</f>
        <v>-1.160</v>
      </c>
      <c r="N22" s="46"/>
      <c r="O22" s="46" t="str">
        <f>"-0.145"</f>
        <v>-0.145</v>
      </c>
      <c r="P22" s="46"/>
      <c r="Q22" s="46" t="str">
        <f>"0.416"</f>
        <v>0.416</v>
      </c>
      <c r="T22" s="46" t="str">
        <f>"2.rec_edu_"</f>
        <v>2.rec_edu_</v>
      </c>
    </row>
    <row r="23" spans="6:26" x14ac:dyDescent="0.25">
      <c r="F23" s="36" t="s">
        <v>247</v>
      </c>
      <c r="G23" s="46" t="str">
        <f>"-0.411**"</f>
        <v>-0.411**</v>
      </c>
      <c r="H23" s="46"/>
      <c r="I23" s="46" t="str">
        <f>"0.367"</f>
        <v>0.367</v>
      </c>
      <c r="J23" s="46"/>
      <c r="K23" s="46" t="str">
        <f>"-0.760**"</f>
        <v>-0.760**</v>
      </c>
      <c r="L23" s="46"/>
      <c r="M23" s="46" t="str">
        <f>"-1.279"</f>
        <v>-1.279</v>
      </c>
      <c r="N23" s="46"/>
      <c r="O23" s="46" t="str">
        <f>"-0.330"</f>
        <v>-0.330</v>
      </c>
      <c r="P23" s="46"/>
      <c r="Q23" s="46" t="str">
        <f>"0.682"</f>
        <v>0.682</v>
      </c>
      <c r="T23" s="46" t="str">
        <f>"3.rec_edu_"</f>
        <v>3.rec_edu_</v>
      </c>
    </row>
    <row r="24" spans="6:26" x14ac:dyDescent="0.25">
      <c r="F24" s="36" t="s">
        <v>193</v>
      </c>
      <c r="G24" s="36"/>
      <c r="H24" s="36"/>
      <c r="K24" s="36"/>
      <c r="L24" s="36"/>
      <c r="M24" s="36"/>
      <c r="N24" s="36"/>
      <c r="O24" s="36"/>
      <c r="P24" s="36"/>
      <c r="Q24" s="36"/>
      <c r="T24" s="46" t="str">
        <f>"1.rec_edu_p"</f>
        <v>1.rec_edu_p</v>
      </c>
      <c r="U24" s="46" t="str">
        <f t="shared" ref="U24:Z24" si="5">"0.000"</f>
        <v>0.000</v>
      </c>
      <c r="V24" s="46" t="str">
        <f t="shared" si="5"/>
        <v>0.000</v>
      </c>
      <c r="W24" s="46" t="str">
        <f t="shared" si="5"/>
        <v>0.000</v>
      </c>
      <c r="X24" s="46" t="str">
        <f t="shared" si="5"/>
        <v>0.000</v>
      </c>
      <c r="Y24" s="46" t="str">
        <f t="shared" si="5"/>
        <v>0.000</v>
      </c>
      <c r="Z24" s="46" t="str">
        <f t="shared" si="5"/>
        <v>0.000</v>
      </c>
    </row>
    <row r="25" spans="6:26" x14ac:dyDescent="0.25">
      <c r="F25" s="36" t="s">
        <v>249</v>
      </c>
      <c r="G25" s="36"/>
      <c r="H25" s="36"/>
      <c r="K25" s="36"/>
      <c r="L25" s="36"/>
      <c r="M25" s="36"/>
      <c r="N25" s="36"/>
      <c r="O25" s="36"/>
      <c r="P25" s="36"/>
      <c r="Q25" s="36"/>
      <c r="T25" s="46" t="str">
        <f>"2.rec_edu_p"</f>
        <v>2.rec_edu_p</v>
      </c>
    </row>
    <row r="26" spans="6:26" x14ac:dyDescent="0.25">
      <c r="F26" s="36" t="s">
        <v>250</v>
      </c>
      <c r="G26" s="46" t="str">
        <f>"-0.219**"</f>
        <v>-0.219**</v>
      </c>
      <c r="H26" s="46"/>
      <c r="I26" s="46" t="str">
        <f>"0.492"</f>
        <v>0.492</v>
      </c>
      <c r="J26" s="46"/>
      <c r="K26" s="46" t="str">
        <f>"-0.054"</f>
        <v>-0.054</v>
      </c>
      <c r="L26" s="46"/>
      <c r="M26" s="46" t="str">
        <f>"0.844"</f>
        <v>0.844</v>
      </c>
      <c r="N26" s="46"/>
      <c r="O26" s="46" t="str">
        <f>"-0.279**"</f>
        <v>-0.279**</v>
      </c>
      <c r="P26" s="46"/>
      <c r="Q26" s="46" t="str">
        <f>"-0.334"</f>
        <v>-0.334</v>
      </c>
      <c r="T26" s="46" t="str">
        <f>"3.rec_edu_p"</f>
        <v>3.rec_edu_p</v>
      </c>
    </row>
    <row r="27" spans="6:26" x14ac:dyDescent="0.25">
      <c r="F27" s="36" t="s">
        <v>251</v>
      </c>
      <c r="G27" s="46" t="str">
        <f>"-0.271**"</f>
        <v>-0.271**</v>
      </c>
      <c r="H27" s="46"/>
      <c r="I27" s="46" t="str">
        <f>"0.933"</f>
        <v>0.933</v>
      </c>
      <c r="J27" s="46"/>
      <c r="K27" s="46" t="str">
        <f>"0.026"</f>
        <v>0.026</v>
      </c>
      <c r="L27" s="46"/>
      <c r="M27" s="46" t="str">
        <f>"0.619"</f>
        <v>0.619</v>
      </c>
      <c r="N27" s="46"/>
      <c r="O27" s="46" t="str">
        <f>"-0.382***"</f>
        <v>-0.382***</v>
      </c>
      <c r="P27" s="46"/>
      <c r="Q27" s="46" t="str">
        <f>"0.531"</f>
        <v>0.531</v>
      </c>
      <c r="T27" s="46" t="str">
        <f>"1.hos_type_"</f>
        <v>1.hos_type_</v>
      </c>
      <c r="U27" s="46" t="str">
        <f t="shared" ref="U27:Z27" si="6">"0.000"</f>
        <v>0.000</v>
      </c>
      <c r="V27" s="46" t="str">
        <f t="shared" si="6"/>
        <v>0.000</v>
      </c>
      <c r="W27" s="46" t="str">
        <f t="shared" si="6"/>
        <v>0.000</v>
      </c>
      <c r="X27" s="46" t="str">
        <f t="shared" si="6"/>
        <v>0.000</v>
      </c>
      <c r="Y27" s="46" t="str">
        <f t="shared" si="6"/>
        <v>0.000</v>
      </c>
      <c r="Z27" s="46" t="str">
        <f t="shared" si="6"/>
        <v>0.000</v>
      </c>
    </row>
    <row r="28" spans="6:26" x14ac:dyDescent="0.25">
      <c r="F28" s="36" t="s">
        <v>252</v>
      </c>
      <c r="G28" s="46" t="str">
        <f>"0.134"</f>
        <v>0.134</v>
      </c>
      <c r="H28" s="46"/>
      <c r="I28" s="46" t="str">
        <f>"0.579"</f>
        <v>0.579</v>
      </c>
      <c r="J28" s="46"/>
      <c r="K28" s="46" t="str">
        <f>"0.380*"</f>
        <v>0.380*</v>
      </c>
      <c r="L28" s="46"/>
      <c r="M28" s="46" t="str">
        <f>""</f>
        <v/>
      </c>
      <c r="N28" s="46"/>
      <c r="O28" s="46" t="str">
        <f>"0.069"</f>
        <v>0.069</v>
      </c>
      <c r="P28" s="46"/>
      <c r="Q28" s="46" t="str">
        <f>"0.038"</f>
        <v>0.038</v>
      </c>
      <c r="T28" s="46" t="str">
        <f>"2.hos_type_"</f>
        <v>2.hos_type_</v>
      </c>
    </row>
    <row r="29" spans="6:26" x14ac:dyDescent="0.25">
      <c r="F29" s="36" t="s">
        <v>253</v>
      </c>
      <c r="G29" s="46" t="str">
        <f>"-0.004**"</f>
        <v>-0.004**</v>
      </c>
      <c r="H29" s="46"/>
      <c r="I29" s="46" t="str">
        <f>"-0.014"</f>
        <v>-0.014</v>
      </c>
      <c r="J29" s="46"/>
      <c r="K29" s="46" t="str">
        <f>"-0.006**"</f>
        <v>-0.006**</v>
      </c>
      <c r="L29" s="46"/>
      <c r="M29" s="46" t="str">
        <f>"-0.013"</f>
        <v>-0.013</v>
      </c>
      <c r="N29" s="46"/>
      <c r="O29" s="46" t="str">
        <f>"-0.002"</f>
        <v>-0.002</v>
      </c>
      <c r="P29" s="46"/>
      <c r="Q29" s="46" t="str">
        <f>"-0.014"</f>
        <v>-0.014</v>
      </c>
      <c r="T29" s="46" t="str">
        <f>"3.hos_type_"</f>
        <v>3.hos_type_</v>
      </c>
    </row>
    <row r="30" spans="6:26" x14ac:dyDescent="0.25">
      <c r="F30" s="46" t="str">
        <f>"N"</f>
        <v>N</v>
      </c>
      <c r="G30" s="46" t="str">
        <f>"2524"</f>
        <v>2524</v>
      </c>
      <c r="H30" s="46"/>
      <c r="I30" s="46" t="str">
        <f>"253"</f>
        <v>253</v>
      </c>
      <c r="J30" s="46"/>
      <c r="K30" s="46" t="str">
        <f>"651"</f>
        <v>651</v>
      </c>
      <c r="L30" s="46"/>
      <c r="M30" s="46" t="str">
        <f>"82"</f>
        <v>82</v>
      </c>
      <c r="N30" s="46"/>
      <c r="O30" s="46" t="str">
        <f>"1873"</f>
        <v>1873</v>
      </c>
      <c r="P30" s="46"/>
      <c r="Q30" s="46" t="str">
        <f>"171"</f>
        <v>171</v>
      </c>
      <c r="T30" s="46" t="str">
        <f>"4.hos_type_"</f>
        <v>4.hos_type_</v>
      </c>
    </row>
    <row r="31" spans="6:26" x14ac:dyDescent="0.25">
      <c r="T31" s="46" t="str">
        <f>"n_d_rent_affd"</f>
        <v>n_d_rent_affd</v>
      </c>
      <c r="U31" s="46" t="str">
        <f>""</f>
        <v/>
      </c>
    </row>
    <row r="35" spans="6:12" x14ac:dyDescent="0.25">
      <c r="F35" s="46" t="str">
        <f>""</f>
        <v/>
      </c>
      <c r="G35" s="46" t="str">
        <f>"(1)"</f>
        <v>(1)</v>
      </c>
      <c r="H35" s="46" t="str">
        <f>"(2)"</f>
        <v>(2)</v>
      </c>
      <c r="I35" s="46" t="str">
        <f>"(3)"</f>
        <v>(3)</v>
      </c>
      <c r="J35" s="46" t="str">
        <f>"(4)"</f>
        <v>(4)</v>
      </c>
      <c r="K35" s="46" t="str">
        <f>"(5)"</f>
        <v>(5)</v>
      </c>
      <c r="L35" s="46" t="str">
        <f>"(6)"</f>
        <v>(6)</v>
      </c>
    </row>
    <row r="36" spans="6:12" x14ac:dyDescent="0.25">
      <c r="F36" s="46" t="str">
        <f>""</f>
        <v/>
      </c>
      <c r="G36" s="46" t="str">
        <f>"sample_full_hos"</f>
        <v>sample_full_hos</v>
      </c>
      <c r="H36" s="46" t="str">
        <f>"sample_full_rent"</f>
        <v>sample_full_rent</v>
      </c>
      <c r="I36" s="46" t="str">
        <f>"sample_core_hos"</f>
        <v>sample_core_hos</v>
      </c>
      <c r="J36" s="46" t="str">
        <f>"sample_core_rent"</f>
        <v>sample_core_rent</v>
      </c>
      <c r="K36" s="46" t="str">
        <f>"sample_dual_hos"</f>
        <v>sample_dual_hos</v>
      </c>
      <c r="L36" s="46" t="str">
        <f>"sample_dual_rent"</f>
        <v>sample_dual_rent</v>
      </c>
    </row>
    <row r="37" spans="6:12" x14ac:dyDescent="0.25">
      <c r="F37" s="46" t="str">
        <f>"n_d_hos_affd"</f>
        <v>n_d_hos_affd</v>
      </c>
      <c r="G37" s="46" t="str">
        <f>"0.138"</f>
        <v>0.138</v>
      </c>
      <c r="H37" s="46" t="str">
        <f>""</f>
        <v/>
      </c>
      <c r="I37" s="46" t="str">
        <f>"0.156"</f>
        <v>0.156</v>
      </c>
      <c r="J37" s="46" t="str">
        <f>""</f>
        <v/>
      </c>
      <c r="K37" s="46" t="str">
        <f>"0.141"</f>
        <v>0.141</v>
      </c>
      <c r="L37" s="46" t="str">
        <f>""</f>
        <v/>
      </c>
    </row>
    <row r="38" spans="6:12" x14ac:dyDescent="0.25">
      <c r="F38" s="46" t="str">
        <f>"hos_space_"</f>
        <v>hos_space_</v>
      </c>
      <c r="G38" s="46" t="str">
        <f>"-0.004**"</f>
        <v>-0.004**</v>
      </c>
      <c r="H38" s="46" t="str">
        <f>"-0.014"</f>
        <v>-0.014</v>
      </c>
      <c r="I38" s="46" t="str">
        <f>"-0.006**"</f>
        <v>-0.006**</v>
      </c>
      <c r="J38" s="46" t="str">
        <f>"-0.013"</f>
        <v>-0.013</v>
      </c>
      <c r="K38" s="46" t="str">
        <f>"-0.002"</f>
        <v>-0.002</v>
      </c>
      <c r="L38" s="46" t="str">
        <f>"-0.014"</f>
        <v>-0.014</v>
      </c>
    </row>
    <row r="39" spans="6:12" x14ac:dyDescent="0.25">
      <c r="F39" s="46" t="str">
        <f>"0.rec_gender_"</f>
        <v>0.rec_gender_</v>
      </c>
      <c r="G39" s="46" t="str">
        <f t="shared" ref="G39:L39" si="7">"0.000"</f>
        <v>0.000</v>
      </c>
      <c r="H39" s="46" t="str">
        <f t="shared" si="7"/>
        <v>0.000</v>
      </c>
      <c r="I39" s="46" t="str">
        <f t="shared" si="7"/>
        <v>0.000</v>
      </c>
      <c r="J39" s="46" t="str">
        <f t="shared" si="7"/>
        <v>0.000</v>
      </c>
      <c r="K39" s="46" t="str">
        <f t="shared" si="7"/>
        <v>0.000</v>
      </c>
      <c r="L39" s="46" t="str">
        <f t="shared" si="7"/>
        <v>0.000</v>
      </c>
    </row>
    <row r="40" spans="6:12" x14ac:dyDescent="0.25">
      <c r="F40" s="46" t="str">
        <f>"1.rec_gender_"</f>
        <v>1.rec_gender_</v>
      </c>
      <c r="G40" s="46" t="str">
        <f>"-0.145*"</f>
        <v>-0.145*</v>
      </c>
      <c r="H40" s="46" t="str">
        <f>"-0.668***"</f>
        <v>-0.668***</v>
      </c>
      <c r="I40" s="46" t="str">
        <f>"0.079"</f>
        <v>0.079</v>
      </c>
      <c r="J40" s="46" t="str">
        <f>"0.176"</f>
        <v>0.176</v>
      </c>
      <c r="K40" s="46" t="str">
        <f>"-0.234**"</f>
        <v>-0.234**</v>
      </c>
      <c r="L40" s="46" t="str">
        <f>"-1.113***"</f>
        <v>-1.113***</v>
      </c>
    </row>
    <row r="41" spans="6:12" x14ac:dyDescent="0.25">
      <c r="F41" s="46" t="str">
        <f>"0.rec_marital_status_"</f>
        <v>0.rec_marital_status_</v>
      </c>
      <c r="G41" s="46" t="str">
        <f t="shared" ref="G41:L41" si="8">"0.000"</f>
        <v>0.000</v>
      </c>
      <c r="H41" s="46" t="str">
        <f t="shared" si="8"/>
        <v>0.000</v>
      </c>
      <c r="I41" s="46" t="str">
        <f t="shared" si="8"/>
        <v>0.000</v>
      </c>
      <c r="J41" s="46" t="str">
        <f t="shared" si="8"/>
        <v>0.000</v>
      </c>
      <c r="K41" s="46" t="str">
        <f t="shared" si="8"/>
        <v>0.000</v>
      </c>
      <c r="L41" s="46" t="str">
        <f t="shared" si="8"/>
        <v>0.000</v>
      </c>
    </row>
    <row r="42" spans="6:12" x14ac:dyDescent="0.25">
      <c r="F42" s="46" t="str">
        <f>"1.rec_marital_status_"</f>
        <v>1.rec_marital_status_</v>
      </c>
      <c r="G42" s="46" t="str">
        <f>"0.343***"</f>
        <v>0.343***</v>
      </c>
      <c r="H42" s="46" t="str">
        <f>"0.676**"</f>
        <v>0.676**</v>
      </c>
      <c r="I42" s="46" t="str">
        <f>"-0.002"</f>
        <v>-0.002</v>
      </c>
      <c r="J42" s="46" t="str">
        <f>"0.962"</f>
        <v>0.962</v>
      </c>
      <c r="K42" s="46" t="str">
        <f>"0.472***"</f>
        <v>0.472***</v>
      </c>
      <c r="L42" s="46" t="str">
        <f>"0.863**"</f>
        <v>0.863**</v>
      </c>
    </row>
    <row r="43" spans="6:12" x14ac:dyDescent="0.25">
      <c r="F43" s="46" t="str">
        <f>"1.rec_d_employer_"</f>
        <v>1.rec_d_employer_</v>
      </c>
      <c r="G43" s="46" t="str">
        <f t="shared" ref="G43:L43" si="9">"0.000"</f>
        <v>0.000</v>
      </c>
      <c r="H43" s="46" t="str">
        <f t="shared" si="9"/>
        <v>0.000</v>
      </c>
      <c r="I43" s="46" t="str">
        <f t="shared" si="9"/>
        <v>0.000</v>
      </c>
      <c r="J43" s="46" t="str">
        <f t="shared" si="9"/>
        <v>0.000</v>
      </c>
      <c r="K43" s="46" t="str">
        <f t="shared" si="9"/>
        <v>0.000</v>
      </c>
      <c r="L43" s="46" t="str">
        <f t="shared" si="9"/>
        <v>0.000</v>
      </c>
    </row>
    <row r="44" spans="6:12" x14ac:dyDescent="0.25">
      <c r="F44" s="46" t="str">
        <f>"2.rec_d_employer_"</f>
        <v>2.rec_d_employer_</v>
      </c>
      <c r="G44" s="46" t="str">
        <f>"0.213*"</f>
        <v>0.213*</v>
      </c>
      <c r="H44" s="46" t="str">
        <f>"1.329***"</f>
        <v>1.329***</v>
      </c>
      <c r="I44" s="46" t="str">
        <f>"-0.114"</f>
        <v>-0.114</v>
      </c>
      <c r="J44" s="46" t="str">
        <f>"1.008"</f>
        <v>1.008</v>
      </c>
      <c r="K44" s="46" t="str">
        <f>"0.322**"</f>
        <v>0.322**</v>
      </c>
      <c r="L44" s="46" t="str">
        <f>"1.909***"</f>
        <v>1.909***</v>
      </c>
    </row>
    <row r="45" spans="6:12" x14ac:dyDescent="0.25">
      <c r="F45" s="46" t="str">
        <f>"3.rec_d_employer_"</f>
        <v>3.rec_d_employer_</v>
      </c>
      <c r="G45" s="46" t="str">
        <f>"0.008"</f>
        <v>0.008</v>
      </c>
      <c r="H45" s="46" t="str">
        <f>"1.119**"</f>
        <v>1.119**</v>
      </c>
      <c r="I45" s="46" t="str">
        <f>"-0.110"</f>
        <v>-0.110</v>
      </c>
      <c r="J45" s="46" t="str">
        <f>"0.708"</f>
        <v>0.708</v>
      </c>
      <c r="K45" s="46" t="str">
        <f>"0.025"</f>
        <v>0.025</v>
      </c>
      <c r="L45" s="46" t="str">
        <f>"0.982"</f>
        <v>0.982</v>
      </c>
    </row>
    <row r="46" spans="6:12" x14ac:dyDescent="0.25">
      <c r="F46" s="46" t="str">
        <f>"0.n_rec_inc_grp_"</f>
        <v>0.n_rec_inc_grp_</v>
      </c>
      <c r="G46" s="46" t="str">
        <f t="shared" ref="G46:L46" si="10">"0.000"</f>
        <v>0.000</v>
      </c>
      <c r="H46" s="46" t="str">
        <f t="shared" si="10"/>
        <v>0.000</v>
      </c>
      <c r="I46" s="46" t="str">
        <f t="shared" si="10"/>
        <v>0.000</v>
      </c>
      <c r="J46" s="46" t="str">
        <f t="shared" si="10"/>
        <v>0.000</v>
      </c>
      <c r="K46" s="46" t="str">
        <f t="shared" si="10"/>
        <v>0.000</v>
      </c>
      <c r="L46" s="46" t="str">
        <f t="shared" si="10"/>
        <v>0.000</v>
      </c>
    </row>
    <row r="47" spans="6:12" x14ac:dyDescent="0.25">
      <c r="F47" s="46" t="str">
        <f>"1.n_rec_inc_grp_"</f>
        <v>1.n_rec_inc_grp_</v>
      </c>
      <c r="G47" s="46" t="str">
        <f>"-0.002"</f>
        <v>-0.002</v>
      </c>
      <c r="H47" s="46" t="str">
        <f>"-0.161"</f>
        <v>-0.161</v>
      </c>
      <c r="I47" s="46" t="str">
        <f>"-0.072"</f>
        <v>-0.072</v>
      </c>
      <c r="J47" s="46" t="str">
        <f>"-1.503"</f>
        <v>-1.503</v>
      </c>
      <c r="K47" s="46" t="str">
        <f>"0.032"</f>
        <v>0.032</v>
      </c>
      <c r="L47" s="46" t="str">
        <f>"-0.531"</f>
        <v>-0.531</v>
      </c>
    </row>
    <row r="48" spans="6:12" x14ac:dyDescent="0.25">
      <c r="F48" s="46" t="str">
        <f>"2.n_rec_inc_grp_"</f>
        <v>2.n_rec_inc_grp_</v>
      </c>
      <c r="G48" s="46" t="str">
        <f>"0.040"</f>
        <v>0.040</v>
      </c>
      <c r="H48" s="46" t="str">
        <f>"-0.251"</f>
        <v>-0.251</v>
      </c>
      <c r="I48" s="46" t="str">
        <f>"-0.127"</f>
        <v>-0.127</v>
      </c>
      <c r="J48" s="46" t="str">
        <f>"-1.527"</f>
        <v>-1.527</v>
      </c>
      <c r="K48" s="46" t="str">
        <f>"0.173"</f>
        <v>0.173</v>
      </c>
      <c r="L48" s="46" t="str">
        <f>"-0.222"</f>
        <v>-0.222</v>
      </c>
    </row>
    <row r="49" spans="6:12" x14ac:dyDescent="0.25">
      <c r="F49" s="46" t="str">
        <f>"3.n_rec_inc_grp_"</f>
        <v>3.n_rec_inc_grp_</v>
      </c>
      <c r="G49" s="46" t="str">
        <f>"-0.115"</f>
        <v>-0.115</v>
      </c>
      <c r="H49" s="46" t="str">
        <f>"-0.595"</f>
        <v>-0.595</v>
      </c>
      <c r="I49" s="46" t="str">
        <f>"-0.099"</f>
        <v>-0.099</v>
      </c>
      <c r="J49" s="46" t="str">
        <f>"-2.272*"</f>
        <v>-2.272*</v>
      </c>
      <c r="K49" s="46" t="str">
        <f>"-0.032"</f>
        <v>-0.032</v>
      </c>
      <c r="L49" s="46" t="str">
        <f>"-0.373"</f>
        <v>-0.373</v>
      </c>
    </row>
    <row r="50" spans="6:12" x14ac:dyDescent="0.25">
      <c r="F50" s="46" t="str">
        <f>"4.n_rec_inc_grp_"</f>
        <v>4.n_rec_inc_grp_</v>
      </c>
      <c r="G50" s="46" t="str">
        <f>"-0.164"</f>
        <v>-0.164</v>
      </c>
      <c r="H50" s="46" t="str">
        <f>"0.872"</f>
        <v>0.872</v>
      </c>
      <c r="I50" s="46" t="str">
        <f>"-0.570"</f>
        <v>-0.570</v>
      </c>
      <c r="J50" s="46" t="str">
        <f>"-0.395"</f>
        <v>-0.395</v>
      </c>
      <c r="K50" s="46" t="str">
        <f>"-0.006"</f>
        <v>-0.006</v>
      </c>
      <c r="L50" s="46" t="str">
        <f>"0.155"</f>
        <v>0.155</v>
      </c>
    </row>
    <row r="51" spans="6:12" x14ac:dyDescent="0.25">
      <c r="F51" s="46" t="str">
        <f>"5.n_rec_inc_grp_"</f>
        <v>5.n_rec_inc_grp_</v>
      </c>
      <c r="G51" s="46" t="str">
        <f>"-0.088"</f>
        <v>-0.088</v>
      </c>
      <c r="H51" s="46" t="str">
        <f>"0.439"</f>
        <v>0.439</v>
      </c>
      <c r="I51" s="46" t="str">
        <f>"-0.198"</f>
        <v>-0.198</v>
      </c>
      <c r="J51" s="46" t="str">
        <f>"-1.451"</f>
        <v>-1.451</v>
      </c>
      <c r="K51" s="46" t="str">
        <f>"0.079"</f>
        <v>0.079</v>
      </c>
      <c r="L51" s="46" t="str">
        <f>"0.495"</f>
        <v>0.495</v>
      </c>
    </row>
    <row r="52" spans="6:12" x14ac:dyDescent="0.25">
      <c r="F52" s="46" t="str">
        <f>"6.n_rec_inc_grp_"</f>
        <v>6.n_rec_inc_grp_</v>
      </c>
      <c r="G52" s="46" t="str">
        <f>"-0.276"</f>
        <v>-0.276</v>
      </c>
      <c r="H52" s="46" t="str">
        <f>"-1.096"</f>
        <v>-1.096</v>
      </c>
      <c r="I52" s="46" t="str">
        <f>"-0.412"</f>
        <v>-0.412</v>
      </c>
      <c r="J52" s="46" t="str">
        <f>"-1.511"</f>
        <v>-1.511</v>
      </c>
      <c r="K52" s="46" t="str">
        <f>"-0.141"</f>
        <v>-0.141</v>
      </c>
      <c r="L52" s="46" t="str">
        <f>"-1.045"</f>
        <v>-1.045</v>
      </c>
    </row>
    <row r="53" spans="6:12" x14ac:dyDescent="0.25">
      <c r="F53" s="46" t="str">
        <f>"1.rec_edu_"</f>
        <v>1.rec_edu_</v>
      </c>
      <c r="G53" s="46" t="str">
        <f t="shared" ref="G53:L53" si="11">"0.000"</f>
        <v>0.000</v>
      </c>
      <c r="H53" s="46" t="str">
        <f t="shared" si="11"/>
        <v>0.000</v>
      </c>
      <c r="I53" s="46" t="str">
        <f t="shared" si="11"/>
        <v>0.000</v>
      </c>
      <c r="J53" s="46" t="str">
        <f t="shared" si="11"/>
        <v>0.000</v>
      </c>
      <c r="K53" s="46" t="str">
        <f t="shared" si="11"/>
        <v>0.000</v>
      </c>
      <c r="L53" s="46" t="str">
        <f t="shared" si="11"/>
        <v>0.000</v>
      </c>
    </row>
    <row r="54" spans="6:12" x14ac:dyDescent="0.25">
      <c r="F54" s="46" t="str">
        <f>"2.rec_edu_"</f>
        <v>2.rec_edu_</v>
      </c>
      <c r="G54" s="46" t="str">
        <f>"0.051"</f>
        <v>0.051</v>
      </c>
      <c r="H54" s="46" t="str">
        <f>"0.525*"</f>
        <v>0.525*</v>
      </c>
      <c r="I54" s="46" t="str">
        <f>"0.351"</f>
        <v>0.351</v>
      </c>
      <c r="J54" s="46" t="str">
        <f>"2.299**"</f>
        <v>2.299**</v>
      </c>
      <c r="K54" s="46" t="str">
        <f>"0.017"</f>
        <v>0.017</v>
      </c>
      <c r="L54" s="46" t="str">
        <f>"0.230"</f>
        <v>0.230</v>
      </c>
    </row>
    <row r="55" spans="6:12" x14ac:dyDescent="0.25">
      <c r="F55" s="46" t="str">
        <f>"3.rec_edu_"</f>
        <v>3.rec_edu_</v>
      </c>
      <c r="G55" s="46" t="str">
        <f>"0.072"</f>
        <v>0.072</v>
      </c>
      <c r="H55" s="46" t="str">
        <f>"-0.531"</f>
        <v>-0.531</v>
      </c>
      <c r="I55" s="46" t="str">
        <f>"0.237"</f>
        <v>0.237</v>
      </c>
      <c r="J55" s="46" t="str">
        <f>"2.152"</f>
        <v>2.152</v>
      </c>
      <c r="K55" s="46" t="str">
        <f>"0.066"</f>
        <v>0.066</v>
      </c>
      <c r="L55" s="46" t="str">
        <f>"-1.539**"</f>
        <v>-1.539**</v>
      </c>
    </row>
    <row r="56" spans="6:12" x14ac:dyDescent="0.25">
      <c r="F56" s="46" t="str">
        <f>"1.rec_edu_p"</f>
        <v>1.rec_edu_p</v>
      </c>
      <c r="G56" s="46" t="str">
        <f t="shared" ref="G56:L56" si="12">"0.000"</f>
        <v>0.000</v>
      </c>
      <c r="H56" s="46" t="str">
        <f t="shared" si="12"/>
        <v>0.000</v>
      </c>
      <c r="I56" s="46" t="str">
        <f t="shared" si="12"/>
        <v>0.000</v>
      </c>
      <c r="J56" s="46" t="str">
        <f t="shared" si="12"/>
        <v>0.000</v>
      </c>
      <c r="K56" s="46" t="str">
        <f t="shared" si="12"/>
        <v>0.000</v>
      </c>
      <c r="L56" s="46" t="str">
        <f t="shared" si="12"/>
        <v>0.000</v>
      </c>
    </row>
    <row r="57" spans="6:12" x14ac:dyDescent="0.25">
      <c r="F57" s="46" t="str">
        <f>"2.rec_edu_p"</f>
        <v>2.rec_edu_p</v>
      </c>
      <c r="G57" s="46" t="str">
        <f>"-0.181"</f>
        <v>-0.181</v>
      </c>
      <c r="H57" s="46" t="str">
        <f>"0.251"</f>
        <v>0.251</v>
      </c>
      <c r="I57" s="46" t="str">
        <f>"-0.297"</f>
        <v>-0.297</v>
      </c>
      <c r="J57" s="46" t="str">
        <f>"-1.160"</f>
        <v>-1.160</v>
      </c>
      <c r="K57" s="46" t="str">
        <f>"-0.145"</f>
        <v>-0.145</v>
      </c>
      <c r="L57" s="46" t="str">
        <f>"0.416"</f>
        <v>0.416</v>
      </c>
    </row>
    <row r="58" spans="6:12" x14ac:dyDescent="0.25">
      <c r="F58" s="46" t="str">
        <f>"3.rec_edu_p"</f>
        <v>3.rec_edu_p</v>
      </c>
      <c r="G58" s="46" t="str">
        <f>"-0.411**"</f>
        <v>-0.411**</v>
      </c>
      <c r="H58" s="46" t="str">
        <f>"0.367"</f>
        <v>0.367</v>
      </c>
      <c r="I58" s="46" t="str">
        <f>"-0.760**"</f>
        <v>-0.760**</v>
      </c>
      <c r="J58" s="46" t="str">
        <f>"-1.279"</f>
        <v>-1.279</v>
      </c>
      <c r="K58" s="46" t="str">
        <f>"-0.330"</f>
        <v>-0.330</v>
      </c>
      <c r="L58" s="46" t="str">
        <f>"0.682"</f>
        <v>0.682</v>
      </c>
    </row>
    <row r="59" spans="6:12" x14ac:dyDescent="0.25">
      <c r="F59" s="46" t="str">
        <f>"1.hos_type_"</f>
        <v>1.hos_type_</v>
      </c>
      <c r="G59" s="46" t="str">
        <f t="shared" ref="G59:L59" si="13">"0.000"</f>
        <v>0.000</v>
      </c>
      <c r="H59" s="46" t="str">
        <f t="shared" si="13"/>
        <v>0.000</v>
      </c>
      <c r="I59" s="46" t="str">
        <f t="shared" si="13"/>
        <v>0.000</v>
      </c>
      <c r="J59" s="46" t="str">
        <f t="shared" si="13"/>
        <v>0.000</v>
      </c>
      <c r="K59" s="46" t="str">
        <f t="shared" si="13"/>
        <v>0.000</v>
      </c>
      <c r="L59" s="46" t="str">
        <f t="shared" si="13"/>
        <v>0.000</v>
      </c>
    </row>
    <row r="60" spans="6:12" x14ac:dyDescent="0.25">
      <c r="F60" s="46" t="str">
        <f>"2.hos_type_"</f>
        <v>2.hos_type_</v>
      </c>
      <c r="G60" s="46" t="str">
        <f>"-0.219**"</f>
        <v>-0.219**</v>
      </c>
      <c r="H60" s="46" t="str">
        <f>"0.492"</f>
        <v>0.492</v>
      </c>
      <c r="I60" s="46" t="str">
        <f>"-0.054"</f>
        <v>-0.054</v>
      </c>
      <c r="J60" s="46" t="str">
        <f>"0.844"</f>
        <v>0.844</v>
      </c>
      <c r="K60" s="46" t="str">
        <f>"-0.279**"</f>
        <v>-0.279**</v>
      </c>
      <c r="L60" s="46" t="str">
        <f>"-0.334"</f>
        <v>-0.334</v>
      </c>
    </row>
    <row r="61" spans="6:12" x14ac:dyDescent="0.25">
      <c r="F61" s="46" t="str">
        <f>"3.hos_type_"</f>
        <v>3.hos_type_</v>
      </c>
      <c r="G61" s="46" t="str">
        <f>"-0.271**"</f>
        <v>-0.271**</v>
      </c>
      <c r="H61" s="46" t="str">
        <f>"0.933"</f>
        <v>0.933</v>
      </c>
      <c r="I61" s="46" t="str">
        <f>"0.026"</f>
        <v>0.026</v>
      </c>
      <c r="J61" s="46" t="str">
        <f>"0.619"</f>
        <v>0.619</v>
      </c>
      <c r="K61" s="46" t="str">
        <f>"-0.382***"</f>
        <v>-0.382***</v>
      </c>
      <c r="L61" s="46" t="str">
        <f>"0.531"</f>
        <v>0.531</v>
      </c>
    </row>
    <row r="62" spans="6:12" x14ac:dyDescent="0.25">
      <c r="F62" s="46" t="str">
        <f>"4.hos_type_"</f>
        <v>4.hos_type_</v>
      </c>
      <c r="G62" s="46" t="str">
        <f>"0.134"</f>
        <v>0.134</v>
      </c>
      <c r="H62" s="46" t="str">
        <f>"0.579"</f>
        <v>0.579</v>
      </c>
      <c r="I62" s="46" t="str">
        <f>"0.380*"</f>
        <v>0.380*</v>
      </c>
      <c r="J62" s="46" t="str">
        <f>""</f>
        <v/>
      </c>
      <c r="K62" s="46" t="str">
        <f>"0.069"</f>
        <v>0.069</v>
      </c>
      <c r="L62" s="46" t="str">
        <f>"0.038"</f>
        <v>0.038</v>
      </c>
    </row>
    <row r="63" spans="6:12" x14ac:dyDescent="0.25">
      <c r="F63" s="46" t="str">
        <f>"n_d_rent_affd"</f>
        <v>n_d_rent_affd</v>
      </c>
      <c r="G63" s="46" t="str">
        <f>""</f>
        <v/>
      </c>
      <c r="H63" s="46" t="str">
        <f>"-0.225"</f>
        <v>-0.225</v>
      </c>
      <c r="I63" s="46" t="str">
        <f>""</f>
        <v/>
      </c>
      <c r="J63" s="46" t="str">
        <f>"0.350"</f>
        <v>0.350</v>
      </c>
      <c r="K63" s="46" t="str">
        <f>""</f>
        <v/>
      </c>
      <c r="L63" s="46" t="str">
        <f>"-0.183"</f>
        <v>-0.183</v>
      </c>
    </row>
    <row r="64" spans="6:12" x14ac:dyDescent="0.25">
      <c r="F64" s="46" t="str">
        <f>"N"</f>
        <v>N</v>
      </c>
      <c r="G64" s="46" t="str">
        <f>"2524"</f>
        <v>2524</v>
      </c>
      <c r="H64" s="46" t="str">
        <f>"253"</f>
        <v>253</v>
      </c>
      <c r="I64" s="46" t="str">
        <f>"651"</f>
        <v>651</v>
      </c>
      <c r="J64" s="46" t="str">
        <f>"82"</f>
        <v>82</v>
      </c>
      <c r="K64" s="46" t="str">
        <f>"1873"</f>
        <v>1873</v>
      </c>
      <c r="L64" s="46" t="str">
        <f>"171"</f>
        <v>171</v>
      </c>
    </row>
  </sheetData>
  <mergeCells count="10">
    <mergeCell ref="F3:F5"/>
    <mergeCell ref="G3:J3"/>
    <mergeCell ref="K3:N3"/>
    <mergeCell ref="O3:R3"/>
    <mergeCell ref="G4:H4"/>
    <mergeCell ref="I4:J4"/>
    <mergeCell ref="K4:L4"/>
    <mergeCell ref="M4:N4"/>
    <mergeCell ref="O4:P4"/>
    <mergeCell ref="Q4:R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9F150-A0BA-4ADE-91F5-ED8F840F475A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BAE53-5113-4D14-B1D3-5116CF05E407}">
  <dimension ref="A1"/>
  <sheetViews>
    <sheetView workbookViewId="0">
      <selection activeCell="D31" sqref="D31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B1D4-F11E-41C5-B6A2-FC7AF827DCD2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8D992-5A12-4FF0-8CE2-110D01199CC1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FD69A-1FD5-4FBB-B19F-A5523C00E639}">
  <dimension ref="A1"/>
  <sheetViews>
    <sheetView workbookViewId="0">
      <selection activeCell="R12" sqref="R12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描述统计</vt:lpstr>
      <vt:lpstr>实证1</vt:lpstr>
      <vt:lpstr>实证2</vt:lpstr>
      <vt:lpstr>Sheet3</vt:lpstr>
      <vt:lpstr>1.因变量</vt:lpstr>
      <vt:lpstr>2.自变量</vt:lpstr>
      <vt:lpstr>3.控制变量</vt:lpstr>
      <vt:lpstr>4.交互联合</vt:lpstr>
      <vt:lpstr>5.论文呈现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2020-08-16T18:59:09Z</dcterms:modified>
</cp:coreProperties>
</file>