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355\Documents\Quality Manager\Data\MonthlyCharts\"/>
    </mc:Choice>
  </mc:AlternateContent>
  <bookViews>
    <workbookView xWindow="120" yWindow="330" windowWidth="15240" windowHeight="7815" activeTab="1"/>
  </bookViews>
  <sheets>
    <sheet name="CONC" sheetId="1" r:id="rId1"/>
    <sheet name="NCRs" sheetId="3" r:id="rId2"/>
    <sheet name="FPRs" sheetId="7" r:id="rId3"/>
    <sheet name="FPY" sheetId="8" r:id="rId4"/>
    <sheet name="RTY" sheetId="9" r:id="rId5"/>
  </sheets>
  <definedNames>
    <definedName name="tblConc" localSheetId="1">#REF!</definedName>
    <definedName name="tblConc">CONC!$A$1:$S$22</definedName>
  </definedNames>
  <calcPr calcId="162913"/>
</workbook>
</file>

<file path=xl/calcChain.xml><?xml version="1.0" encoding="utf-8"?>
<calcChain xmlns="http://schemas.openxmlformats.org/spreadsheetml/2006/main">
  <c r="E30" i="3" l="1"/>
  <c r="G30" i="3" s="1"/>
  <c r="E28" i="8" l="1"/>
  <c r="F28" i="8" s="1"/>
  <c r="C28" i="9"/>
  <c r="G28" i="8" l="1"/>
  <c r="G22" i="1"/>
  <c r="H22" i="1"/>
  <c r="I22" i="1"/>
  <c r="K22" i="1"/>
  <c r="Q22" i="1" s="1"/>
  <c r="L22" i="1"/>
  <c r="H22" i="7" l="1"/>
  <c r="E27" i="8" l="1"/>
  <c r="F27" i="8" s="1"/>
  <c r="E26" i="8"/>
  <c r="F26" i="8" s="1"/>
  <c r="E29" i="3"/>
  <c r="G29" i="3" s="1"/>
  <c r="G27" i="8" l="1"/>
  <c r="G26" i="8"/>
  <c r="G21" i="1"/>
  <c r="H21" i="1"/>
  <c r="I21" i="1"/>
  <c r="K21" i="1"/>
  <c r="Q21" i="1" s="1"/>
  <c r="L21" i="1"/>
  <c r="H21" i="7" l="1"/>
  <c r="H20" i="7" l="1"/>
  <c r="E28" i="3" l="1"/>
  <c r="G28" i="3" s="1"/>
  <c r="G20" i="1" l="1"/>
  <c r="H20" i="1"/>
  <c r="I20" i="1"/>
  <c r="K20" i="1"/>
  <c r="L20" i="1"/>
  <c r="Q20" i="1" l="1"/>
  <c r="M22" i="1"/>
  <c r="G19" i="1"/>
  <c r="H19" i="1"/>
  <c r="I19" i="1"/>
  <c r="K19" i="1"/>
  <c r="M21" i="1" s="1"/>
  <c r="L19" i="1"/>
  <c r="Q19" i="1" l="1"/>
  <c r="E27" i="3"/>
  <c r="G27" i="3" s="1"/>
  <c r="H19" i="7"/>
  <c r="E25" i="8" l="1"/>
  <c r="F25" i="8" s="1"/>
  <c r="G25" i="8" l="1"/>
  <c r="G24" i="9"/>
  <c r="E24" i="8"/>
  <c r="G24" i="8" s="1"/>
  <c r="F24" i="8" l="1"/>
  <c r="H18" i="7"/>
  <c r="E26" i="3"/>
  <c r="G26" i="3" s="1"/>
  <c r="G18" i="1" l="1"/>
  <c r="H18" i="1"/>
  <c r="I18" i="1"/>
  <c r="K18" i="1"/>
  <c r="L18" i="1"/>
  <c r="Q18" i="1" l="1"/>
  <c r="M20" i="1"/>
  <c r="E25" i="3"/>
  <c r="G25" i="3" s="1"/>
  <c r="H17" i="7"/>
  <c r="E17" i="1"/>
  <c r="G17" i="1" l="1"/>
  <c r="H17" i="1"/>
  <c r="I17" i="1"/>
  <c r="K17" i="1"/>
  <c r="N22" i="1" s="1"/>
  <c r="L17" i="1"/>
  <c r="Q17" i="1" l="1"/>
  <c r="M19" i="1"/>
  <c r="L19" i="7"/>
  <c r="L18" i="7"/>
  <c r="E23" i="8"/>
  <c r="F23" i="8" s="1"/>
  <c r="G23" i="8" l="1"/>
  <c r="E22" i="8"/>
  <c r="F22" i="8" s="1"/>
  <c r="H16" i="7"/>
  <c r="G22" i="8" l="1"/>
  <c r="E24" i="3"/>
  <c r="G24" i="3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G16" i="1" l="1"/>
  <c r="H16" i="1"/>
  <c r="I16" i="1"/>
  <c r="K16" i="1"/>
  <c r="M18" i="1" l="1"/>
  <c r="N21" i="1"/>
  <c r="Q16" i="1"/>
  <c r="H4" i="1"/>
  <c r="H5" i="1"/>
  <c r="H6" i="1"/>
  <c r="H7" i="1"/>
  <c r="H8" i="1"/>
  <c r="H9" i="1"/>
  <c r="H10" i="1"/>
  <c r="H11" i="1"/>
  <c r="H12" i="1"/>
  <c r="H13" i="1"/>
  <c r="H14" i="1"/>
  <c r="H15" i="1"/>
  <c r="G15" i="1" l="1"/>
  <c r="I15" i="1"/>
  <c r="K15" i="1"/>
  <c r="N20" i="1" s="1"/>
  <c r="Q15" i="1" l="1"/>
  <c r="M17" i="1"/>
  <c r="E21" i="8"/>
  <c r="G21" i="8" s="1"/>
  <c r="F21" i="8" l="1"/>
  <c r="H15" i="7"/>
  <c r="E23" i="3"/>
  <c r="G23" i="3" s="1"/>
  <c r="E20" i="8" l="1"/>
  <c r="F20" i="8" s="1"/>
  <c r="G20" i="8" l="1"/>
  <c r="G14" i="1" l="1"/>
  <c r="I14" i="1"/>
  <c r="K14" i="1"/>
  <c r="N19" i="1" s="1"/>
  <c r="Q14" i="1" l="1"/>
  <c r="M16" i="1"/>
  <c r="E22" i="3"/>
  <c r="G22" i="3" s="1"/>
  <c r="H2" i="7"/>
  <c r="H3" i="7"/>
  <c r="H4" i="7"/>
  <c r="H5" i="7"/>
  <c r="H6" i="7"/>
  <c r="H7" i="7"/>
  <c r="H8" i="7"/>
  <c r="H9" i="7"/>
  <c r="H10" i="7"/>
  <c r="H11" i="7"/>
  <c r="H12" i="7"/>
  <c r="H13" i="7"/>
  <c r="H14" i="7"/>
  <c r="E19" i="8" l="1"/>
  <c r="G19" i="8" s="1"/>
  <c r="E18" i="8"/>
  <c r="G18" i="8" s="1"/>
  <c r="E17" i="8"/>
  <c r="G17" i="8" s="1"/>
  <c r="E16" i="8"/>
  <c r="G16" i="8" s="1"/>
  <c r="E15" i="8"/>
  <c r="F15" i="8" s="1"/>
  <c r="G14" i="8"/>
  <c r="E14" i="8"/>
  <c r="F14" i="8" s="1"/>
  <c r="E13" i="8"/>
  <c r="G13" i="8" s="1"/>
  <c r="E12" i="8"/>
  <c r="G12" i="8" s="1"/>
  <c r="E11" i="8"/>
  <c r="F11" i="8" s="1"/>
  <c r="G10" i="8"/>
  <c r="F10" i="8"/>
  <c r="E10" i="8"/>
  <c r="E9" i="8"/>
  <c r="G9" i="8" s="1"/>
  <c r="E8" i="8"/>
  <c r="G8" i="8" s="1"/>
  <c r="G7" i="8"/>
  <c r="E7" i="8"/>
  <c r="F7" i="8" s="1"/>
  <c r="E6" i="8"/>
  <c r="G6" i="8" s="1"/>
  <c r="E5" i="8"/>
  <c r="G5" i="8" s="1"/>
  <c r="E4" i="8"/>
  <c r="G4" i="8" s="1"/>
  <c r="E3" i="8"/>
  <c r="F3" i="8" s="1"/>
  <c r="G2" i="8"/>
  <c r="E2" i="8"/>
  <c r="F2" i="8" s="1"/>
  <c r="G3" i="8" l="1"/>
  <c r="F6" i="8"/>
  <c r="G15" i="8"/>
  <c r="F18" i="8"/>
  <c r="G11" i="8"/>
  <c r="F5" i="8"/>
  <c r="F9" i="8"/>
  <c r="F13" i="8"/>
  <c r="F17" i="8"/>
  <c r="F4" i="8"/>
  <c r="F8" i="8"/>
  <c r="F12" i="8"/>
  <c r="F16" i="8"/>
  <c r="F19" i="8"/>
  <c r="E21" i="3" l="1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G3" i="3" s="1"/>
  <c r="E2" i="3"/>
  <c r="G2" i="3" s="1"/>
  <c r="I2" i="1" l="1"/>
  <c r="I3" i="1"/>
  <c r="I4" i="1"/>
  <c r="I5" i="1"/>
  <c r="I6" i="1"/>
  <c r="I7" i="1"/>
  <c r="I8" i="1"/>
  <c r="I9" i="1"/>
  <c r="I10" i="1"/>
  <c r="I11" i="1"/>
  <c r="I12" i="1"/>
  <c r="I13" i="1"/>
  <c r="G13" i="1" l="1"/>
  <c r="K13" i="1"/>
  <c r="N18" i="1" s="1"/>
  <c r="G12" i="1"/>
  <c r="K12" i="1"/>
  <c r="G11" i="1"/>
  <c r="K11" i="1"/>
  <c r="G10" i="1"/>
  <c r="K10" i="1"/>
  <c r="O21" i="1" s="1"/>
  <c r="G9" i="1"/>
  <c r="K9" i="1"/>
  <c r="G8" i="1"/>
  <c r="K8" i="1"/>
  <c r="G7" i="1"/>
  <c r="K7" i="1"/>
  <c r="G6" i="1"/>
  <c r="K6" i="1"/>
  <c r="G5" i="1"/>
  <c r="K5" i="1"/>
  <c r="Q5" i="1" s="1"/>
  <c r="G4" i="1"/>
  <c r="K4" i="1"/>
  <c r="Q4" i="1" s="1"/>
  <c r="K2" i="1"/>
  <c r="K3" i="1"/>
  <c r="O22" i="1" l="1"/>
  <c r="O20" i="1"/>
  <c r="Q8" i="1"/>
  <c r="O19" i="1"/>
  <c r="Q7" i="1"/>
  <c r="O18" i="1"/>
  <c r="N15" i="1"/>
  <c r="Q6" i="1"/>
  <c r="O17" i="1"/>
  <c r="N17" i="1"/>
  <c r="Q11" i="1"/>
  <c r="N16" i="1"/>
  <c r="Q13" i="1"/>
  <c r="M15" i="1"/>
  <c r="M5" i="1"/>
  <c r="Q12" i="1"/>
  <c r="M14" i="1"/>
  <c r="Q9" i="1"/>
  <c r="N14" i="1"/>
  <c r="M4" i="1"/>
  <c r="M12" i="1"/>
  <c r="N11" i="1"/>
  <c r="N7" i="1"/>
  <c r="N10" i="1"/>
  <c r="N13" i="1"/>
  <c r="N9" i="1"/>
  <c r="Q10" i="1"/>
  <c r="N12" i="1"/>
  <c r="N8" i="1"/>
  <c r="M11" i="1"/>
  <c r="M7" i="1"/>
  <c r="M10" i="1"/>
  <c r="M6" i="1"/>
  <c r="M13" i="1"/>
  <c r="M9" i="1"/>
  <c r="M8" i="1"/>
  <c r="G3" i="1"/>
  <c r="Q3" i="1"/>
  <c r="Q2" i="1"/>
  <c r="G2" i="1"/>
</calcChain>
</file>

<file path=xl/comments1.xml><?xml version="1.0" encoding="utf-8"?>
<comments xmlns="http://schemas.openxmlformats.org/spreadsheetml/2006/main">
  <authors>
    <author>Zaffina, Peter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from NCR Data on OKC server
Refresh Pivot table in file "NCR Data Connectionxlsx.xlsx" and then enter data</t>
        </r>
      </text>
    </comment>
  </commentList>
</comments>
</file>

<file path=xl/comments2.xml><?xml version="1.0" encoding="utf-8"?>
<comments xmlns="http://schemas.openxmlformats.org/spreadsheetml/2006/main">
  <authors>
    <author>Zaffina, Peter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from FPR web system.
Run the custom chart function for assigned location as "OKC"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from FPR web system.
Run the custom chart function for assigned location as "OKC"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from OKC internal spreadsheet.
Sort on closed date and warranty "yes"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from FPR web system.
Count from aged FPR report filtered by manufactured location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from FPR web system.
Count form aged FPR report filtered by manufactured location</t>
        </r>
      </text>
    </comment>
  </commentList>
</comments>
</file>

<file path=xl/sharedStrings.xml><?xml version="1.0" encoding="utf-8"?>
<sst xmlns="http://schemas.openxmlformats.org/spreadsheetml/2006/main" count="240" uniqueCount="84">
  <si>
    <t>MonthDate</t>
  </si>
  <si>
    <t>TotalScrap</t>
  </si>
  <si>
    <t>TotalRework</t>
  </si>
  <si>
    <t>InternalScrap</t>
  </si>
  <si>
    <t>InternalRework</t>
  </si>
  <si>
    <t>ExternalScrap</t>
  </si>
  <si>
    <t>ExternalRework</t>
  </si>
  <si>
    <t>Cogs</t>
  </si>
  <si>
    <t>CogsPercent</t>
  </si>
  <si>
    <t>Comments</t>
  </si>
  <si>
    <t>Ppm</t>
  </si>
  <si>
    <t>Target</t>
  </si>
  <si>
    <t>TTM</t>
  </si>
  <si>
    <t>YES</t>
  </si>
  <si>
    <t>SMA(3)</t>
  </si>
  <si>
    <t>SMA(6)</t>
  </si>
  <si>
    <t>TotalConc</t>
  </si>
  <si>
    <t>o Nutron had issues
o YTD 0.65%</t>
  </si>
  <si>
    <t>InternalOpen</t>
  </si>
  <si>
    <t>ExternalOpen</t>
  </si>
  <si>
    <t>Total</t>
  </si>
  <si>
    <t>PercentAged</t>
  </si>
  <si>
    <t>NCRsOver60d</t>
  </si>
  <si>
    <t>OkcTarget</t>
  </si>
  <si>
    <t>o Slight uptick in internal and external NCRs
o Point number 2</t>
  </si>
  <si>
    <t>FPRsReceived</t>
  </si>
  <si>
    <t>FPRsClosed</t>
  </si>
  <si>
    <t>FPRsWarranty</t>
  </si>
  <si>
    <t>FPRsOver90d</t>
  </si>
  <si>
    <t>FPRsPercentAged</t>
  </si>
  <si>
    <t>FPRsOpen</t>
  </si>
  <si>
    <t>o Comment 1
o Comment 2</t>
  </si>
  <si>
    <t>ShippedQty</t>
  </si>
  <si>
    <t>FailedQty</t>
  </si>
  <si>
    <t>FPY</t>
  </si>
  <si>
    <t>Sigma</t>
  </si>
  <si>
    <t>ppm</t>
  </si>
  <si>
    <t>LgAssyFPY</t>
  </si>
  <si>
    <t>SmAssyFPY</t>
  </si>
  <si>
    <t>TotFPY</t>
  </si>
  <si>
    <t>TgtFPY</t>
  </si>
  <si>
    <t>LgAssyRTY</t>
  </si>
  <si>
    <t>SmAssyRTY</t>
  </si>
  <si>
    <t>TotRTY</t>
  </si>
  <si>
    <t>TgtRTY</t>
  </si>
  <si>
    <t>o 1 FPR over 90d (92d). Edmonton is performing investigation.</t>
  </si>
  <si>
    <t>NO</t>
  </si>
  <si>
    <t xml:space="preserve"> </t>
  </si>
  <si>
    <t>o average aged FPR at 1.24% (ttm)
o currently no open over 90 days</t>
  </si>
  <si>
    <t>o average aged was 1.83% (ttm)
o improvement in internal NCRs opened mostly due to decrease in activity</t>
  </si>
  <si>
    <t>o average RTY was 96.5% (ttm)
o December showed improvement in each area</t>
  </si>
  <si>
    <t>o average RTY was 90.9% (ttm)
o December showed improvement in each area</t>
  </si>
  <si>
    <t>o average CONC% was 0.53% (ttm), 0.22% better than target
o Focus will be on maintaining low levels despite uptick in production</t>
  </si>
  <si>
    <t>InternalConcPercent</t>
  </si>
  <si>
    <t>o target for 2017: &lt;10% aged (&gt;60d)</t>
  </si>
  <si>
    <t>o large issue with vendor scrap of 75 GV bodies. HT failed
o ttm average 0.55%, ppm 10,586
o target for 2017: 0.70% (7,000 dpmo)</t>
  </si>
  <si>
    <t>o Increase in small ball FPY by almost 3%</t>
  </si>
  <si>
    <t>o Aged NCR % ttm average 1.01 %, ppm 10,586
o target for 2017: 0.70% (7,000 dpmo)</t>
  </si>
  <si>
    <t>o 16"/ 1500 failures
o 8" tailpieces vendor scrap</t>
  </si>
  <si>
    <t>TTM2</t>
  </si>
  <si>
    <t>o 830 1/2"R NACE Bodies 310C5</t>
  </si>
  <si>
    <t xml:space="preserve">o Vendor scrap is roughly 75-80% of our total CONC $ YTD.
o GV hardness failures are the reason (too low by about 20-30 pts on the scale)
o We’ve ordered a newer portable hardness tester for ease of use to “GO/ NO GO” material selection. </t>
  </si>
  <si>
    <t>o QE transition complete.</t>
  </si>
  <si>
    <t>o GV Bodies porosity in bonnet bore
o Hardness test too low by ~10-20 HBW</t>
  </si>
  <si>
    <t>o Many waiting on status from customers
o 0 of 4 closed were warranty</t>
  </si>
  <si>
    <t>o LG Assy: 16/600; 6/600; 8/600; 12/600
o SM Assy: 2R 310C5; 4/600 370D6</t>
  </si>
  <si>
    <t xml:space="preserve">  </t>
  </si>
  <si>
    <t>o 232 hrs for blue painted BFV
o 36" HPBFV body damage from some time ago</t>
  </si>
  <si>
    <t>o Kailen making good progress on revamping the system</t>
  </si>
  <si>
    <t>o Kailen is working these down. Three hand offs in the l;ast three months contributing. Many awaiting info from customers to closeout.</t>
  </si>
  <si>
    <t>o moved to new method where each QE is responsible.</t>
  </si>
  <si>
    <t>Month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</si>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</sst>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 applyAlignment="1" applyProtection="1">
      <alignment vertical="center"/>
    </xf>
    <xf numFmtId="164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9" fontId="0" fillId="0" borderId="0" xfId="1" applyFont="1"/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10" fontId="0" fillId="0" borderId="0" xfId="1" applyNumberFormat="1" applyFont="1" applyAlignment="1">
      <alignment wrapText="1"/>
    </xf>
    <xf numFmtId="10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/>
    <xf numFmtId="14" fontId="0" fillId="0" borderId="0" xfId="0" applyNumberFormat="1"/>
    <xf numFmtId="10" fontId="3" fillId="2" borderId="2" xfId="1" applyNumberFormat="1" applyFont="1" applyFill="1" applyBorder="1"/>
    <xf numFmtId="0" fontId="3" fillId="2" borderId="2" xfId="0" applyFont="1" applyFill="1" applyBorder="1"/>
    <xf numFmtId="14" fontId="0" fillId="3" borderId="3" xfId="0" applyNumberFormat="1" applyFont="1" applyFill="1" applyBorder="1"/>
    <xf numFmtId="0" fontId="0" fillId="3" borderId="4" xfId="0" applyFont="1" applyFill="1" applyBorder="1"/>
    <xf numFmtId="14" fontId="0" fillId="4" borderId="3" xfId="0" applyNumberFormat="1" applyFont="1" applyFill="1" applyBorder="1"/>
    <xf numFmtId="0" fontId="0" fillId="4" borderId="4" xfId="0" applyFont="1" applyFill="1" applyBorder="1"/>
    <xf numFmtId="10" fontId="0" fillId="3" borderId="4" xfId="0" applyNumberFormat="1" applyFont="1" applyFill="1" applyBorder="1"/>
    <xf numFmtId="10" fontId="0" fillId="4" borderId="4" xfId="0" applyNumberFormat="1" applyFont="1" applyFill="1" applyBorder="1"/>
    <xf numFmtId="0" fontId="0" fillId="4" borderId="5" xfId="0" applyFont="1" applyFill="1" applyBorder="1" applyAlignment="1">
      <alignment wrapText="1"/>
    </xf>
    <xf numFmtId="0" fontId="3" fillId="2" borderId="1" xfId="0" applyFont="1" applyFill="1" applyBorder="1"/>
    <xf numFmtId="10" fontId="0" fillId="3" borderId="4" xfId="1" applyNumberFormat="1" applyFont="1" applyFill="1" applyBorder="1"/>
    <xf numFmtId="2" fontId="0" fillId="3" borderId="4" xfId="1" applyNumberFormat="1" applyFont="1" applyFill="1" applyBorder="1"/>
    <xf numFmtId="10" fontId="0" fillId="4" borderId="4" xfId="1" applyNumberFormat="1" applyFont="1" applyFill="1" applyBorder="1"/>
    <xf numFmtId="2" fontId="0" fillId="4" borderId="4" xfId="1" applyNumberFormat="1" applyFont="1" applyFill="1" applyBorder="1"/>
    <xf numFmtId="0" fontId="0" fillId="4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10" fontId="3" fillId="2" borderId="6" xfId="1" applyNumberFormat="1" applyFont="1" applyFill="1" applyBorder="1"/>
    <xf numFmtId="14" fontId="0" fillId="3" borderId="7" xfId="0" applyNumberFormat="1" applyFont="1" applyFill="1" applyBorder="1"/>
    <xf numFmtId="0" fontId="0" fillId="3" borderId="8" xfId="0" applyFont="1" applyFill="1" applyBorder="1"/>
    <xf numFmtId="10" fontId="0" fillId="3" borderId="8" xfId="1" applyNumberFormat="1" applyFont="1" applyFill="1" applyBorder="1"/>
    <xf numFmtId="14" fontId="0" fillId="4" borderId="9" xfId="0" applyNumberFormat="1" applyFont="1" applyFill="1" applyBorder="1"/>
    <xf numFmtId="14" fontId="0" fillId="3" borderId="9" xfId="0" applyNumberFormat="1" applyFont="1" applyFill="1" applyBorder="1"/>
    <xf numFmtId="0" fontId="0" fillId="3" borderId="5" xfId="0" applyFont="1" applyFill="1" applyBorder="1"/>
    <xf numFmtId="9" fontId="0" fillId="3" borderId="5" xfId="1" applyNumberFormat="1" applyFont="1" applyFill="1" applyBorder="1"/>
    <xf numFmtId="9" fontId="0" fillId="4" borderId="5" xfId="1" applyNumberFormat="1" applyFont="1" applyFill="1" applyBorder="1"/>
    <xf numFmtId="0" fontId="3" fillId="2" borderId="10" xfId="0" applyFont="1" applyFill="1" applyBorder="1"/>
    <xf numFmtId="0" fontId="0" fillId="3" borderId="11" xfId="0" applyFont="1" applyFill="1" applyBorder="1"/>
    <xf numFmtId="0" fontId="0" fillId="4" borderId="11" xfId="0" applyFont="1" applyFill="1" applyBorder="1"/>
    <xf numFmtId="14" fontId="0" fillId="4" borderId="12" xfId="0" applyNumberFormat="1" applyFont="1" applyFill="1" applyBorder="1"/>
    <xf numFmtId="10" fontId="0" fillId="4" borderId="13" xfId="0" applyNumberFormat="1" applyFont="1" applyFill="1" applyBorder="1"/>
    <xf numFmtId="0" fontId="0" fillId="4" borderId="13" xfId="0" applyFont="1" applyFill="1" applyBorder="1"/>
    <xf numFmtId="10" fontId="0" fillId="4" borderId="13" xfId="1" applyNumberFormat="1" applyFont="1" applyFill="1" applyBorder="1"/>
    <xf numFmtId="2" fontId="0" fillId="4" borderId="13" xfId="1" applyNumberFormat="1" applyFont="1" applyFill="1" applyBorder="1"/>
    <xf numFmtId="0" fontId="0" fillId="0" borderId="0" xfId="0" applyBorder="1"/>
    <xf numFmtId="10" fontId="0" fillId="4" borderId="5" xfId="1" applyNumberFormat="1" applyFont="1" applyFill="1" applyBorder="1"/>
    <xf numFmtId="14" fontId="4" fillId="4" borderId="12" xfId="0" applyNumberFormat="1" applyFont="1" applyFill="1" applyBorder="1"/>
    <xf numFmtId="0" fontId="4" fillId="4" borderId="13" xfId="0" applyFont="1" applyFill="1" applyBorder="1"/>
    <xf numFmtId="10" fontId="4" fillId="4" borderId="13" xfId="1" applyNumberFormat="1" applyFont="1" applyFill="1" applyBorder="1"/>
    <xf numFmtId="2" fontId="4" fillId="4" borderId="13" xfId="1" applyNumberFormat="1" applyFont="1" applyFill="1" applyBorder="1"/>
    <xf numFmtId="10" fontId="4" fillId="4" borderId="13" xfId="0" applyNumberFormat="1" applyFont="1" applyFill="1" applyBorder="1"/>
    <xf numFmtId="0" fontId="0" fillId="0" borderId="0" xfId="0" applyBorder="1" applyAlignment="1">
      <alignment wrapText="1"/>
    </xf>
    <xf numFmtId="14" fontId="6" fillId="4" borderId="9" xfId="0" applyNumberFormat="1" applyFont="1" applyFill="1" applyBorder="1"/>
    <xf numFmtId="0" fontId="6" fillId="4" borderId="5" xfId="0" applyFont="1" applyFill="1" applyBorder="1"/>
    <xf numFmtId="10" fontId="6" fillId="4" borderId="5" xfId="1" applyNumberFormat="1" applyFont="1" applyFill="1" applyBorder="1"/>
    <xf numFmtId="165" fontId="6" fillId="0" borderId="0" xfId="1" applyNumberFormat="1" applyFont="1"/>
    <xf numFmtId="14" fontId="7" fillId="4" borderId="12" xfId="0" applyNumberFormat="1" applyFont="1" applyFill="1" applyBorder="1"/>
    <xf numFmtId="0" fontId="7" fillId="4" borderId="13" xfId="0" applyFont="1" applyFill="1" applyBorder="1"/>
    <xf numFmtId="10" fontId="7" fillId="4" borderId="13" xfId="1" applyNumberFormat="1" applyFont="1" applyFill="1" applyBorder="1"/>
    <xf numFmtId="2" fontId="7" fillId="4" borderId="13" xfId="1" applyNumberFormat="1" applyFont="1" applyFill="1" applyBorder="1"/>
    <xf numFmtId="10" fontId="7" fillId="4" borderId="13" xfId="0" applyNumberFormat="1" applyFont="1" applyFill="1" applyBorder="1"/>
    <xf numFmtId="165" fontId="7" fillId="0" borderId="0" xfId="1" applyNumberFormat="1" applyFont="1"/>
    <xf numFmtId="9" fontId="0" fillId="0" borderId="0" xfId="1" applyFont="1" applyAlignment="1">
      <alignment wrapText="1"/>
    </xf>
    <xf numFmtId="14" fontId="8" fillId="4" borderId="9" xfId="0" applyNumberFormat="1" applyFont="1" applyFill="1" applyBorder="1"/>
    <xf numFmtId="0" fontId="8" fillId="4" borderId="5" xfId="0" applyFont="1" applyFill="1" applyBorder="1"/>
    <xf numFmtId="10" fontId="8" fillId="4" borderId="5" xfId="1" applyNumberFormat="1" applyFont="1" applyFill="1" applyBorder="1"/>
    <xf numFmtId="10" fontId="8" fillId="0" borderId="0" xfId="1" applyNumberFormat="1" applyFont="1"/>
    <xf numFmtId="14" fontId="8" fillId="4" borderId="12" xfId="0" applyNumberFormat="1" applyFont="1" applyFill="1" applyBorder="1"/>
    <xf numFmtId="0" fontId="8" fillId="4" borderId="13" xfId="0" applyFont="1" applyFill="1" applyBorder="1"/>
    <xf numFmtId="10" fontId="8" fillId="4" borderId="13" xfId="1" applyNumberFormat="1" applyFont="1" applyFill="1" applyBorder="1"/>
    <xf numFmtId="2" fontId="8" fillId="4" borderId="13" xfId="1" applyNumberFormat="1" applyFont="1" applyFill="1" applyBorder="1"/>
    <xf numFmtId="9" fontId="8" fillId="4" borderId="5" xfId="1" applyNumberFormat="1" applyFont="1" applyFill="1" applyBorder="1"/>
    <xf numFmtId="165" fontId="8" fillId="0" borderId="0" xfId="1" applyNumberFormat="1" applyFont="1"/>
    <xf numFmtId="10" fontId="8" fillId="4" borderId="13" xfId="0" applyNumberFormat="1" applyFont="1" applyFill="1" applyBorder="1"/>
  </cellXfs>
  <cellStyles count="7">
    <cellStyle name="Comma 2" xfId="3"/>
    <cellStyle name="Comma 2 2" xfId="6"/>
    <cellStyle name="Currency 2" xfId="5"/>
    <cellStyle name="Normal" xfId="0" builtinId="0"/>
    <cellStyle name="Normal 2" xfId="2"/>
    <cellStyle name="Percent" xfId="1" builtinId="5"/>
    <cellStyle name="Percent 2" xfId="4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</dxf>
    <dxf>
      <numFmt numFmtId="14" formatCode="0.00%"/>
    </dxf>
    <dxf>
      <numFmt numFmtId="14" formatCode="0.00%"/>
    </dxf>
    <dxf>
      <numFmt numFmtId="14" formatCode="0.00%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ConcData" displayName="ConcData" ref="A1:S22" totalsRowShown="0">
  <autoFilter ref="A1:S22"/>
  <tableColumns count="19">
    <tableColumn id="1" name="MonthDate" dataDxfId="71" totalsRowDxfId="70"/>
    <tableColumn id="19" name="Month" dataDxfId="69" totalsRowDxfId="68"/>
    <tableColumn id="2" name="TotalScrap" dataDxfId="67" totalsRowDxfId="66"/>
    <tableColumn id="3" name="TotalRework" dataDxfId="65" totalsRowDxfId="64"/>
    <tableColumn id="4" name="InternalScrap" dataDxfId="63" totalsRowDxfId="62"/>
    <tableColumn id="5" name="InternalRework" dataDxfId="61" totalsRowDxfId="60"/>
    <tableColumn id="6" name="ExternalScrap" dataDxfId="59" totalsRowDxfId="58">
      <calculatedColumnFormula>ConcData[TotalScrap]-ConcData[InternalScrap]</calculatedColumnFormula>
    </tableColumn>
    <tableColumn id="7" name="ExternalRework" dataDxfId="57" totalsRowDxfId="56">
      <calculatedColumnFormula>ConcData[[#This Row],[TotalRework]]-ConcData[[#This Row],[InternalRework]]</calculatedColumnFormula>
    </tableColumn>
    <tableColumn id="16" name="TotalConc" dataDxfId="55" totalsRowDxfId="54">
      <calculatedColumnFormula>SUM(ConcData[[#This Row],[TotalScrap]:[TotalRework]])</calculatedColumnFormula>
    </tableColumn>
    <tableColumn id="8" name="Cogs" dataDxfId="53" totalsRowDxfId="52"/>
    <tableColumn id="9" name="CogsPercent" dataDxfId="51" totalsRowDxfId="50" dataCellStyle="Percent">
      <calculatedColumnFormula>(ConcData[[#This Row],[TotalScrap]]+ConcData[[#This Row],[TotalRework]])/ConcData[[#This Row],[Cogs]]</calculatedColumnFormula>
    </tableColumn>
    <tableColumn id="17" name="InternalConcPercent" dataDxfId="49" totalsRowDxfId="48" dataCellStyle="Percent">
      <calculatedColumnFormula>(ConcData[[#This Row],[InternalScrap]]+ConcData[[#This Row],[InternalRework]])/ConcData[[#This Row],[Cogs]]</calculatedColumnFormula>
    </tableColumn>
    <tableColumn id="14" name="SMA(3)" dataDxfId="47" totalsRowDxfId="46" dataCellStyle="Percent"/>
    <tableColumn id="15" name="SMA(6)" dataDxfId="45" totalsRowDxfId="44" dataCellStyle="Percent"/>
    <tableColumn id="18" name="TTM" dataDxfId="43" totalsRowDxfId="42" dataCellStyle="Percent"/>
    <tableColumn id="10" name="Comments" totalsRowDxfId="41" dataCellStyle="Percent"/>
    <tableColumn id="11" name="Ppm" dataDxfId="40" totalsRowDxfId="39">
      <calculatedColumnFormula>ROUNDUP(ConcData[CogsPercent]*1000000,0)</calculatedColumnFormula>
    </tableColumn>
    <tableColumn id="12" name="Target" dataDxfId="38" totalsRowDxfId="37" dataCellStyle="Percent"/>
    <tableColumn id="13" name="TTM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NcrData" displayName="NcrData" ref="A1:I30" totalsRowShown="0">
  <autoFilter ref="A1:I30"/>
  <tableColumns count="9">
    <tableColumn id="1" name="MonthDate" dataDxfId="36"/>
    <tableColumn id="9" name="Month" dataDxfId="35"/>
    <tableColumn id="2" name="InternalOpen"/>
    <tableColumn id="3" name="ExternalOpen"/>
    <tableColumn id="4" name="Total" dataDxfId="34">
      <calculatedColumnFormula>SUM(NcrData[[#This Row],[InternalOpen]],NcrData[[#This Row],[ExternalOpen]])</calculatedColumnFormula>
    </tableColumn>
    <tableColumn id="6" name="NCRsOver60d"/>
    <tableColumn id="5" name="PercentAged" dataDxfId="33" dataCellStyle="Percent">
      <calculatedColumnFormula>NcrData[[#This Row],[NCRsOver60d]]/NcrData[[#This Row],[Total]]</calculatedColumnFormula>
    </tableColumn>
    <tableColumn id="7" name="OkcTarget" dataCellStyle="Percent"/>
    <tableColumn id="8" name="Comments" dataDxfId="32" dataCellStyle="Perc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J22" totalsRowShown="0" headerRowDxfId="31">
  <autoFilter ref="A1:J22"/>
  <tableColumns count="10">
    <tableColumn id="1" name="MonthDate" dataDxfId="30"/>
    <tableColumn id="10" name="Month" dataDxfId="29"/>
    <tableColumn id="2" name="FPRsReceived" dataDxfId="28"/>
    <tableColumn id="3" name="FPRsClosed" dataDxfId="27"/>
    <tableColumn id="4" name="FPRsWarranty" dataDxfId="26"/>
    <tableColumn id="5" name="FPRsOpen" dataDxfId="25"/>
    <tableColumn id="6" name="FPRsOver90d" dataDxfId="24"/>
    <tableColumn id="7" name="FPRsPercentAged" dataDxfId="23" dataCellStyle="Percent">
      <calculatedColumnFormula>IFERROR(Table5[[#This Row],[FPRsOver90d]]/Table5[[#This Row],[FPRsOpen]],"")</calculatedColumnFormula>
    </tableColumn>
    <tableColumn id="8" name="OkcTarget" dataDxfId="22" dataCellStyle="Percent"/>
    <tableColumn id="9" name="Comment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L28" totalsRowShown="0" headerRowDxfId="21" dataDxfId="19" headerRowBorderDxfId="20" tableBorderDxfId="18" totalsRowBorderDxfId="17">
  <autoFilter ref="A1:L28"/>
  <tableColumns count="12">
    <tableColumn id="1" name="MonthDate" dataDxfId="16"/>
    <tableColumn id="12" name="Month" dataDxfId="15"/>
    <tableColumn id="2" name="ShippedQty" dataDxfId="14"/>
    <tableColumn id="3" name="FailedQty" dataDxfId="13"/>
    <tableColumn id="4" name="FPY" dataDxfId="12" dataCellStyle="Percent">
      <calculatedColumnFormula>1-(D2/C2)</calculatedColumnFormula>
    </tableColumn>
    <tableColumn id="5" name="Sigma" dataDxfId="11" dataCellStyle="Percent">
      <calculatedColumnFormula>_xlfn.NORM.S.INV(E2)+1.5</calculatedColumnFormula>
    </tableColumn>
    <tableColumn id="6" name="ppm" dataDxfId="10">
      <calculatedColumnFormula>ROUNDUP((1-E2)*1000000,0)</calculatedColumnFormula>
    </tableColumn>
    <tableColumn id="7" name="LgAssyFPY" dataDxfId="9"/>
    <tableColumn id="8" name="SmAssyFPY" dataDxfId="8"/>
    <tableColumn id="9" name="TotFPY" dataDxfId="7"/>
    <tableColumn id="10" name="TgtFPY" dataDxfId="6"/>
    <tableColumn id="11" name="Comment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54" displayName="Table54" ref="A1:G28" totalsRowShown="0">
  <autoFilter ref="A1:G28"/>
  <tableColumns count="7">
    <tableColumn id="1" name="MonthDate" dataDxfId="5"/>
    <tableColumn id="7" name="Month" dataDxfId="4"/>
    <tableColumn id="2" name="LgAssyRTY" dataDxfId="3"/>
    <tableColumn id="3" name="SmAssyRTY" dataDxfId="2"/>
    <tableColumn id="4" name="TotRTY" dataDxfId="1"/>
    <tableColumn id="5" name="TgtRTY" dataDxfId="0" dataCellStyle="Percent"/>
    <tableColumn id="6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B2" sqref="B2:B22"/>
    </sheetView>
  </sheetViews>
  <sheetFormatPr defaultRowHeight="15" x14ac:dyDescent="0.25"/>
  <cols>
    <col min="1" max="1" width="13.28515625" customWidth="1"/>
    <col min="2" max="2" width="13.28515625" style="18" customWidth="1"/>
    <col min="3" max="3" width="12.28515625" style="2" customWidth="1"/>
    <col min="4" max="4" width="14.28515625" style="2" customWidth="1"/>
    <col min="5" max="5" width="14.85546875" style="2" customWidth="1"/>
    <col min="6" max="6" width="16.85546875" style="2" customWidth="1"/>
    <col min="7" max="7" width="15.140625" style="2" customWidth="1"/>
    <col min="8" max="8" width="17.140625" style="2" customWidth="1"/>
    <col min="9" max="9" width="17.140625" style="6" customWidth="1"/>
    <col min="10" max="10" width="13.85546875" style="2" bestFit="1" customWidth="1"/>
    <col min="11" max="11" width="14.140625" style="3" customWidth="1"/>
    <col min="12" max="12" width="21.7109375" style="17" bestFit="1" customWidth="1"/>
    <col min="13" max="14" width="14.140625" style="5" customWidth="1"/>
    <col min="15" max="15" width="7.140625" style="17" bestFit="1" customWidth="1"/>
    <col min="16" max="16" width="41" customWidth="1"/>
    <col min="17" max="17" width="7.7109375" style="4" bestFit="1" customWidth="1"/>
    <col min="18" max="18" width="8.85546875" style="3" bestFit="1" customWidth="1"/>
    <col min="19" max="19" width="7" customWidth="1"/>
  </cols>
  <sheetData>
    <row r="1" spans="1:19" x14ac:dyDescent="0.25">
      <c r="A1" t="s">
        <v>0</v>
      </c>
      <c r="B1" s="18" t="s">
        <v>71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6" t="s">
        <v>16</v>
      </c>
      <c r="J1" s="2" t="s">
        <v>7</v>
      </c>
      <c r="K1" s="3" t="s">
        <v>8</v>
      </c>
      <c r="L1" s="17" t="s">
        <v>53</v>
      </c>
      <c r="M1" s="5" t="s">
        <v>14</v>
      </c>
      <c r="N1" s="5" t="s">
        <v>15</v>
      </c>
      <c r="O1" s="17" t="s">
        <v>12</v>
      </c>
      <c r="P1" t="s">
        <v>9</v>
      </c>
      <c r="Q1" s="4" t="s">
        <v>10</v>
      </c>
      <c r="R1" s="3" t="s">
        <v>11</v>
      </c>
      <c r="S1" t="s">
        <v>59</v>
      </c>
    </row>
    <row r="2" spans="1:19" x14ac:dyDescent="0.25">
      <c r="A2" s="1">
        <v>42309</v>
      </c>
      <c r="B2" s="1" t="s">
        <v>72</v>
      </c>
      <c r="C2" s="2">
        <v>86933</v>
      </c>
      <c r="D2" s="2">
        <v>12792</v>
      </c>
      <c r="G2" s="2">
        <f>ConcData[TotalScrap]-ConcData[InternalScrap]</f>
        <v>86933</v>
      </c>
      <c r="I2" s="6">
        <f>SUM(ConcData[[#This Row],[TotalScrap]:[TotalRework]])</f>
        <v>99725</v>
      </c>
      <c r="J2" s="2">
        <v>7145312</v>
      </c>
      <c r="K2" s="3">
        <f>(ConcData[[#This Row],[TotalScrap]]+ConcData[[#This Row],[TotalRework]])/ConcData[[#This Row],[Cogs]]</f>
        <v>1.3956703360189171E-2</v>
      </c>
      <c r="L2" s="17">
        <f>(ConcData[[#This Row],[InternalScrap]]+ConcData[[#This Row],[InternalRework]])/ConcData[[#This Row],[Cogs]]</f>
        <v>0</v>
      </c>
      <c r="Q2" s="4">
        <f>ROUNDUP(ConcData[CogsPercent]*1000000,0)</f>
        <v>13957</v>
      </c>
      <c r="R2" s="3">
        <v>7.4999999999999997E-3</v>
      </c>
      <c r="S2" t="s">
        <v>46</v>
      </c>
    </row>
    <row r="3" spans="1:19" x14ac:dyDescent="0.25">
      <c r="A3" s="1">
        <v>42339</v>
      </c>
      <c r="B3" s="1" t="s">
        <v>73</v>
      </c>
      <c r="C3" s="2">
        <v>55102.1</v>
      </c>
      <c r="D3" s="2">
        <v>22102.89</v>
      </c>
      <c r="G3" s="2">
        <f>ConcData[TotalScrap]-ConcData[InternalScrap]</f>
        <v>55102.1</v>
      </c>
      <c r="I3" s="6">
        <f>SUM(ConcData[[#This Row],[TotalScrap]:[TotalRework]])</f>
        <v>77204.989999999991</v>
      </c>
      <c r="J3" s="2">
        <v>6417046.5700000003</v>
      </c>
      <c r="K3" s="3">
        <f>(ConcData[[#This Row],[TotalScrap]]+ConcData[[#This Row],[TotalRework]])/ConcData[[#This Row],[Cogs]]</f>
        <v>1.203123417569338E-2</v>
      </c>
      <c r="L3" s="17">
        <f>(ConcData[[#This Row],[InternalScrap]]+ConcData[[#This Row],[InternalRework]])/ConcData[[#This Row],[Cogs]]</f>
        <v>0</v>
      </c>
      <c r="Q3" s="4">
        <f>ROUNDUP(ConcData[CogsPercent]*1000000,0)</f>
        <v>12032</v>
      </c>
      <c r="R3" s="3">
        <v>7.4999999999999997E-3</v>
      </c>
      <c r="S3" t="s">
        <v>46</v>
      </c>
    </row>
    <row r="4" spans="1:19" x14ac:dyDescent="0.25">
      <c r="A4" s="1">
        <v>42370</v>
      </c>
      <c r="B4" s="1" t="s">
        <v>74</v>
      </c>
      <c r="C4" s="2">
        <v>56015.87</v>
      </c>
      <c r="D4" s="2">
        <v>13633.1</v>
      </c>
      <c r="E4" s="2">
        <v>21538.67</v>
      </c>
      <c r="F4" s="2">
        <v>933.43</v>
      </c>
      <c r="G4" s="2">
        <f>ConcData[TotalScrap]-ConcData[InternalScrap]</f>
        <v>34477.200000000004</v>
      </c>
      <c r="H4" s="2">
        <f>ConcData[[#This Row],[TotalRework]]-ConcData[[#This Row],[InternalRework]]</f>
        <v>12699.67</v>
      </c>
      <c r="I4" s="6">
        <f>SUM(ConcData[[#This Row],[TotalScrap]:[TotalRework]])</f>
        <v>69648.97</v>
      </c>
      <c r="J4" s="2">
        <v>8465443.1099999994</v>
      </c>
      <c r="K4" s="3">
        <f>(ConcData[[#This Row],[TotalScrap]]+ConcData[[#This Row],[TotalRework]])/ConcData[[#This Row],[Cogs]]</f>
        <v>8.2274452849048808E-3</v>
      </c>
      <c r="L4" s="17">
        <f>(ConcData[[#This Row],[InternalScrap]]+ConcData[[#This Row],[InternalRework]])/ConcData[[#This Row],[Cogs]]</f>
        <v>2.6545686632108265E-3</v>
      </c>
      <c r="M4" s="5">
        <f>SUM(K2:K4)/3</f>
        <v>1.1405127606929142E-2</v>
      </c>
      <c r="Q4" s="4">
        <f>ROUNDUP(ConcData[CogsPercent]*1000000,0)</f>
        <v>8228</v>
      </c>
      <c r="R4" s="3">
        <v>7.4999999999999997E-3</v>
      </c>
      <c r="S4" t="s">
        <v>46</v>
      </c>
    </row>
    <row r="5" spans="1:19" x14ac:dyDescent="0.25">
      <c r="A5" s="1">
        <v>42401</v>
      </c>
      <c r="B5" s="1" t="s">
        <v>75</v>
      </c>
      <c r="C5" s="2">
        <v>39369.660000000003</v>
      </c>
      <c r="D5" s="2">
        <v>7969.82</v>
      </c>
      <c r="E5" s="2">
        <v>16787.14</v>
      </c>
      <c r="F5" s="2">
        <v>2553.64</v>
      </c>
      <c r="G5" s="2">
        <f>ConcData[TotalScrap]-ConcData[InternalScrap]</f>
        <v>22582.520000000004</v>
      </c>
      <c r="H5" s="2">
        <f>ConcData[[#This Row],[TotalRework]]-ConcData[[#This Row],[InternalRework]]</f>
        <v>5416.18</v>
      </c>
      <c r="I5" s="6">
        <f>SUM(ConcData[[#This Row],[TotalScrap]:[TotalRework]])</f>
        <v>47339.48</v>
      </c>
      <c r="J5" s="2">
        <v>5791904.8700000001</v>
      </c>
      <c r="K5" s="3">
        <f>(ConcData[[#This Row],[TotalScrap]]+ConcData[[#This Row],[TotalRework]])/ConcData[[#This Row],[Cogs]]</f>
        <v>8.1733870052323569E-3</v>
      </c>
      <c r="L5" s="17">
        <f>(ConcData[[#This Row],[InternalScrap]]+ConcData[[#This Row],[InternalRework]])/ConcData[[#This Row],[Cogs]]</f>
        <v>3.3392779118625268E-3</v>
      </c>
      <c r="M5" s="5">
        <f t="shared" ref="M5:M20" si="0">SUM(K3:K5)/3</f>
        <v>9.4773554886102059E-3</v>
      </c>
      <c r="Q5" s="4">
        <f>ROUNDUP(ConcData[CogsPercent]*1000000,0)</f>
        <v>8174</v>
      </c>
      <c r="R5" s="3">
        <v>7.4999999999999997E-3</v>
      </c>
      <c r="S5" t="s">
        <v>46</v>
      </c>
    </row>
    <row r="6" spans="1:19" x14ac:dyDescent="0.25">
      <c r="A6" s="1">
        <v>42430</v>
      </c>
      <c r="B6" s="1" t="s">
        <v>76</v>
      </c>
      <c r="C6" s="6">
        <v>29743.49</v>
      </c>
      <c r="D6" s="2">
        <v>5499.9</v>
      </c>
      <c r="E6" s="2">
        <v>16496.28</v>
      </c>
      <c r="F6" s="2">
        <v>2450.41</v>
      </c>
      <c r="G6" s="2">
        <f>ConcData[TotalScrap]-ConcData[InternalScrap]</f>
        <v>13247.210000000003</v>
      </c>
      <c r="H6" s="2">
        <f>ConcData[[#This Row],[TotalRework]]-ConcData[[#This Row],[InternalRework]]</f>
        <v>3049.49</v>
      </c>
      <c r="I6" s="6">
        <f>SUM(ConcData[[#This Row],[TotalScrap]:[TotalRework]])</f>
        <v>35243.39</v>
      </c>
      <c r="J6" s="2">
        <v>9387153.2599999998</v>
      </c>
      <c r="K6" s="3">
        <f>(ConcData[[#This Row],[TotalScrap]]+ConcData[[#This Row],[TotalRework]])/ConcData[[#This Row],[Cogs]]</f>
        <v>3.7544278892491416E-3</v>
      </c>
      <c r="L6" s="17">
        <f>(ConcData[[#This Row],[InternalScrap]]+ConcData[[#This Row],[InternalRework]])/ConcData[[#This Row],[Cogs]]</f>
        <v>2.0183637653743815E-3</v>
      </c>
      <c r="M6" s="5">
        <f t="shared" si="0"/>
        <v>6.7184200597954595E-3</v>
      </c>
      <c r="Q6" s="4">
        <f>ROUNDUP(ConcData[CogsPercent]*1000000,0)</f>
        <v>3755</v>
      </c>
      <c r="R6" s="3">
        <v>7.4999999999999997E-3</v>
      </c>
      <c r="S6" t="s">
        <v>46</v>
      </c>
    </row>
    <row r="7" spans="1:19" x14ac:dyDescent="0.25">
      <c r="A7" s="1">
        <v>42461</v>
      </c>
      <c r="B7" s="1" t="s">
        <v>77</v>
      </c>
      <c r="C7" s="6">
        <v>25079.8</v>
      </c>
      <c r="D7" s="6">
        <v>12329.66</v>
      </c>
      <c r="E7" s="6">
        <v>13208.85</v>
      </c>
      <c r="F7" s="6">
        <v>4519.01</v>
      </c>
      <c r="G7" s="6">
        <f>ConcData[TotalScrap]-ConcData[InternalScrap]</f>
        <v>11870.949999999999</v>
      </c>
      <c r="H7" s="6">
        <f>ConcData[[#This Row],[TotalRework]]-ConcData[[#This Row],[InternalRework]]</f>
        <v>7810.65</v>
      </c>
      <c r="I7" s="6">
        <f>SUM(ConcData[[#This Row],[TotalScrap]:[TotalRework]])</f>
        <v>37409.46</v>
      </c>
      <c r="J7" s="6">
        <v>8723269.9299999997</v>
      </c>
      <c r="K7" s="5">
        <f>(ConcData[[#This Row],[TotalScrap]]+ConcData[[#This Row],[TotalRework]])/ConcData[[#This Row],[Cogs]]</f>
        <v>4.2884675471689775E-3</v>
      </c>
      <c r="L7" s="17">
        <f>(ConcData[[#This Row],[InternalScrap]]+ConcData[[#This Row],[InternalRework]])/ConcData[[#This Row],[Cogs]]</f>
        <v>2.032249390682331E-3</v>
      </c>
      <c r="M7" s="5">
        <f t="shared" si="0"/>
        <v>5.4054274805501587E-3</v>
      </c>
      <c r="N7" s="5">
        <f>SUM(K2:K7)/6</f>
        <v>8.4052775437396515E-3</v>
      </c>
      <c r="Q7" s="7">
        <f>ROUNDUP(ConcData[CogsPercent]*1000000,0)</f>
        <v>4289</v>
      </c>
      <c r="R7" s="5">
        <v>7.4999999999999997E-3</v>
      </c>
      <c r="S7" t="s">
        <v>46</v>
      </c>
    </row>
    <row r="8" spans="1:19" x14ac:dyDescent="0.25">
      <c r="A8" s="1">
        <v>42491</v>
      </c>
      <c r="B8" s="1" t="s">
        <v>78</v>
      </c>
      <c r="C8" s="6">
        <v>16777.55</v>
      </c>
      <c r="D8" s="6">
        <v>11847.48</v>
      </c>
      <c r="E8" s="6">
        <v>8921.61</v>
      </c>
      <c r="F8" s="6">
        <v>9661.31</v>
      </c>
      <c r="G8" s="6">
        <f>ConcData[TotalScrap]-ConcData[InternalScrap]</f>
        <v>7855.9399999999987</v>
      </c>
      <c r="H8" s="6">
        <f>ConcData[[#This Row],[TotalRework]]-ConcData[[#This Row],[InternalRework]]</f>
        <v>2186.17</v>
      </c>
      <c r="I8" s="6">
        <f>SUM(ConcData[[#This Row],[TotalScrap]:[TotalRework]])</f>
        <v>28625.03</v>
      </c>
      <c r="J8" s="6">
        <v>8701708.5899999999</v>
      </c>
      <c r="K8" s="5">
        <f>(ConcData[[#This Row],[TotalScrap]]+ConcData[[#This Row],[TotalRework]])/ConcData[[#This Row],[Cogs]]</f>
        <v>3.2895872924193154E-3</v>
      </c>
      <c r="L8" s="17">
        <f>(ConcData[[#This Row],[InternalScrap]]+ConcData[[#This Row],[InternalRework]])/ConcData[[#This Row],[Cogs]]</f>
        <v>2.1355484164748383E-3</v>
      </c>
      <c r="M8" s="5">
        <f t="shared" si="0"/>
        <v>3.7774942429458108E-3</v>
      </c>
      <c r="N8" s="5">
        <f t="shared" ref="N8:N20" si="1">SUM(K3:K8)/6</f>
        <v>6.6274248657780081E-3</v>
      </c>
      <c r="Q8" s="7">
        <f>ROUNDUP(ConcData[CogsPercent]*1000000,0)</f>
        <v>3290</v>
      </c>
      <c r="R8" s="5">
        <v>7.4999999999999997E-3</v>
      </c>
      <c r="S8" t="s">
        <v>46</v>
      </c>
    </row>
    <row r="9" spans="1:19" x14ac:dyDescent="0.25">
      <c r="A9" s="1">
        <v>42522</v>
      </c>
      <c r="B9" s="1" t="s">
        <v>79</v>
      </c>
      <c r="C9" s="6">
        <v>51806.559999999998</v>
      </c>
      <c r="D9" s="6">
        <v>-3222.67</v>
      </c>
      <c r="E9" s="6">
        <v>21739.33</v>
      </c>
      <c r="F9" s="6">
        <v>4059.14</v>
      </c>
      <c r="G9" s="6">
        <f>ConcData[TotalScrap]-ConcData[InternalScrap]</f>
        <v>30067.229999999996</v>
      </c>
      <c r="H9" s="6">
        <f>ConcData[[#This Row],[TotalRework]]-ConcData[[#This Row],[InternalRework]]</f>
        <v>-7281.8099999999995</v>
      </c>
      <c r="I9" s="6">
        <f>SUM(ConcData[[#This Row],[TotalScrap]:[TotalRework]])</f>
        <v>48583.89</v>
      </c>
      <c r="J9" s="6">
        <v>8361170.2300000004</v>
      </c>
      <c r="K9" s="5">
        <f>(ConcData[[#This Row],[TotalScrap]]+ConcData[[#This Row],[TotalRework]])/ConcData[[#This Row],[Cogs]]</f>
        <v>5.8106567219119989E-3</v>
      </c>
      <c r="L9" s="17">
        <f>(ConcData[[#This Row],[InternalScrap]]+ConcData[[#This Row],[InternalRework]])/ConcData[[#This Row],[Cogs]]</f>
        <v>3.0855094789763657E-3</v>
      </c>
      <c r="M9" s="5">
        <f t="shared" si="0"/>
        <v>4.4629038538334309E-3</v>
      </c>
      <c r="N9" s="5">
        <f t="shared" si="1"/>
        <v>5.5906619568144448E-3</v>
      </c>
      <c r="Q9" s="7">
        <f>ROUNDUP(ConcData[CogsPercent]*1000000,0)</f>
        <v>5811</v>
      </c>
      <c r="R9" s="5">
        <v>7.4999999999999997E-3</v>
      </c>
      <c r="S9" t="s">
        <v>46</v>
      </c>
    </row>
    <row r="10" spans="1:19" x14ac:dyDescent="0.25">
      <c r="A10" s="1">
        <v>42552</v>
      </c>
      <c r="B10" s="1" t="s">
        <v>80</v>
      </c>
      <c r="C10" s="6">
        <v>24963.16</v>
      </c>
      <c r="D10" s="6">
        <v>3835.03</v>
      </c>
      <c r="E10" s="6">
        <v>11094.56</v>
      </c>
      <c r="F10" s="6">
        <v>2245.17</v>
      </c>
      <c r="G10" s="6">
        <f>ConcData[TotalScrap]-ConcData[InternalScrap]</f>
        <v>13868.6</v>
      </c>
      <c r="H10" s="6">
        <f>ConcData[[#This Row],[TotalRework]]-ConcData[[#This Row],[InternalRework]]</f>
        <v>1589.8600000000001</v>
      </c>
      <c r="I10" s="6">
        <f>SUM(ConcData[[#This Row],[TotalScrap]:[TotalRework]])</f>
        <v>28798.19</v>
      </c>
      <c r="J10" s="6">
        <v>8790044.0899999999</v>
      </c>
      <c r="K10" s="5">
        <f>(ConcData[[#This Row],[TotalScrap]]+ConcData[[#This Row],[TotalRework]])/ConcData[[#This Row],[Cogs]]</f>
        <v>3.2762281628100458E-3</v>
      </c>
      <c r="L10" s="17">
        <f>(ConcData[[#This Row],[InternalScrap]]+ConcData[[#This Row],[InternalRework]])/ConcData[[#This Row],[Cogs]]</f>
        <v>1.5175953457589539E-3</v>
      </c>
      <c r="M10" s="5">
        <f t="shared" si="0"/>
        <v>4.1254907257137867E-3</v>
      </c>
      <c r="N10" s="5">
        <f t="shared" si="1"/>
        <v>4.7654591031319722E-3</v>
      </c>
      <c r="Q10" s="7">
        <f>ROUNDUP(ConcData[CogsPercent]*1000000,0)</f>
        <v>3277</v>
      </c>
      <c r="R10" s="5">
        <v>7.4999999999999997E-3</v>
      </c>
      <c r="S10" t="s">
        <v>46</v>
      </c>
    </row>
    <row r="11" spans="1:19" x14ac:dyDescent="0.25">
      <c r="A11" s="1">
        <v>42583</v>
      </c>
      <c r="B11" s="1" t="s">
        <v>81</v>
      </c>
      <c r="C11" s="6">
        <v>53174.58</v>
      </c>
      <c r="D11" s="6">
        <v>3470.61</v>
      </c>
      <c r="E11" s="6">
        <v>11057.32</v>
      </c>
      <c r="F11" s="6">
        <v>524.71</v>
      </c>
      <c r="G11" s="6">
        <f>ConcData[TotalScrap]-ConcData[InternalScrap]</f>
        <v>42117.26</v>
      </c>
      <c r="H11" s="6">
        <f>ConcData[[#This Row],[TotalRework]]-ConcData[[#This Row],[InternalRework]]</f>
        <v>2945.9</v>
      </c>
      <c r="I11" s="6">
        <f>SUM(ConcData[[#This Row],[TotalScrap]:[TotalRework]])</f>
        <v>56645.19</v>
      </c>
      <c r="J11" s="6">
        <v>10689629.960000001</v>
      </c>
      <c r="K11" s="5">
        <f>(ConcData[[#This Row],[TotalScrap]]+ConcData[[#This Row],[TotalRework]])/ConcData[[#This Row],[Cogs]]</f>
        <v>5.2990786595946858E-3</v>
      </c>
      <c r="L11" s="17">
        <f>(ConcData[[#This Row],[InternalScrap]]+ConcData[[#This Row],[InternalRework]])/ConcData[[#This Row],[Cogs]]</f>
        <v>1.0834827812879688E-3</v>
      </c>
      <c r="M11" s="5">
        <f t="shared" si="0"/>
        <v>4.7953211814389107E-3</v>
      </c>
      <c r="N11" s="5">
        <f t="shared" si="1"/>
        <v>4.2864077121923605E-3</v>
      </c>
      <c r="Q11" s="7">
        <f>ROUNDUP(ConcData[CogsPercent]*1000000,0)</f>
        <v>5300</v>
      </c>
      <c r="R11" s="5">
        <v>7.4999999999999997E-3</v>
      </c>
      <c r="S11" t="s">
        <v>13</v>
      </c>
    </row>
    <row r="12" spans="1:19" x14ac:dyDescent="0.25">
      <c r="A12" s="1">
        <v>42614</v>
      </c>
      <c r="B12" s="1" t="s">
        <v>82</v>
      </c>
      <c r="C12" s="6">
        <v>27666.26</v>
      </c>
      <c r="D12" s="6">
        <v>5900.01</v>
      </c>
      <c r="E12" s="6">
        <v>12165.32</v>
      </c>
      <c r="F12" s="6">
        <v>1016.99</v>
      </c>
      <c r="G12" s="6">
        <f>ConcData[TotalScrap]-ConcData[InternalScrap]</f>
        <v>15500.939999999999</v>
      </c>
      <c r="H12" s="6">
        <f>ConcData[[#This Row],[TotalRework]]-ConcData[[#This Row],[InternalRework]]</f>
        <v>4883.0200000000004</v>
      </c>
      <c r="I12" s="6">
        <f>SUM(ConcData[[#This Row],[TotalScrap]:[TotalRework]])</f>
        <v>33566.269999999997</v>
      </c>
      <c r="J12" s="6">
        <v>9224148.3800000008</v>
      </c>
      <c r="K12" s="5">
        <f>(ConcData[[#This Row],[TotalScrap]]+ConcData[[#This Row],[TotalRework]])/ConcData[[#This Row],[Cogs]]</f>
        <v>3.6389559899946008E-3</v>
      </c>
      <c r="L12" s="17">
        <f>(ConcData[[#This Row],[InternalScrap]]+ConcData[[#This Row],[InternalRework]])/ConcData[[#This Row],[Cogs]]</f>
        <v>1.4291086241177745E-3</v>
      </c>
      <c r="M12" s="5">
        <f t="shared" si="0"/>
        <v>4.0714209374664448E-3</v>
      </c>
      <c r="N12" s="5">
        <f t="shared" si="1"/>
        <v>4.267162395649937E-3</v>
      </c>
      <c r="Q12" s="7">
        <f>ROUNDUP(ConcData[CogsPercent]*1000000,0)</f>
        <v>3639</v>
      </c>
      <c r="R12" s="5">
        <v>7.4999999999999997E-3</v>
      </c>
      <c r="S12" t="s">
        <v>13</v>
      </c>
    </row>
    <row r="13" spans="1:19" ht="30" x14ac:dyDescent="0.25">
      <c r="A13" s="1">
        <v>42644</v>
      </c>
      <c r="B13" s="1" t="s">
        <v>83</v>
      </c>
      <c r="C13" s="6">
        <v>55544.71</v>
      </c>
      <c r="D13" s="6">
        <v>15520.29</v>
      </c>
      <c r="E13" s="6">
        <v>30874.959999999999</v>
      </c>
      <c r="F13" s="6">
        <v>6112.05</v>
      </c>
      <c r="G13" s="6">
        <f>ConcData[TotalScrap]-ConcData[InternalScrap]</f>
        <v>24669.75</v>
      </c>
      <c r="H13" s="6">
        <f>ConcData[[#This Row],[TotalRework]]-ConcData[[#This Row],[InternalRework]]</f>
        <v>9408.2400000000016</v>
      </c>
      <c r="I13" s="6">
        <f>SUM(ConcData[[#This Row],[TotalScrap]:[TotalRework]])</f>
        <v>71065</v>
      </c>
      <c r="J13" s="6">
        <v>10510000</v>
      </c>
      <c r="K13" s="5">
        <f>(ConcData[[#This Row],[TotalScrap]]+ConcData[[#This Row],[TotalRework]])/ConcData[[#This Row],[Cogs]]</f>
        <v>6.7616555661274974E-3</v>
      </c>
      <c r="L13" s="17">
        <f>(ConcData[[#This Row],[InternalScrap]]+ConcData[[#This Row],[InternalRework]])/ConcData[[#This Row],[Cogs]]</f>
        <v>3.5192207421503334E-3</v>
      </c>
      <c r="M13" s="5">
        <f t="shared" si="0"/>
        <v>5.2332300719055945E-3</v>
      </c>
      <c r="N13" s="5">
        <f t="shared" si="1"/>
        <v>4.6793603988096906E-3</v>
      </c>
      <c r="P13" s="8" t="s">
        <v>17</v>
      </c>
      <c r="Q13" s="7">
        <f>ROUNDUP(ConcData[CogsPercent]*1000000,0)</f>
        <v>6762</v>
      </c>
      <c r="R13" s="5">
        <v>7.4999999999999997E-3</v>
      </c>
      <c r="S13" t="s">
        <v>13</v>
      </c>
    </row>
    <row r="14" spans="1:19" x14ac:dyDescent="0.25">
      <c r="A14" s="1">
        <v>42675</v>
      </c>
      <c r="B14" s="1" t="s">
        <v>72</v>
      </c>
      <c r="C14" s="6">
        <v>43783.11</v>
      </c>
      <c r="D14" s="6">
        <v>3109.49</v>
      </c>
      <c r="E14" s="6">
        <v>12567.65</v>
      </c>
      <c r="F14" s="6">
        <v>1068</v>
      </c>
      <c r="G14" s="6">
        <f>ConcData[TotalScrap]-ConcData[InternalScrap]</f>
        <v>31215.46</v>
      </c>
      <c r="H14" s="6">
        <f>ConcData[[#This Row],[TotalRework]]-ConcData[[#This Row],[InternalRework]]</f>
        <v>2041.4899999999998</v>
      </c>
      <c r="I14" s="6">
        <f>SUM(ConcData[[#This Row],[TotalScrap]:[TotalRework]])</f>
        <v>46892.6</v>
      </c>
      <c r="J14" s="6">
        <v>8357000</v>
      </c>
      <c r="K14" s="17">
        <f>(ConcData[[#This Row],[TotalScrap]]+ConcData[[#This Row],[TotalRework]])/ConcData[[#This Row],[Cogs]]</f>
        <v>5.6111762594232379E-3</v>
      </c>
      <c r="L14" s="17">
        <f>(ConcData[[#This Row],[InternalScrap]]+ConcData[[#This Row],[InternalRework]])/ConcData[[#This Row],[Cogs]]</f>
        <v>1.6316441306689002E-3</v>
      </c>
      <c r="M14" s="17">
        <f t="shared" si="0"/>
        <v>5.3372626051817786E-3</v>
      </c>
      <c r="N14" s="17">
        <f t="shared" si="1"/>
        <v>5.0662918933103446E-3</v>
      </c>
      <c r="P14" t="s">
        <v>47</v>
      </c>
      <c r="Q14" s="7">
        <f>ROUNDUP(ConcData[CogsPercent]*1000000,0)</f>
        <v>5612</v>
      </c>
      <c r="R14" s="17">
        <v>7.4999999999999997E-3</v>
      </c>
      <c r="S14" t="s">
        <v>13</v>
      </c>
    </row>
    <row r="15" spans="1:19" ht="60" x14ac:dyDescent="0.25">
      <c r="A15" s="1">
        <v>42705</v>
      </c>
      <c r="B15" s="1" t="s">
        <v>73</v>
      </c>
      <c r="C15" s="6">
        <v>46149.57</v>
      </c>
      <c r="D15" s="6">
        <v>8158.02</v>
      </c>
      <c r="E15" s="6">
        <v>14107.42</v>
      </c>
      <c r="F15" s="6">
        <v>793.88</v>
      </c>
      <c r="G15" s="6">
        <f>ConcData[TotalScrap]-ConcData[InternalScrap]</f>
        <v>32042.15</v>
      </c>
      <c r="H15" s="6">
        <f>ConcData[[#This Row],[TotalRework]]-ConcData[[#This Row],[InternalRework]]</f>
        <v>7364.14</v>
      </c>
      <c r="I15" s="6">
        <f>SUM(ConcData[[#This Row],[TotalScrap]:[TotalRework]])</f>
        <v>54307.59</v>
      </c>
      <c r="J15" s="6">
        <v>9489000</v>
      </c>
      <c r="K15" s="17">
        <f>(ConcData[[#This Row],[TotalScrap]]+ConcData[[#This Row],[TotalRework]])/ConcData[[#This Row],[Cogs]]</f>
        <v>5.7232153019285484E-3</v>
      </c>
      <c r="L15" s="17">
        <f>(ConcData[[#This Row],[InternalScrap]]+ConcData[[#This Row],[InternalRework]])/ConcData[[#This Row],[Cogs]]</f>
        <v>1.5703762251027505E-3</v>
      </c>
      <c r="M15" s="17">
        <f t="shared" si="0"/>
        <v>6.0320157091597612E-3</v>
      </c>
      <c r="N15" s="17">
        <f t="shared" si="1"/>
        <v>5.051718323313103E-3</v>
      </c>
      <c r="P15" s="8" t="s">
        <v>52</v>
      </c>
      <c r="Q15" s="7">
        <f>ROUNDUP(ConcData[CogsPercent]*1000000,0)</f>
        <v>5724</v>
      </c>
      <c r="R15" s="17">
        <v>7.1999999999999998E-3</v>
      </c>
      <c r="S15" t="s">
        <v>13</v>
      </c>
    </row>
    <row r="16" spans="1:19" ht="60" x14ac:dyDescent="0.25">
      <c r="A16" s="1">
        <v>42736</v>
      </c>
      <c r="B16" s="1" t="s">
        <v>74</v>
      </c>
      <c r="C16" s="6">
        <v>98823.47</v>
      </c>
      <c r="D16" s="6">
        <v>13358.71</v>
      </c>
      <c r="E16" s="6">
        <v>25344.66</v>
      </c>
      <c r="F16" s="6">
        <v>9483.76</v>
      </c>
      <c r="G16" s="6">
        <f>ConcData[TotalScrap]-ConcData[InternalScrap]</f>
        <v>73478.81</v>
      </c>
      <c r="H16" s="6">
        <f>ConcData[[#This Row],[TotalRework]]-ConcData[[#This Row],[InternalRework]]</f>
        <v>3874.9499999999989</v>
      </c>
      <c r="I16" s="6">
        <f>SUM(ConcData[[#This Row],[TotalScrap]:[TotalRework]])</f>
        <v>112182.18</v>
      </c>
      <c r="J16" s="6">
        <v>10598000</v>
      </c>
      <c r="K16" s="17">
        <f>(ConcData[[#This Row],[TotalScrap]]+ConcData[[#This Row],[TotalRework]])/ConcData[[#This Row],[Cogs]]</f>
        <v>1.0585221739950933E-2</v>
      </c>
      <c r="L16" s="17">
        <f>(ConcData[[#This Row],[InternalScrap]]+ConcData[[#This Row],[InternalRework]])/ConcData[[#This Row],[Cogs]]</f>
        <v>3.2863200603887523E-3</v>
      </c>
      <c r="M16" s="17">
        <f t="shared" si="0"/>
        <v>7.3065377671009063E-3</v>
      </c>
      <c r="N16" s="17">
        <f t="shared" si="1"/>
        <v>6.2698839195032509E-3</v>
      </c>
      <c r="P16" s="8" t="s">
        <v>55</v>
      </c>
      <c r="Q16" s="7">
        <f>ROUNDUP(ConcData[CogsPercent]*1000000,0)</f>
        <v>10586</v>
      </c>
      <c r="R16" s="17">
        <v>7.1999999999999998E-3</v>
      </c>
      <c r="S16" t="s">
        <v>13</v>
      </c>
    </row>
    <row r="17" spans="1:19" ht="105" x14ac:dyDescent="0.25">
      <c r="A17" s="1">
        <v>42767</v>
      </c>
      <c r="B17" s="1" t="s">
        <v>75</v>
      </c>
      <c r="C17" s="6">
        <v>98230</v>
      </c>
      <c r="D17" s="6">
        <v>4859.8500000000004</v>
      </c>
      <c r="E17" s="6">
        <f>7055.33+6797.38+1259.95</f>
        <v>15112.66</v>
      </c>
      <c r="F17" s="6">
        <v>2213.2800000000002</v>
      </c>
      <c r="G17" s="6">
        <f>ConcData[TotalScrap]-ConcData[InternalScrap]</f>
        <v>83117.34</v>
      </c>
      <c r="H17" s="6">
        <f>ConcData[[#This Row],[TotalRework]]-ConcData[[#This Row],[InternalRework]]</f>
        <v>2646.57</v>
      </c>
      <c r="I17" s="6">
        <f>SUM(ConcData[[#This Row],[TotalScrap]:[TotalRework]])</f>
        <v>103089.85</v>
      </c>
      <c r="J17" s="6">
        <v>12863000</v>
      </c>
      <c r="K17" s="17">
        <f>(ConcData[[#This Row],[TotalScrap]]+ConcData[[#This Row],[TotalRework]])/ConcData[[#This Row],[Cogs]]</f>
        <v>8.0144484179429376E-3</v>
      </c>
      <c r="L17" s="17">
        <f>(ConcData[[#This Row],[InternalScrap]]+ConcData[[#This Row],[InternalRework]])/ConcData[[#This Row],[Cogs]]</f>
        <v>1.3469594962294954E-3</v>
      </c>
      <c r="M17" s="17">
        <f t="shared" si="0"/>
        <v>8.1076284866074735E-3</v>
      </c>
      <c r="N17" s="17">
        <f t="shared" si="1"/>
        <v>6.722445545894626E-3</v>
      </c>
      <c r="O17" s="17">
        <f t="shared" ref="O17:O22" si="2">SUM(K6:K17)/COUNT(K6:K17)</f>
        <v>5.5044266290434933E-3</v>
      </c>
      <c r="P17" s="8" t="s">
        <v>61</v>
      </c>
      <c r="Q17" s="7">
        <f>ROUNDUP(ConcData[CogsPercent]*1000000,0)</f>
        <v>8015</v>
      </c>
      <c r="R17" s="17">
        <v>7.1999999999999998E-3</v>
      </c>
      <c r="S17" t="s">
        <v>13</v>
      </c>
    </row>
    <row r="18" spans="1:19" ht="30" x14ac:dyDescent="0.25">
      <c r="A18" s="1">
        <v>42795</v>
      </c>
      <c r="B18" s="1" t="s">
        <v>76</v>
      </c>
      <c r="C18" s="6">
        <v>57473.1</v>
      </c>
      <c r="D18" s="6">
        <v>8190.68</v>
      </c>
      <c r="E18" s="6">
        <v>32721.87</v>
      </c>
      <c r="F18" s="6">
        <v>4919.5200000000004</v>
      </c>
      <c r="G18" s="6">
        <f>ConcData[TotalScrap]-ConcData[InternalScrap]</f>
        <v>24751.23</v>
      </c>
      <c r="H18" s="6">
        <f>ConcData[[#This Row],[TotalRework]]-ConcData[[#This Row],[InternalRework]]</f>
        <v>3271.16</v>
      </c>
      <c r="I18" s="6">
        <f>SUM(ConcData[[#This Row],[TotalScrap]:[TotalRework]])</f>
        <v>65663.78</v>
      </c>
      <c r="J18" s="6">
        <v>10983000.109999999</v>
      </c>
      <c r="K18" s="17">
        <f>(ConcData[[#This Row],[TotalScrap]]+ConcData[[#This Row],[TotalRework]])/ConcData[[#This Row],[Cogs]]</f>
        <v>5.97867425497094E-3</v>
      </c>
      <c r="L18" s="17">
        <f>(ConcData[[#This Row],[InternalScrap]]+ConcData[[#This Row],[InternalRework]])/ConcData[[#This Row],[Cogs]]</f>
        <v>3.4272411566059796E-3</v>
      </c>
      <c r="M18" s="17">
        <f t="shared" si="0"/>
        <v>8.1927814709549362E-3</v>
      </c>
      <c r="N18" s="17">
        <f t="shared" si="1"/>
        <v>7.1123985900573491E-3</v>
      </c>
      <c r="O18" s="17">
        <f t="shared" si="2"/>
        <v>5.6897804928536426E-3</v>
      </c>
      <c r="P18" s="8" t="s">
        <v>63</v>
      </c>
      <c r="Q18" s="7">
        <f>ROUNDUP(ConcData[CogsPercent]*1000000,0)</f>
        <v>5979</v>
      </c>
      <c r="R18" s="17">
        <v>7.1999999999999998E-3</v>
      </c>
      <c r="S18" t="s">
        <v>13</v>
      </c>
    </row>
    <row r="19" spans="1:19" x14ac:dyDescent="0.25">
      <c r="A19" s="1">
        <v>42826</v>
      </c>
      <c r="B19" s="1" t="s">
        <v>77</v>
      </c>
      <c r="C19" s="6">
        <v>59487</v>
      </c>
      <c r="D19" s="6">
        <v>5652</v>
      </c>
      <c r="E19" s="6">
        <v>31574</v>
      </c>
      <c r="F19" s="6">
        <v>4131</v>
      </c>
      <c r="G19" s="6">
        <f>ConcData[TotalScrap]-ConcData[InternalScrap]</f>
        <v>27913</v>
      </c>
      <c r="H19" s="6">
        <f>ConcData[[#This Row],[TotalRework]]-ConcData[[#This Row],[InternalRework]]</f>
        <v>1521</v>
      </c>
      <c r="I19" s="6">
        <f>SUM(ConcData[[#This Row],[TotalScrap]:[TotalRework]])</f>
        <v>65139</v>
      </c>
      <c r="J19" s="6">
        <v>12961000</v>
      </c>
      <c r="K19" s="17">
        <f>(ConcData[[#This Row],[TotalScrap]]+ConcData[[#This Row],[TotalRework]])/ConcData[[#This Row],[Cogs]]</f>
        <v>5.0257696165419332E-3</v>
      </c>
      <c r="L19" s="17">
        <f>(ConcData[[#This Row],[InternalScrap]]+ConcData[[#This Row],[InternalRework]])/ConcData[[#This Row],[Cogs]]</f>
        <v>2.7548028701489084E-3</v>
      </c>
      <c r="M19" s="17">
        <f t="shared" si="0"/>
        <v>6.3396307631519364E-3</v>
      </c>
      <c r="N19" s="17">
        <f t="shared" si="1"/>
        <v>6.8230842651264218E-3</v>
      </c>
      <c r="O19" s="17">
        <f t="shared" si="2"/>
        <v>5.7512223319680549E-3</v>
      </c>
      <c r="P19" s="10"/>
      <c r="Q19" s="7">
        <f>ROUNDUP(ConcData[CogsPercent]*1000000,0)</f>
        <v>5026</v>
      </c>
      <c r="R19" s="17">
        <v>7.1999999999999998E-3</v>
      </c>
      <c r="S19" t="s">
        <v>13</v>
      </c>
    </row>
    <row r="20" spans="1:19" ht="45" x14ac:dyDescent="0.25">
      <c r="A20" s="1">
        <v>42856</v>
      </c>
      <c r="B20" s="1" t="s">
        <v>78</v>
      </c>
      <c r="C20" s="6">
        <v>45991.53</v>
      </c>
      <c r="D20" s="6">
        <v>35280.19</v>
      </c>
      <c r="E20" s="6">
        <v>26274.21</v>
      </c>
      <c r="F20" s="6">
        <v>26182</v>
      </c>
      <c r="G20" s="6">
        <f>ConcData[TotalScrap]-ConcData[InternalScrap]</f>
        <v>19717.32</v>
      </c>
      <c r="H20" s="6">
        <f>ConcData[[#This Row],[TotalRework]]-ConcData[[#This Row],[InternalRework]]</f>
        <v>9098.1900000000023</v>
      </c>
      <c r="I20" s="6">
        <f>SUM(ConcData[[#This Row],[TotalScrap]:[TotalRework]])</f>
        <v>81271.72</v>
      </c>
      <c r="J20" s="6">
        <v>14043474.83</v>
      </c>
      <c r="K20" s="17">
        <f>(ConcData[[#This Row],[TotalScrap]]+ConcData[[#This Row],[TotalRework]])/ConcData[[#This Row],[Cogs]]</f>
        <v>5.787151754378158E-3</v>
      </c>
      <c r="L20" s="17">
        <f>(ConcData[[#This Row],[InternalScrap]]+ConcData[[#This Row],[InternalRework]])/ConcData[[#This Row],[Cogs]]</f>
        <v>3.7352728320445175E-3</v>
      </c>
      <c r="M20" s="17">
        <f t="shared" si="0"/>
        <v>5.5971985419636773E-3</v>
      </c>
      <c r="N20" s="17">
        <f t="shared" si="1"/>
        <v>6.8524135142855741E-3</v>
      </c>
      <c r="O20" s="17">
        <f t="shared" si="2"/>
        <v>5.9593527037979594E-3</v>
      </c>
      <c r="P20" s="72" t="s">
        <v>67</v>
      </c>
      <c r="Q20" s="7">
        <f>ROUNDUP(ConcData[CogsPercent]*1000000,0)</f>
        <v>5788</v>
      </c>
      <c r="R20" s="17">
        <v>7.1999999999999998E-3</v>
      </c>
      <c r="S20" s="18" t="s">
        <v>13</v>
      </c>
    </row>
    <row r="21" spans="1:19" x14ac:dyDescent="0.25">
      <c r="A21" s="1">
        <v>42887</v>
      </c>
      <c r="B21" s="1" t="s">
        <v>79</v>
      </c>
      <c r="C21" s="6">
        <v>78074.2</v>
      </c>
      <c r="D21" s="6">
        <v>21644.37</v>
      </c>
      <c r="E21" s="6">
        <v>17119.52</v>
      </c>
      <c r="F21" s="6">
        <v>5034.29</v>
      </c>
      <c r="G21" s="6">
        <f>ConcData[TotalScrap]-ConcData[InternalScrap]</f>
        <v>60954.679999999993</v>
      </c>
      <c r="H21" s="6">
        <f>ConcData[[#This Row],[TotalRework]]-ConcData[[#This Row],[InternalRework]]</f>
        <v>16610.079999999998</v>
      </c>
      <c r="I21" s="6">
        <f>SUM(ConcData[[#This Row],[TotalScrap]:[TotalRework]])</f>
        <v>99718.569999999992</v>
      </c>
      <c r="J21" s="6">
        <v>14088052.439999999</v>
      </c>
      <c r="K21" s="17">
        <f>(ConcData[[#This Row],[TotalScrap]]+ConcData[[#This Row],[TotalRework]])/ConcData[[#This Row],[Cogs]]</f>
        <v>7.0782367133210358E-3</v>
      </c>
      <c r="L21" s="76">
        <f>(ConcData[[#This Row],[InternalScrap]]+ConcData[[#This Row],[InternalRework]])/ConcData[[#This Row],[Cogs]]</f>
        <v>1.5725246689953407E-3</v>
      </c>
      <c r="M21" s="17">
        <f t="shared" ref="M21:M22" si="3">SUM(K19:K21)/3</f>
        <v>5.9637193614137081E-3</v>
      </c>
      <c r="N21" s="17">
        <f t="shared" ref="N21:N22" si="4">SUM(K16:K21)/6</f>
        <v>7.0782504161843235E-3</v>
      </c>
      <c r="O21" s="17">
        <f t="shared" si="2"/>
        <v>6.0649843697487132E-3</v>
      </c>
      <c r="P21" s="10"/>
      <c r="Q21" s="7">
        <f>ROUNDUP(ConcData[CogsPercent]*1000000,0)</f>
        <v>7079</v>
      </c>
      <c r="R21" s="17">
        <v>7.1999999999999998E-3</v>
      </c>
      <c r="S21" t="s">
        <v>13</v>
      </c>
    </row>
    <row r="22" spans="1:19" x14ac:dyDescent="0.25">
      <c r="A22" s="1">
        <v>42917</v>
      </c>
      <c r="B22" s="1" t="s">
        <v>80</v>
      </c>
      <c r="C22" s="6">
        <v>19936.16</v>
      </c>
      <c r="D22" s="6">
        <v>16150.4</v>
      </c>
      <c r="E22" s="6">
        <v>6264.84</v>
      </c>
      <c r="F22" s="6"/>
      <c r="G22" s="6">
        <f>ConcData[TotalScrap]-ConcData[InternalScrap]</f>
        <v>13671.32</v>
      </c>
      <c r="H22" s="6">
        <f>ConcData[[#This Row],[TotalRework]]-ConcData[[#This Row],[InternalRework]]</f>
        <v>16150.4</v>
      </c>
      <c r="I22" s="6">
        <f>SUM(ConcData[[#This Row],[TotalScrap]:[TotalRework]])</f>
        <v>36086.559999999998</v>
      </c>
      <c r="J22" s="6">
        <v>15529000</v>
      </c>
      <c r="K22" s="17">
        <f>(ConcData[[#This Row],[TotalScrap]]+ConcData[[#This Row],[TotalRework]])/ConcData[[#This Row],[Cogs]]</f>
        <v>2.323817373945521E-3</v>
      </c>
      <c r="L22" s="76">
        <f>(ConcData[[#This Row],[InternalScrap]]+ConcData[[#This Row],[InternalRework]])/ConcData[[#This Row],[Cogs]]</f>
        <v>4.0342842423852148E-4</v>
      </c>
      <c r="M22" s="17">
        <f t="shared" si="3"/>
        <v>5.0630686138815719E-3</v>
      </c>
      <c r="N22" s="17">
        <f t="shared" si="4"/>
        <v>5.7013496885167545E-3</v>
      </c>
      <c r="O22" s="17">
        <f t="shared" si="2"/>
        <v>5.985616804010001E-3</v>
      </c>
      <c r="P22" s="10"/>
      <c r="Q22" s="7">
        <f>ROUNDUP(ConcData[CogsPercent]*1000000,0)</f>
        <v>2324</v>
      </c>
      <c r="R22" s="17">
        <v>7.1999999999999998E-3</v>
      </c>
      <c r="S22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I30" sqref="I30"/>
    </sheetView>
  </sheetViews>
  <sheetFormatPr defaultRowHeight="15" x14ac:dyDescent="0.25"/>
  <cols>
    <col min="1" max="1" width="13.28515625" style="11" customWidth="1"/>
    <col min="2" max="2" width="13.28515625" style="18" customWidth="1"/>
    <col min="3" max="3" width="15" style="11" customWidth="1"/>
    <col min="4" max="4" width="15.28515625" style="11" customWidth="1"/>
    <col min="5" max="5" width="9.140625" style="11"/>
    <col min="6" max="6" width="15.42578125" style="11" bestFit="1" customWidth="1"/>
    <col min="7" max="7" width="14.7109375" style="12" bestFit="1" customWidth="1"/>
    <col min="8" max="8" width="12.140625" style="11" bestFit="1" customWidth="1"/>
    <col min="9" max="9" width="40.5703125" style="11" bestFit="1" customWidth="1"/>
    <col min="10" max="16384" width="9.140625" style="11"/>
  </cols>
  <sheetData>
    <row r="1" spans="1:9" x14ac:dyDescent="0.25">
      <c r="A1" s="11" t="s">
        <v>0</v>
      </c>
      <c r="B1" s="18" t="s">
        <v>71</v>
      </c>
      <c r="C1" s="11" t="s">
        <v>18</v>
      </c>
      <c r="D1" s="11" t="s">
        <v>19</v>
      </c>
      <c r="E1" s="11" t="s">
        <v>20</v>
      </c>
      <c r="F1" s="11" t="s">
        <v>22</v>
      </c>
      <c r="G1" s="12" t="s">
        <v>21</v>
      </c>
      <c r="H1" s="11" t="s">
        <v>23</v>
      </c>
      <c r="I1" s="11" t="s">
        <v>9</v>
      </c>
    </row>
    <row r="2" spans="1:9" x14ac:dyDescent="0.25">
      <c r="A2" s="9">
        <v>42064</v>
      </c>
      <c r="B2" s="19" t="s">
        <v>76</v>
      </c>
      <c r="C2" s="11">
        <v>897</v>
      </c>
      <c r="D2" s="11">
        <v>873</v>
      </c>
      <c r="E2" s="13">
        <f>SUM(NcrData[[#This Row],[InternalOpen]],NcrData[[#This Row],[ExternalOpen]])</f>
        <v>1770</v>
      </c>
      <c r="F2" s="11">
        <v>90</v>
      </c>
      <c r="G2" s="12">
        <f>NcrData[[#This Row],[NCRsOver60d]]/NcrData[[#This Row],[Total]]</f>
        <v>5.0847457627118647E-2</v>
      </c>
      <c r="H2" s="10">
        <v>0.15</v>
      </c>
    </row>
    <row r="3" spans="1:9" x14ac:dyDescent="0.25">
      <c r="A3" s="9">
        <v>42095</v>
      </c>
      <c r="B3" s="19" t="s">
        <v>77</v>
      </c>
      <c r="C3" s="11">
        <v>559</v>
      </c>
      <c r="D3" s="7">
        <v>1416</v>
      </c>
      <c r="E3" s="11">
        <f>SUM(NcrData[[#This Row],[InternalOpen]],NcrData[[#This Row],[ExternalOpen]])</f>
        <v>1975</v>
      </c>
      <c r="F3" s="11">
        <v>46</v>
      </c>
      <c r="G3" s="12">
        <f>NcrData[[#This Row],[NCRsOver60d]]/NcrData[[#This Row],[Total]]</f>
        <v>2.3291139240506329E-2</v>
      </c>
      <c r="H3" s="10">
        <v>0.15</v>
      </c>
      <c r="I3" s="12"/>
    </row>
    <row r="4" spans="1:9" x14ac:dyDescent="0.25">
      <c r="A4" s="9">
        <v>42125</v>
      </c>
      <c r="B4" s="19" t="s">
        <v>78</v>
      </c>
      <c r="C4" s="11">
        <v>741</v>
      </c>
      <c r="D4" s="7">
        <v>1187</v>
      </c>
      <c r="E4" s="11">
        <f>SUM(NcrData[[#This Row],[InternalOpen]],NcrData[[#This Row],[ExternalOpen]])</f>
        <v>1928</v>
      </c>
      <c r="F4" s="11">
        <v>94</v>
      </c>
      <c r="G4" s="12">
        <f>NcrData[[#This Row],[NCRsOver60d]]/NcrData[[#This Row],[Total]]</f>
        <v>4.8755186721991702E-2</v>
      </c>
      <c r="H4" s="10">
        <v>0.15</v>
      </c>
      <c r="I4" s="12"/>
    </row>
    <row r="5" spans="1:9" x14ac:dyDescent="0.25">
      <c r="A5" s="9">
        <v>42156</v>
      </c>
      <c r="B5" s="19" t="s">
        <v>79</v>
      </c>
      <c r="C5" s="7">
        <v>1160</v>
      </c>
      <c r="D5" s="7">
        <v>1298</v>
      </c>
      <c r="E5" s="11">
        <f>SUM(NcrData[[#This Row],[InternalOpen]],NcrData[[#This Row],[ExternalOpen]])</f>
        <v>2458</v>
      </c>
      <c r="F5" s="11">
        <v>189</v>
      </c>
      <c r="G5" s="12">
        <f>NcrData[[#This Row],[NCRsOver60d]]/NcrData[[#This Row],[Total]]</f>
        <v>7.6891781936533773E-2</v>
      </c>
      <c r="H5" s="10">
        <v>0.15</v>
      </c>
      <c r="I5" s="12"/>
    </row>
    <row r="6" spans="1:9" x14ac:dyDescent="0.25">
      <c r="A6" s="9">
        <v>42186</v>
      </c>
      <c r="B6" s="19" t="s">
        <v>80</v>
      </c>
      <c r="C6" s="11">
        <v>297</v>
      </c>
      <c r="D6" s="7">
        <v>1166</v>
      </c>
      <c r="E6" s="11">
        <f>SUM(NcrData[[#This Row],[InternalOpen]],NcrData[[#This Row],[ExternalOpen]])</f>
        <v>1463</v>
      </c>
      <c r="F6" s="11">
        <v>214</v>
      </c>
      <c r="G6" s="12">
        <f>NcrData[[#This Row],[NCRsOver60d]]/NcrData[[#This Row],[Total]]</f>
        <v>0.14627477785372522</v>
      </c>
      <c r="H6" s="10">
        <v>0.15</v>
      </c>
      <c r="I6" s="12"/>
    </row>
    <row r="7" spans="1:9" x14ac:dyDescent="0.25">
      <c r="A7" s="9">
        <v>42217</v>
      </c>
      <c r="B7" s="19" t="s">
        <v>81</v>
      </c>
      <c r="C7" s="11">
        <v>75</v>
      </c>
      <c r="D7" s="11">
        <v>648</v>
      </c>
      <c r="E7" s="11">
        <f>SUM(NcrData[[#This Row],[InternalOpen]],NcrData[[#This Row],[ExternalOpen]])</f>
        <v>723</v>
      </c>
      <c r="F7" s="11">
        <v>176</v>
      </c>
      <c r="G7" s="12">
        <f>NcrData[[#This Row],[NCRsOver60d]]/NcrData[[#This Row],[Total]]</f>
        <v>0.24343015214384509</v>
      </c>
      <c r="H7" s="10">
        <v>0.15</v>
      </c>
      <c r="I7" s="12"/>
    </row>
    <row r="8" spans="1:9" x14ac:dyDescent="0.25">
      <c r="A8" s="9">
        <v>42248</v>
      </c>
      <c r="B8" s="19" t="s">
        <v>82</v>
      </c>
      <c r="C8" s="11">
        <v>155</v>
      </c>
      <c r="D8" s="11">
        <v>515</v>
      </c>
      <c r="E8" s="11">
        <f>SUM(NcrData[[#This Row],[InternalOpen]],NcrData[[#This Row],[ExternalOpen]])</f>
        <v>670</v>
      </c>
      <c r="F8" s="11">
        <v>180</v>
      </c>
      <c r="G8" s="12">
        <f>NcrData[[#This Row],[NCRsOver60d]]/NcrData[[#This Row],[Total]]</f>
        <v>0.26865671641791045</v>
      </c>
      <c r="H8" s="10">
        <v>0.15</v>
      </c>
      <c r="I8" s="12"/>
    </row>
    <row r="9" spans="1:9" x14ac:dyDescent="0.25">
      <c r="A9" s="9">
        <v>42278</v>
      </c>
      <c r="B9" s="19" t="s">
        <v>83</v>
      </c>
      <c r="C9" s="11">
        <v>180</v>
      </c>
      <c r="D9" s="11">
        <v>484</v>
      </c>
      <c r="E9" s="11">
        <f>SUM(NcrData[[#This Row],[InternalOpen]],NcrData[[#This Row],[ExternalOpen]])</f>
        <v>664</v>
      </c>
      <c r="F9" s="11">
        <v>152</v>
      </c>
      <c r="G9" s="12">
        <f>NcrData[[#This Row],[NCRsOver60d]]/NcrData[[#This Row],[Total]]</f>
        <v>0.2289156626506024</v>
      </c>
      <c r="H9" s="10">
        <v>0.15</v>
      </c>
      <c r="I9" s="12"/>
    </row>
    <row r="10" spans="1:9" x14ac:dyDescent="0.25">
      <c r="A10" s="9">
        <v>42309</v>
      </c>
      <c r="B10" s="19" t="s">
        <v>72</v>
      </c>
      <c r="C10" s="11">
        <v>220</v>
      </c>
      <c r="D10" s="11">
        <v>354</v>
      </c>
      <c r="E10" s="11">
        <f>SUM(NcrData[[#This Row],[InternalOpen]],NcrData[[#This Row],[ExternalOpen]])</f>
        <v>574</v>
      </c>
      <c r="F10" s="11">
        <v>164</v>
      </c>
      <c r="G10" s="12">
        <f>NcrData[[#This Row],[NCRsOver60d]]/NcrData[[#This Row],[Total]]</f>
        <v>0.2857142857142857</v>
      </c>
      <c r="H10" s="10">
        <v>0.15</v>
      </c>
      <c r="I10" s="12"/>
    </row>
    <row r="11" spans="1:9" x14ac:dyDescent="0.25">
      <c r="A11" s="9">
        <v>42339</v>
      </c>
      <c r="B11" s="19" t="s">
        <v>73</v>
      </c>
      <c r="C11" s="11">
        <v>97</v>
      </c>
      <c r="D11" s="11">
        <v>119</v>
      </c>
      <c r="E11" s="11">
        <f>SUM(NcrData[[#This Row],[InternalOpen]],NcrData[[#This Row],[ExternalOpen]])</f>
        <v>216</v>
      </c>
      <c r="F11" s="11">
        <v>39</v>
      </c>
      <c r="G11" s="12">
        <f>NcrData[[#This Row],[NCRsOver60d]]/NcrData[[#This Row],[Total]]</f>
        <v>0.18055555555555555</v>
      </c>
      <c r="H11" s="10">
        <v>0.15</v>
      </c>
      <c r="I11" s="12"/>
    </row>
    <row r="12" spans="1:9" x14ac:dyDescent="0.25">
      <c r="A12" s="9">
        <v>42370</v>
      </c>
      <c r="B12" s="19" t="s">
        <v>74</v>
      </c>
      <c r="C12" s="11">
        <v>76</v>
      </c>
      <c r="D12" s="11">
        <v>109</v>
      </c>
      <c r="E12" s="11">
        <f>SUM(NcrData[[#This Row],[InternalOpen]],NcrData[[#This Row],[ExternalOpen]])</f>
        <v>185</v>
      </c>
      <c r="F12" s="11">
        <v>27</v>
      </c>
      <c r="G12" s="12">
        <f>NcrData[[#This Row],[NCRsOver60d]]/NcrData[[#This Row],[Total]]</f>
        <v>0.14594594594594595</v>
      </c>
      <c r="H12" s="10">
        <v>0.15</v>
      </c>
      <c r="I12" s="12"/>
    </row>
    <row r="13" spans="1:9" x14ac:dyDescent="0.25">
      <c r="A13" s="9">
        <v>42401</v>
      </c>
      <c r="B13" s="19" t="s">
        <v>75</v>
      </c>
      <c r="C13" s="11">
        <v>23</v>
      </c>
      <c r="D13" s="11">
        <v>40</v>
      </c>
      <c r="E13" s="11">
        <f>SUM(NcrData[[#This Row],[InternalOpen]],NcrData[[#This Row],[ExternalOpen]])</f>
        <v>63</v>
      </c>
      <c r="F13" s="11">
        <v>0</v>
      </c>
      <c r="G13" s="12">
        <f>NcrData[[#This Row],[NCRsOver60d]]/NcrData[[#This Row],[Total]]</f>
        <v>0</v>
      </c>
      <c r="H13" s="10">
        <v>0.15</v>
      </c>
      <c r="I13" s="12"/>
    </row>
    <row r="14" spans="1:9" x14ac:dyDescent="0.25">
      <c r="A14" s="9">
        <v>42430</v>
      </c>
      <c r="B14" s="19" t="s">
        <v>76</v>
      </c>
      <c r="C14" s="11">
        <v>22</v>
      </c>
      <c r="D14" s="11">
        <v>46</v>
      </c>
      <c r="E14" s="11">
        <f>SUM(NcrData[[#This Row],[InternalOpen]],NcrData[[#This Row],[ExternalOpen]])</f>
        <v>68</v>
      </c>
      <c r="F14" s="11">
        <v>0</v>
      </c>
      <c r="G14" s="12">
        <f>NcrData[[#This Row],[NCRsOver60d]]/NcrData[[#This Row],[Total]]</f>
        <v>0</v>
      </c>
      <c r="H14" s="10">
        <v>0.15</v>
      </c>
      <c r="I14" s="12"/>
    </row>
    <row r="15" spans="1:9" x14ac:dyDescent="0.25">
      <c r="A15" s="9">
        <v>42461</v>
      </c>
      <c r="B15" s="19" t="s">
        <v>77</v>
      </c>
      <c r="C15" s="11">
        <v>16</v>
      </c>
      <c r="D15" s="11">
        <v>42</v>
      </c>
      <c r="E15" s="11">
        <f>SUM(NcrData[[#This Row],[InternalOpen]],NcrData[[#This Row],[ExternalOpen]])</f>
        <v>58</v>
      </c>
      <c r="F15" s="11">
        <v>0</v>
      </c>
      <c r="G15" s="12">
        <f>NcrData[[#This Row],[NCRsOver60d]]/NcrData[[#This Row],[Total]]</f>
        <v>0</v>
      </c>
      <c r="H15" s="10">
        <v>0.15</v>
      </c>
      <c r="I15" s="12"/>
    </row>
    <row r="16" spans="1:9" x14ac:dyDescent="0.25">
      <c r="A16" s="9">
        <v>42491</v>
      </c>
      <c r="B16" s="19" t="s">
        <v>78</v>
      </c>
      <c r="C16" s="11">
        <v>22</v>
      </c>
      <c r="D16" s="11">
        <v>41</v>
      </c>
      <c r="E16" s="11">
        <f>SUM(NcrData[[#This Row],[InternalOpen]],NcrData[[#This Row],[ExternalOpen]])</f>
        <v>63</v>
      </c>
      <c r="F16" s="11">
        <v>0</v>
      </c>
      <c r="G16" s="12">
        <f>NcrData[[#This Row],[NCRsOver60d]]/NcrData[[#This Row],[Total]]</f>
        <v>0</v>
      </c>
      <c r="H16" s="10">
        <v>0.15</v>
      </c>
      <c r="I16" s="12"/>
    </row>
    <row r="17" spans="1:9" x14ac:dyDescent="0.25">
      <c r="A17" s="9">
        <v>42522</v>
      </c>
      <c r="B17" s="19" t="s">
        <v>79</v>
      </c>
      <c r="C17" s="11">
        <v>13</v>
      </c>
      <c r="D17" s="11">
        <v>24</v>
      </c>
      <c r="E17" s="11">
        <f>SUM(NcrData[[#This Row],[InternalOpen]],NcrData[[#This Row],[ExternalOpen]])</f>
        <v>37</v>
      </c>
      <c r="F17" s="11">
        <v>1</v>
      </c>
      <c r="G17" s="12">
        <f>NcrData[[#This Row],[NCRsOver60d]]/NcrData[[#This Row],[Total]]</f>
        <v>2.7027027027027029E-2</v>
      </c>
      <c r="H17" s="10">
        <v>0.15</v>
      </c>
      <c r="I17" s="12"/>
    </row>
    <row r="18" spans="1:9" x14ac:dyDescent="0.25">
      <c r="A18" s="9">
        <v>42552</v>
      </c>
      <c r="B18" s="19" t="s">
        <v>80</v>
      </c>
      <c r="C18" s="11">
        <v>32</v>
      </c>
      <c r="D18" s="11">
        <v>91</v>
      </c>
      <c r="E18" s="11">
        <f>SUM(NcrData[[#This Row],[InternalOpen]],NcrData[[#This Row],[ExternalOpen]])</f>
        <v>123</v>
      </c>
      <c r="F18" s="11">
        <v>0</v>
      </c>
      <c r="G18" s="17">
        <f>NcrData[[#This Row],[NCRsOver60d]]/NcrData[[#This Row],[Total]]</f>
        <v>0</v>
      </c>
      <c r="H18" s="10">
        <v>0.15</v>
      </c>
    </row>
    <row r="19" spans="1:9" x14ac:dyDescent="0.25">
      <c r="A19" s="9">
        <v>42583</v>
      </c>
      <c r="B19" s="19" t="s">
        <v>81</v>
      </c>
      <c r="C19" s="11">
        <v>31</v>
      </c>
      <c r="D19" s="11">
        <v>42</v>
      </c>
      <c r="E19" s="11">
        <f>SUM(NcrData[[#This Row],[InternalOpen]],NcrData[[#This Row],[ExternalOpen]])</f>
        <v>73</v>
      </c>
      <c r="F19" s="11">
        <v>1</v>
      </c>
      <c r="G19" s="17">
        <f>NcrData[[#This Row],[NCRsOver60d]]/NcrData[[#This Row],[Total]]</f>
        <v>1.3698630136986301E-2</v>
      </c>
      <c r="H19" s="10">
        <v>0.15</v>
      </c>
      <c r="I19" s="12"/>
    </row>
    <row r="20" spans="1:9" x14ac:dyDescent="0.25">
      <c r="A20" s="9">
        <v>42614</v>
      </c>
      <c r="B20" s="19" t="s">
        <v>82</v>
      </c>
      <c r="C20" s="11">
        <v>55</v>
      </c>
      <c r="D20" s="11">
        <v>35</v>
      </c>
      <c r="E20" s="11">
        <f>SUM(NcrData[[#This Row],[InternalOpen]],NcrData[[#This Row],[ExternalOpen]])</f>
        <v>90</v>
      </c>
      <c r="F20" s="11">
        <v>1</v>
      </c>
      <c r="G20" s="17">
        <f>NcrData[[#This Row],[NCRsOver60d]]/NcrData[[#This Row],[Total]]</f>
        <v>1.1111111111111112E-2</v>
      </c>
      <c r="H20" s="10">
        <v>0.15</v>
      </c>
      <c r="I20" s="12"/>
    </row>
    <row r="21" spans="1:9" ht="30" x14ac:dyDescent="0.25">
      <c r="A21" s="9">
        <v>42644</v>
      </c>
      <c r="B21" s="19" t="s">
        <v>83</v>
      </c>
      <c r="C21" s="11">
        <v>52</v>
      </c>
      <c r="D21" s="11">
        <v>47</v>
      </c>
      <c r="E21" s="11">
        <f>SUM(NcrData[[#This Row],[InternalOpen]],NcrData[[#This Row],[ExternalOpen]])</f>
        <v>99</v>
      </c>
      <c r="F21" s="11">
        <v>1</v>
      </c>
      <c r="G21" s="17">
        <f>NcrData[[#This Row],[NCRsOver60d]]/NcrData[[#This Row],[Total]]</f>
        <v>1.0101010101010102E-2</v>
      </c>
      <c r="H21" s="10">
        <v>0.15</v>
      </c>
      <c r="I21" s="14" t="s">
        <v>24</v>
      </c>
    </row>
    <row r="22" spans="1:9" x14ac:dyDescent="0.25">
      <c r="A22" s="19">
        <v>42675</v>
      </c>
      <c r="B22" s="19" t="s">
        <v>72</v>
      </c>
      <c r="C22" s="11">
        <v>34</v>
      </c>
      <c r="D22" s="11">
        <v>51</v>
      </c>
      <c r="E22" s="13">
        <f>SUM(NcrData[[#This Row],[InternalOpen]],NcrData[[#This Row],[ExternalOpen]])</f>
        <v>85</v>
      </c>
      <c r="F22" s="11">
        <v>1</v>
      </c>
      <c r="G22" s="17">
        <f>NcrData[[#This Row],[NCRsOver60d]]/NcrData[[#This Row],[Total]]</f>
        <v>1.1764705882352941E-2</v>
      </c>
      <c r="H22" s="10">
        <v>0.15</v>
      </c>
      <c r="I22" s="17" t="s">
        <v>47</v>
      </c>
    </row>
    <row r="23" spans="1:9" ht="45" x14ac:dyDescent="0.25">
      <c r="A23" s="19">
        <v>42705</v>
      </c>
      <c r="B23" s="19" t="s">
        <v>73</v>
      </c>
      <c r="C23" s="11">
        <v>11</v>
      </c>
      <c r="D23" s="11">
        <v>43</v>
      </c>
      <c r="E23" s="13">
        <f>SUM(NcrData[[#This Row],[InternalOpen]],NcrData[[#This Row],[ExternalOpen]])</f>
        <v>54</v>
      </c>
      <c r="F23" s="11">
        <v>0</v>
      </c>
      <c r="G23" s="17">
        <f>NcrData[[#This Row],[NCRsOver60d]]/NcrData[[#This Row],[Total]]</f>
        <v>0</v>
      </c>
      <c r="H23" s="10">
        <v>0.15</v>
      </c>
      <c r="I23" s="14" t="s">
        <v>49</v>
      </c>
    </row>
    <row r="24" spans="1:9" x14ac:dyDescent="0.25">
      <c r="A24" s="19">
        <v>42736</v>
      </c>
      <c r="B24" s="19" t="s">
        <v>74</v>
      </c>
      <c r="C24" s="11">
        <v>33</v>
      </c>
      <c r="D24" s="11">
        <v>72</v>
      </c>
      <c r="E24" s="13">
        <f>SUM(NcrData[[#This Row],[InternalOpen]],NcrData[[#This Row],[ExternalOpen]])</f>
        <v>105</v>
      </c>
      <c r="F24" s="11">
        <v>1</v>
      </c>
      <c r="G24" s="17">
        <f>NcrData[[#This Row],[NCRsOver60d]]/NcrData[[#This Row],[Total]]</f>
        <v>9.5238095238095247E-3</v>
      </c>
      <c r="H24" s="10">
        <v>0.1</v>
      </c>
      <c r="I24" s="17" t="s">
        <v>54</v>
      </c>
    </row>
    <row r="25" spans="1:9" x14ac:dyDescent="0.25">
      <c r="A25" s="19">
        <v>42767</v>
      </c>
      <c r="B25" s="19" t="s">
        <v>75</v>
      </c>
      <c r="C25" s="11">
        <v>56</v>
      </c>
      <c r="D25" s="11">
        <v>89</v>
      </c>
      <c r="E25" s="13">
        <f>SUM(NcrData[[#This Row],[InternalOpen]],NcrData[[#This Row],[ExternalOpen]])</f>
        <v>145</v>
      </c>
      <c r="F25" s="11">
        <v>1</v>
      </c>
      <c r="G25" s="17">
        <f>NcrData[[#This Row],[NCRsOver60d]]/NcrData[[#This Row],[Total]]</f>
        <v>6.8965517241379309E-3</v>
      </c>
      <c r="H25" s="10">
        <v>0.1</v>
      </c>
      <c r="I25" s="17" t="s">
        <v>54</v>
      </c>
    </row>
    <row r="26" spans="1:9" x14ac:dyDescent="0.25">
      <c r="A26" s="19">
        <v>42795</v>
      </c>
      <c r="B26" s="19" t="s">
        <v>76</v>
      </c>
      <c r="C26" s="11">
        <v>81</v>
      </c>
      <c r="D26" s="11">
        <v>116</v>
      </c>
      <c r="E26" s="13">
        <f>SUM(NcrData[[#This Row],[InternalOpen]],NcrData[[#This Row],[ExternalOpen]])</f>
        <v>197</v>
      </c>
      <c r="F26" s="11">
        <v>4</v>
      </c>
      <c r="G26" s="17">
        <f>NcrData[[#This Row],[NCRsOver60d]]/NcrData[[#This Row],[Total]]</f>
        <v>2.030456852791878E-2</v>
      </c>
      <c r="H26" s="10">
        <v>0.1</v>
      </c>
      <c r="I26" s="17" t="s">
        <v>54</v>
      </c>
    </row>
    <row r="27" spans="1:9" x14ac:dyDescent="0.25">
      <c r="A27" s="19">
        <v>42826</v>
      </c>
      <c r="B27" s="19" t="s">
        <v>77</v>
      </c>
      <c r="C27" s="11">
        <v>69</v>
      </c>
      <c r="D27" s="11">
        <v>78</v>
      </c>
      <c r="E27" s="13">
        <f>SUM(NcrData[[#This Row],[InternalOpen]],NcrData[[#This Row],[ExternalOpen]])</f>
        <v>147</v>
      </c>
      <c r="F27" s="11">
        <v>10</v>
      </c>
      <c r="G27" s="17">
        <f>NcrData[[#This Row],[NCRsOver60d]]/NcrData[[#This Row],[Total]]</f>
        <v>6.8027210884353748E-2</v>
      </c>
      <c r="H27" s="10">
        <v>0.1</v>
      </c>
      <c r="I27" s="17" t="s">
        <v>54</v>
      </c>
    </row>
    <row r="28" spans="1:9" x14ac:dyDescent="0.25">
      <c r="A28" s="19">
        <v>42856</v>
      </c>
      <c r="B28" s="19" t="s">
        <v>78</v>
      </c>
      <c r="C28" s="11">
        <v>83</v>
      </c>
      <c r="D28" s="11">
        <v>79</v>
      </c>
      <c r="E28" s="13">
        <f>SUM(NcrData[[#This Row],[InternalOpen]],NcrData[[#This Row],[ExternalOpen]])</f>
        <v>162</v>
      </c>
      <c r="F28" s="11">
        <v>6</v>
      </c>
      <c r="G28" s="17">
        <f>NcrData[[#This Row],[NCRsOver60d]]/NcrData[[#This Row],[Total]]</f>
        <v>3.7037037037037035E-2</v>
      </c>
      <c r="H28" s="10">
        <v>0.1</v>
      </c>
      <c r="I28" s="17" t="s">
        <v>68</v>
      </c>
    </row>
    <row r="29" spans="1:9" x14ac:dyDescent="0.25">
      <c r="A29" s="19">
        <v>42887</v>
      </c>
      <c r="B29" s="19" t="s">
        <v>79</v>
      </c>
      <c r="C29" s="11">
        <v>23</v>
      </c>
      <c r="D29" s="11">
        <v>42</v>
      </c>
      <c r="E29" s="13">
        <f>SUM(NcrData[[#This Row],[InternalOpen]],NcrData[[#This Row],[ExternalOpen]])</f>
        <v>65</v>
      </c>
      <c r="F29" s="11">
        <v>7</v>
      </c>
      <c r="G29" s="17">
        <f>NcrData[[#This Row],[NCRsOver60d]]/NcrData[[#This Row],[Total]]</f>
        <v>0.1076923076923077</v>
      </c>
      <c r="H29" s="10">
        <v>0.1</v>
      </c>
      <c r="I29" s="76" t="s">
        <v>70</v>
      </c>
    </row>
    <row r="30" spans="1:9" x14ac:dyDescent="0.25">
      <c r="A30" s="19">
        <v>42917</v>
      </c>
      <c r="B30" s="19" t="s">
        <v>80</v>
      </c>
      <c r="C30" s="11">
        <v>54</v>
      </c>
      <c r="D30" s="11">
        <v>116</v>
      </c>
      <c r="E30" s="13">
        <f>SUM(NcrData[[#This Row],[InternalOpen]],NcrData[[#This Row],[ExternalOpen]])</f>
        <v>170</v>
      </c>
      <c r="F30" s="11">
        <v>15</v>
      </c>
      <c r="G30" s="17">
        <f>NcrData[[#This Row],[NCRsOver60d]]/NcrData[[#This Row],[Total]]</f>
        <v>8.8235294117647065E-2</v>
      </c>
      <c r="H30" s="10">
        <v>0.1</v>
      </c>
      <c r="I30" s="76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F21" sqref="F21"/>
    </sheetView>
  </sheetViews>
  <sheetFormatPr defaultRowHeight="15" x14ac:dyDescent="0.25"/>
  <cols>
    <col min="1" max="1" width="13.28515625" customWidth="1"/>
    <col min="2" max="2" width="13.28515625" style="18" customWidth="1"/>
    <col min="3" max="3" width="15.42578125" customWidth="1"/>
    <col min="4" max="4" width="13.28515625" customWidth="1"/>
    <col min="5" max="5" width="15.5703125" customWidth="1"/>
    <col min="6" max="6" width="12.140625" customWidth="1"/>
    <col min="7" max="7" width="14.7109375" customWidth="1"/>
    <col min="8" max="8" width="18.7109375" customWidth="1"/>
    <col min="9" max="9" width="12" customWidth="1"/>
    <col min="10" max="10" width="56.85546875" bestFit="1" customWidth="1"/>
  </cols>
  <sheetData>
    <row r="1" spans="1:10" ht="15.75" thickBot="1" x14ac:dyDescent="0.3">
      <c r="A1" s="35" t="s">
        <v>0</v>
      </c>
      <c r="B1" s="35" t="s">
        <v>71</v>
      </c>
      <c r="C1" s="36" t="s">
        <v>25</v>
      </c>
      <c r="D1" s="36" t="s">
        <v>26</v>
      </c>
      <c r="E1" s="36" t="s">
        <v>27</v>
      </c>
      <c r="F1" s="36" t="s">
        <v>30</v>
      </c>
      <c r="G1" s="36" t="s">
        <v>28</v>
      </c>
      <c r="H1" s="37" t="s">
        <v>29</v>
      </c>
      <c r="I1" s="36" t="s">
        <v>23</v>
      </c>
      <c r="J1" s="36" t="s">
        <v>9</v>
      </c>
    </row>
    <row r="2" spans="1:10" ht="16.5" thickTop="1" thickBot="1" x14ac:dyDescent="0.3">
      <c r="A2" s="38">
        <v>42309</v>
      </c>
      <c r="B2" s="38" t="s">
        <v>72</v>
      </c>
      <c r="C2" s="39">
        <v>7</v>
      </c>
      <c r="D2" s="39">
        <v>13</v>
      </c>
      <c r="E2" s="39">
        <v>3</v>
      </c>
      <c r="F2" s="39"/>
      <c r="G2" s="39"/>
      <c r="H2" s="40" t="str">
        <f>IFERROR(Table5[[#This Row],[FPRsOver90d]]/Table5[[#This Row],[FPRsOpen]],"")</f>
        <v/>
      </c>
      <c r="I2" s="39"/>
      <c r="J2" s="39"/>
    </row>
    <row r="3" spans="1:10" ht="16.5" thickTop="1" thickBot="1" x14ac:dyDescent="0.3">
      <c r="A3" s="41">
        <v>42339</v>
      </c>
      <c r="B3" s="41" t="s">
        <v>73</v>
      </c>
      <c r="C3" s="34">
        <v>23</v>
      </c>
      <c r="D3" s="34">
        <v>8</v>
      </c>
      <c r="E3" s="34">
        <v>8</v>
      </c>
      <c r="F3" s="34"/>
      <c r="G3" s="34"/>
      <c r="H3" s="40" t="str">
        <f>IFERROR(Table5[[#This Row],[FPRsOver90d]]/Table5[[#This Row],[FPRsOpen]],"")</f>
        <v/>
      </c>
      <c r="I3" s="34"/>
      <c r="J3" s="34"/>
    </row>
    <row r="4" spans="1:10" ht="16.5" thickTop="1" thickBot="1" x14ac:dyDescent="0.3">
      <c r="A4" s="42">
        <v>42370</v>
      </c>
      <c r="B4" s="38" t="s">
        <v>74</v>
      </c>
      <c r="C4" s="43">
        <v>12</v>
      </c>
      <c r="D4" s="43">
        <v>28</v>
      </c>
      <c r="E4" s="43">
        <v>10</v>
      </c>
      <c r="F4" s="43">
        <v>13</v>
      </c>
      <c r="G4" s="43">
        <v>1</v>
      </c>
      <c r="H4" s="40">
        <f>IFERROR(Table5[[#This Row],[FPRsOver90d]]/Table5[[#This Row],[FPRsOpen]],"")</f>
        <v>7.6923076923076927E-2</v>
      </c>
      <c r="I4" s="44">
        <v>0.15</v>
      </c>
      <c r="J4" s="43"/>
    </row>
    <row r="5" spans="1:10" ht="16.5" thickTop="1" thickBot="1" x14ac:dyDescent="0.3">
      <c r="A5" s="41">
        <v>42401</v>
      </c>
      <c r="B5" s="41" t="s">
        <v>75</v>
      </c>
      <c r="C5" s="34">
        <v>14</v>
      </c>
      <c r="D5" s="34">
        <v>17</v>
      </c>
      <c r="E5" s="34">
        <v>9</v>
      </c>
      <c r="F5" s="34">
        <v>14</v>
      </c>
      <c r="G5" s="34">
        <v>0</v>
      </c>
      <c r="H5" s="40">
        <f>IFERROR(Table5[[#This Row],[FPRsOver90d]]/Table5[[#This Row],[FPRsOpen]],"")</f>
        <v>0</v>
      </c>
      <c r="I5" s="45">
        <v>0.15</v>
      </c>
      <c r="J5" s="34"/>
    </row>
    <row r="6" spans="1:10" ht="16.5" thickTop="1" thickBot="1" x14ac:dyDescent="0.3">
      <c r="A6" s="42">
        <v>42430</v>
      </c>
      <c r="B6" s="38" t="s">
        <v>76</v>
      </c>
      <c r="C6" s="43">
        <v>13</v>
      </c>
      <c r="D6" s="43">
        <v>13</v>
      </c>
      <c r="E6" s="43">
        <v>4</v>
      </c>
      <c r="F6" s="43">
        <v>14</v>
      </c>
      <c r="G6" s="43">
        <v>0</v>
      </c>
      <c r="H6" s="40">
        <f>IFERROR(Table5[[#This Row],[FPRsOver90d]]/Table5[[#This Row],[FPRsOpen]],"")</f>
        <v>0</v>
      </c>
      <c r="I6" s="44">
        <v>0.15</v>
      </c>
      <c r="J6" s="43"/>
    </row>
    <row r="7" spans="1:10" ht="16.5" thickTop="1" thickBot="1" x14ac:dyDescent="0.3">
      <c r="A7" s="41">
        <v>42461</v>
      </c>
      <c r="B7" s="41" t="s">
        <v>77</v>
      </c>
      <c r="C7" s="34">
        <v>14</v>
      </c>
      <c r="D7" s="34">
        <v>13</v>
      </c>
      <c r="E7" s="34">
        <v>7</v>
      </c>
      <c r="F7" s="34">
        <v>10</v>
      </c>
      <c r="G7" s="34">
        <v>0</v>
      </c>
      <c r="H7" s="40">
        <f>IFERROR(Table5[[#This Row],[FPRsOver90d]]/Table5[[#This Row],[FPRsOpen]],"")</f>
        <v>0</v>
      </c>
      <c r="I7" s="45">
        <v>0.15</v>
      </c>
      <c r="J7" s="34"/>
    </row>
    <row r="8" spans="1:10" ht="16.5" thickTop="1" thickBot="1" x14ac:dyDescent="0.3">
      <c r="A8" s="42">
        <v>42491</v>
      </c>
      <c r="B8" s="38" t="s">
        <v>78</v>
      </c>
      <c r="C8" s="43">
        <v>19</v>
      </c>
      <c r="D8" s="43">
        <v>15</v>
      </c>
      <c r="E8" s="43">
        <v>8</v>
      </c>
      <c r="F8" s="43">
        <v>15</v>
      </c>
      <c r="G8" s="43">
        <v>0</v>
      </c>
      <c r="H8" s="40">
        <f>IFERROR(Table5[[#This Row],[FPRsOver90d]]/Table5[[#This Row],[FPRsOpen]],"")</f>
        <v>0</v>
      </c>
      <c r="I8" s="44">
        <v>0.15</v>
      </c>
      <c r="J8" s="43"/>
    </row>
    <row r="9" spans="1:10" ht="16.5" thickTop="1" thickBot="1" x14ac:dyDescent="0.3">
      <c r="A9" s="41">
        <v>42522</v>
      </c>
      <c r="B9" s="41" t="s">
        <v>79</v>
      </c>
      <c r="C9" s="34">
        <v>14</v>
      </c>
      <c r="D9" s="34">
        <v>15</v>
      </c>
      <c r="E9" s="34">
        <v>8</v>
      </c>
      <c r="F9" s="34">
        <v>12</v>
      </c>
      <c r="G9" s="34">
        <v>0</v>
      </c>
      <c r="H9" s="40">
        <f>IFERROR(Table5[[#This Row],[FPRsOver90d]]/Table5[[#This Row],[FPRsOpen]],"")</f>
        <v>0</v>
      </c>
      <c r="I9" s="45">
        <v>0.15</v>
      </c>
      <c r="J9" s="34"/>
    </row>
    <row r="10" spans="1:10" ht="16.5" thickTop="1" thickBot="1" x14ac:dyDescent="0.3">
      <c r="A10" s="42">
        <v>42552</v>
      </c>
      <c r="B10" s="38" t="s">
        <v>80</v>
      </c>
      <c r="C10" s="43">
        <v>11</v>
      </c>
      <c r="D10" s="43">
        <v>5</v>
      </c>
      <c r="E10" s="43">
        <v>3</v>
      </c>
      <c r="F10" s="43">
        <v>18</v>
      </c>
      <c r="G10" s="43">
        <v>0</v>
      </c>
      <c r="H10" s="40">
        <f>IFERROR(Table5[[#This Row],[FPRsOver90d]]/Table5[[#This Row],[FPRsOpen]],"")</f>
        <v>0</v>
      </c>
      <c r="I10" s="44">
        <v>0.15</v>
      </c>
      <c r="J10" s="43"/>
    </row>
    <row r="11" spans="1:10" ht="16.5" thickTop="1" thickBot="1" x14ac:dyDescent="0.3">
      <c r="A11" s="41">
        <v>42583</v>
      </c>
      <c r="B11" s="41" t="s">
        <v>81</v>
      </c>
      <c r="C11" s="34">
        <v>11</v>
      </c>
      <c r="D11" s="34">
        <v>16</v>
      </c>
      <c r="E11" s="34">
        <v>6</v>
      </c>
      <c r="F11" s="34">
        <v>15</v>
      </c>
      <c r="G11" s="34">
        <v>0</v>
      </c>
      <c r="H11" s="40">
        <f>IFERROR(Table5[[#This Row],[FPRsOver90d]]/Table5[[#This Row],[FPRsOpen]],"")</f>
        <v>0</v>
      </c>
      <c r="I11" s="45">
        <v>0.15</v>
      </c>
      <c r="J11" s="34"/>
    </row>
    <row r="12" spans="1:10" ht="16.5" thickTop="1" thickBot="1" x14ac:dyDescent="0.3">
      <c r="A12" s="42">
        <v>42614</v>
      </c>
      <c r="B12" s="38" t="s">
        <v>82</v>
      </c>
      <c r="C12" s="43">
        <v>11</v>
      </c>
      <c r="D12" s="43">
        <v>8</v>
      </c>
      <c r="E12" s="43">
        <v>7</v>
      </c>
      <c r="F12" s="43">
        <v>13</v>
      </c>
      <c r="G12" s="43">
        <v>0</v>
      </c>
      <c r="H12" s="40">
        <f>IFERROR(Table5[[#This Row],[FPRsOver90d]]/Table5[[#This Row],[FPRsOpen]],"")</f>
        <v>0</v>
      </c>
      <c r="I12" s="44">
        <v>0.15</v>
      </c>
      <c r="J12" s="43"/>
    </row>
    <row r="13" spans="1:10" ht="31.5" thickTop="1" thickBot="1" x14ac:dyDescent="0.3">
      <c r="A13" s="41">
        <v>42644</v>
      </c>
      <c r="B13" s="41" t="s">
        <v>83</v>
      </c>
      <c r="C13" s="34">
        <v>8</v>
      </c>
      <c r="D13" s="34">
        <v>14</v>
      </c>
      <c r="E13" s="34">
        <v>3</v>
      </c>
      <c r="F13" s="34">
        <v>9</v>
      </c>
      <c r="G13" s="34">
        <v>0</v>
      </c>
      <c r="H13" s="40">
        <f>IFERROR(Table5[[#This Row],[FPRsOver90d]]/Table5[[#This Row],[FPRsOpen]],"")</f>
        <v>0</v>
      </c>
      <c r="I13" s="45">
        <v>0.15</v>
      </c>
      <c r="J13" s="28" t="s">
        <v>31</v>
      </c>
    </row>
    <row r="14" spans="1:10" ht="15.75" thickTop="1" x14ac:dyDescent="0.25">
      <c r="A14" s="41">
        <v>42675</v>
      </c>
      <c r="B14" s="38" t="s">
        <v>72</v>
      </c>
      <c r="C14" s="34">
        <v>5</v>
      </c>
      <c r="D14" s="34">
        <v>6</v>
      </c>
      <c r="E14" s="34">
        <v>5</v>
      </c>
      <c r="F14" s="34">
        <v>14</v>
      </c>
      <c r="G14" s="34">
        <v>1</v>
      </c>
      <c r="H14" s="40">
        <f>IFERROR(Table5[[#This Row],[FPRsOver90d]]/Table5[[#This Row],[FPRsOpen]],"")</f>
        <v>7.1428571428571425E-2</v>
      </c>
      <c r="I14" s="45">
        <v>0.15</v>
      </c>
      <c r="J14" t="s">
        <v>45</v>
      </c>
    </row>
    <row r="15" spans="1:10" ht="30.75" thickBot="1" x14ac:dyDescent="0.3">
      <c r="A15" s="41">
        <v>42705</v>
      </c>
      <c r="B15" s="41" t="s">
        <v>73</v>
      </c>
      <c r="C15" s="34">
        <v>3</v>
      </c>
      <c r="D15" s="34">
        <v>6</v>
      </c>
      <c r="E15" s="34">
        <v>1</v>
      </c>
      <c r="F15" s="34">
        <v>8</v>
      </c>
      <c r="G15" s="34">
        <v>0</v>
      </c>
      <c r="H15" s="55">
        <f>IFERROR(Table5[[#This Row],[FPRsOver90d]]/Table5[[#This Row],[FPRsOpen]],"")</f>
        <v>0</v>
      </c>
      <c r="I15" s="45">
        <v>0.15</v>
      </c>
      <c r="J15" s="8" t="s">
        <v>48</v>
      </c>
    </row>
    <row r="16" spans="1:10" ht="30.75" thickTop="1" x14ac:dyDescent="0.25">
      <c r="A16" s="41">
        <v>42736</v>
      </c>
      <c r="B16" s="38" t="s">
        <v>74</v>
      </c>
      <c r="C16" s="34">
        <v>15</v>
      </c>
      <c r="D16" s="34">
        <v>0</v>
      </c>
      <c r="E16" s="34">
        <v>0</v>
      </c>
      <c r="F16" s="34">
        <v>20</v>
      </c>
      <c r="G16" s="34">
        <v>1</v>
      </c>
      <c r="H16" s="55">
        <f>IFERROR(Table5[[#This Row],[FPRsOver90d]]/Table5[[#This Row],[FPRsOpen]],"")</f>
        <v>0.05</v>
      </c>
      <c r="I16" s="45">
        <v>0.1</v>
      </c>
      <c r="J16" s="8" t="s">
        <v>57</v>
      </c>
    </row>
    <row r="17" spans="1:12" ht="15.75" thickBot="1" x14ac:dyDescent="0.3">
      <c r="A17" s="62">
        <v>42767</v>
      </c>
      <c r="B17" s="41" t="s">
        <v>75</v>
      </c>
      <c r="C17" s="63">
        <v>9</v>
      </c>
      <c r="D17" s="63">
        <v>6</v>
      </c>
      <c r="E17" s="63">
        <v>3</v>
      </c>
      <c r="F17" s="63">
        <v>24</v>
      </c>
      <c r="G17" s="63">
        <v>3</v>
      </c>
      <c r="H17" s="64">
        <f>IFERROR(Table5[[#This Row],[FPRsOver90d]]/Table5[[#This Row],[FPRsOpen]],"")</f>
        <v>0.125</v>
      </c>
      <c r="I17" s="45">
        <v>0.1</v>
      </c>
      <c r="J17" t="s">
        <v>62</v>
      </c>
      <c r="L17" s="15">
        <v>1.01E-2</v>
      </c>
    </row>
    <row r="18" spans="1:12" ht="30.75" thickTop="1" x14ac:dyDescent="0.25">
      <c r="A18" s="41">
        <v>42795</v>
      </c>
      <c r="B18" s="38" t="s">
        <v>76</v>
      </c>
      <c r="C18" s="34">
        <v>4</v>
      </c>
      <c r="D18" s="34">
        <v>4</v>
      </c>
      <c r="E18" s="34">
        <v>0</v>
      </c>
      <c r="F18" s="34">
        <v>22</v>
      </c>
      <c r="G18" s="34">
        <v>4</v>
      </c>
      <c r="H18" s="55">
        <f>IFERROR(Table5[[#This Row],[FPRsOver90d]]/Table5[[#This Row],[FPRsOpen]],"")</f>
        <v>0.18181818181818182</v>
      </c>
      <c r="I18" s="45">
        <v>0.1</v>
      </c>
      <c r="J18" s="8" t="s">
        <v>64</v>
      </c>
      <c r="L18">
        <f>1000000</f>
        <v>1000000</v>
      </c>
    </row>
    <row r="19" spans="1:12" ht="15.75" thickBot="1" x14ac:dyDescent="0.3">
      <c r="A19" s="41">
        <v>42826</v>
      </c>
      <c r="B19" s="41" t="s">
        <v>77</v>
      </c>
      <c r="C19" s="34">
        <v>13</v>
      </c>
      <c r="D19" s="34">
        <v>0</v>
      </c>
      <c r="E19" s="34">
        <v>0</v>
      </c>
      <c r="F19" s="34">
        <v>32</v>
      </c>
      <c r="G19" s="34">
        <v>6</v>
      </c>
      <c r="H19" s="55">
        <f>IFERROR(Table5[[#This Row],[FPRsOver90d]]/Table5[[#This Row],[FPRsOpen]],"")</f>
        <v>0.1875</v>
      </c>
      <c r="I19" s="45">
        <v>0.1</v>
      </c>
      <c r="J19" t="s">
        <v>66</v>
      </c>
      <c r="L19">
        <f>L17*L18</f>
        <v>10100</v>
      </c>
    </row>
    <row r="20" spans="1:12" ht="45.75" thickTop="1" x14ac:dyDescent="0.25">
      <c r="A20" s="41">
        <v>42856</v>
      </c>
      <c r="B20" s="38" t="s">
        <v>78</v>
      </c>
      <c r="C20" s="34">
        <v>13</v>
      </c>
      <c r="D20" s="34">
        <v>2</v>
      </c>
      <c r="E20" s="34">
        <v>0</v>
      </c>
      <c r="F20" s="34">
        <v>43</v>
      </c>
      <c r="G20" s="34">
        <v>16</v>
      </c>
      <c r="H20" s="55">
        <f>IFERROR(Table5[[#This Row],[FPRsOver90d]]/Table5[[#This Row],[FPRsOpen]],"")</f>
        <v>0.37209302325581395</v>
      </c>
      <c r="I20" s="45">
        <v>0.1</v>
      </c>
      <c r="J20" s="8" t="s">
        <v>69</v>
      </c>
    </row>
    <row r="21" spans="1:12" ht="15.75" thickBot="1" x14ac:dyDescent="0.3">
      <c r="A21" s="73">
        <v>42887</v>
      </c>
      <c r="B21" s="41" t="s">
        <v>79</v>
      </c>
      <c r="C21" s="74">
        <v>7</v>
      </c>
      <c r="D21" s="74">
        <v>4</v>
      </c>
      <c r="E21" s="74">
        <v>0</v>
      </c>
      <c r="F21" s="74">
        <v>46</v>
      </c>
      <c r="G21" s="74">
        <v>20</v>
      </c>
      <c r="H21" s="75">
        <f>IFERROR(Table5[[#This Row],[FPRsOver90d]]/Table5[[#This Row],[FPRsOpen]],"")</f>
        <v>0.43478260869565216</v>
      </c>
      <c r="I21" s="45">
        <v>0.1</v>
      </c>
    </row>
    <row r="22" spans="1:12" ht="15.75" thickTop="1" x14ac:dyDescent="0.25">
      <c r="A22" s="73">
        <v>42917</v>
      </c>
      <c r="B22" s="38" t="s">
        <v>80</v>
      </c>
      <c r="C22" s="74">
        <v>6</v>
      </c>
      <c r="D22" s="74">
        <v>0</v>
      </c>
      <c r="E22" s="74">
        <v>0</v>
      </c>
      <c r="F22" s="74">
        <v>36</v>
      </c>
      <c r="G22" s="74">
        <v>25</v>
      </c>
      <c r="H22" s="75">
        <f>IFERROR(Table5[[#This Row],[FPRsOver90d]]/Table5[[#This Row],[FPRsOpen]],"")</f>
        <v>0.69444444444444442</v>
      </c>
      <c r="I22" s="81">
        <v>0.1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C1" workbookViewId="0">
      <selection activeCell="L28" sqref="L28"/>
    </sheetView>
  </sheetViews>
  <sheetFormatPr defaultRowHeight="15" x14ac:dyDescent="0.25"/>
  <cols>
    <col min="1" max="1" width="13.28515625" customWidth="1"/>
    <col min="2" max="2" width="13.28515625" style="18" customWidth="1"/>
    <col min="3" max="3" width="13.5703125" customWidth="1"/>
    <col min="4" max="4" width="11.7109375" customWidth="1"/>
    <col min="8" max="8" width="12.28515625" customWidth="1"/>
    <col min="9" max="9" width="13.140625" customWidth="1"/>
    <col min="10" max="10" width="9.28515625" customWidth="1"/>
    <col min="12" max="12" width="37.85546875" customWidth="1"/>
  </cols>
  <sheetData>
    <row r="1" spans="1:12" ht="15.75" thickBot="1" x14ac:dyDescent="0.3">
      <c r="A1" s="29" t="s">
        <v>0</v>
      </c>
      <c r="B1" s="29" t="s">
        <v>71</v>
      </c>
      <c r="C1" s="21" t="s">
        <v>32</v>
      </c>
      <c r="D1" s="21" t="s">
        <v>33</v>
      </c>
      <c r="E1" s="21" t="s">
        <v>34</v>
      </c>
      <c r="F1" s="21" t="s">
        <v>35</v>
      </c>
      <c r="G1" s="21" t="s">
        <v>36</v>
      </c>
      <c r="H1" s="20" t="s">
        <v>37</v>
      </c>
      <c r="I1" s="21" t="s">
        <v>38</v>
      </c>
      <c r="J1" s="21" t="s">
        <v>39</v>
      </c>
      <c r="K1" s="21" t="s">
        <v>40</v>
      </c>
      <c r="L1" s="46" t="s">
        <v>9</v>
      </c>
    </row>
    <row r="2" spans="1:12" ht="15.75" thickTop="1" x14ac:dyDescent="0.25">
      <c r="A2" s="22">
        <v>42125</v>
      </c>
      <c r="B2" s="22" t="s">
        <v>78</v>
      </c>
      <c r="C2" s="23">
        <v>35162</v>
      </c>
      <c r="D2" s="23">
        <v>32</v>
      </c>
      <c r="E2" s="30">
        <f>1-(D2/C2)</f>
        <v>0.99908992662533413</v>
      </c>
      <c r="F2" s="31">
        <f>_xlfn.NORM.S.INV(E2)+1.5</f>
        <v>4.618110294356315</v>
      </c>
      <c r="G2" s="23">
        <f>ROUNDUP((1-E2)*1000000,0)</f>
        <v>911</v>
      </c>
      <c r="H2" s="23"/>
      <c r="I2" s="23"/>
      <c r="J2" s="26">
        <v>0.99909999999999999</v>
      </c>
      <c r="K2" s="26">
        <v>0.98499999999999999</v>
      </c>
      <c r="L2" s="47"/>
    </row>
    <row r="3" spans="1:12" x14ac:dyDescent="0.25">
      <c r="A3" s="24">
        <v>42156</v>
      </c>
      <c r="B3" s="24" t="s">
        <v>79</v>
      </c>
      <c r="C3" s="25">
        <v>40369</v>
      </c>
      <c r="D3" s="25">
        <v>154</v>
      </c>
      <c r="E3" s="32">
        <f t="shared" ref="E3:E20" si="0">1-(D3/C3)</f>
        <v>0.99618519160742158</v>
      </c>
      <c r="F3" s="33">
        <f t="shared" ref="F3:F19" si="1">_xlfn.NORM.S.INV(E3)+1.5</f>
        <v>4.1680356241810577</v>
      </c>
      <c r="G3" s="25">
        <f t="shared" ref="G3:G19" si="2">ROUNDUP((1-E3)*1000000,0)</f>
        <v>3815</v>
      </c>
      <c r="H3" s="25"/>
      <c r="I3" s="25"/>
      <c r="J3" s="27">
        <v>0.99619999999999997</v>
      </c>
      <c r="K3" s="27">
        <v>0.98499999999999999</v>
      </c>
      <c r="L3" s="48"/>
    </row>
    <row r="4" spans="1:12" x14ac:dyDescent="0.25">
      <c r="A4" s="22">
        <v>42186</v>
      </c>
      <c r="B4" s="22" t="s">
        <v>80</v>
      </c>
      <c r="C4" s="23">
        <v>33357</v>
      </c>
      <c r="D4" s="23">
        <v>56</v>
      </c>
      <c r="E4" s="30">
        <f t="shared" si="0"/>
        <v>0.99832119195371283</v>
      </c>
      <c r="F4" s="31">
        <f t="shared" si="1"/>
        <v>4.4329466249317333</v>
      </c>
      <c r="G4" s="23">
        <f t="shared" si="2"/>
        <v>1679</v>
      </c>
      <c r="H4" s="23"/>
      <c r="I4" s="23"/>
      <c r="J4" s="26">
        <v>0.99829999999999997</v>
      </c>
      <c r="K4" s="26">
        <v>0.98499999999999999</v>
      </c>
      <c r="L4" s="47"/>
    </row>
    <row r="5" spans="1:12" x14ac:dyDescent="0.25">
      <c r="A5" s="24">
        <v>42217</v>
      </c>
      <c r="B5" s="24" t="s">
        <v>81</v>
      </c>
      <c r="C5" s="25">
        <v>35242</v>
      </c>
      <c r="D5" s="25">
        <v>61</v>
      </c>
      <c r="E5" s="32">
        <f t="shared" si="0"/>
        <v>0.99826911072016344</v>
      </c>
      <c r="F5" s="33">
        <f t="shared" si="1"/>
        <v>4.4234481670300454</v>
      </c>
      <c r="G5" s="25">
        <f t="shared" si="2"/>
        <v>1731</v>
      </c>
      <c r="H5" s="25"/>
      <c r="I5" s="25"/>
      <c r="J5" s="27">
        <v>0.99829999999999997</v>
      </c>
      <c r="K5" s="27">
        <v>0.98499999999999999</v>
      </c>
      <c r="L5" s="48"/>
    </row>
    <row r="6" spans="1:12" x14ac:dyDescent="0.25">
      <c r="A6" s="22">
        <v>42248</v>
      </c>
      <c r="B6" s="22" t="s">
        <v>82</v>
      </c>
      <c r="C6" s="23">
        <v>40301</v>
      </c>
      <c r="D6" s="23">
        <v>234</v>
      </c>
      <c r="E6" s="30">
        <f t="shared" si="0"/>
        <v>0.99419369246420686</v>
      </c>
      <c r="F6" s="31">
        <f t="shared" si="1"/>
        <v>4.0237025191182179</v>
      </c>
      <c r="G6" s="23">
        <f t="shared" si="2"/>
        <v>5807</v>
      </c>
      <c r="H6" s="23"/>
      <c r="I6" s="23"/>
      <c r="J6" s="26">
        <v>0.99419999999999997</v>
      </c>
      <c r="K6" s="26">
        <v>0.98499999999999999</v>
      </c>
      <c r="L6" s="47"/>
    </row>
    <row r="7" spans="1:12" x14ac:dyDescent="0.25">
      <c r="A7" s="24">
        <v>42278</v>
      </c>
      <c r="B7" s="24" t="s">
        <v>83</v>
      </c>
      <c r="C7" s="25">
        <v>33252</v>
      </c>
      <c r="D7" s="25">
        <v>203</v>
      </c>
      <c r="E7" s="32">
        <f t="shared" si="0"/>
        <v>0.99389510405389148</v>
      </c>
      <c r="F7" s="33">
        <f t="shared" si="1"/>
        <v>4.0060223000646022</v>
      </c>
      <c r="G7" s="25">
        <f t="shared" si="2"/>
        <v>6105</v>
      </c>
      <c r="H7" s="25"/>
      <c r="I7" s="25"/>
      <c r="J7" s="27">
        <v>0.99390000000000001</v>
      </c>
      <c r="K7" s="27">
        <v>0.98499999999999999</v>
      </c>
      <c r="L7" s="48"/>
    </row>
    <row r="8" spans="1:12" x14ac:dyDescent="0.25">
      <c r="A8" s="22">
        <v>42309</v>
      </c>
      <c r="B8" s="22" t="s">
        <v>72</v>
      </c>
      <c r="C8" s="23">
        <v>27519</v>
      </c>
      <c r="D8" s="23">
        <v>143</v>
      </c>
      <c r="E8" s="30">
        <f t="shared" si="0"/>
        <v>0.99480359024673859</v>
      </c>
      <c r="F8" s="31">
        <f t="shared" si="1"/>
        <v>4.0624779221493563</v>
      </c>
      <c r="G8" s="23">
        <f t="shared" si="2"/>
        <v>5197</v>
      </c>
      <c r="H8" s="23"/>
      <c r="I8" s="23"/>
      <c r="J8" s="26">
        <v>0.99480000000000002</v>
      </c>
      <c r="K8" s="26">
        <v>0.98499999999999999</v>
      </c>
      <c r="L8" s="47"/>
    </row>
    <row r="9" spans="1:12" x14ac:dyDescent="0.25">
      <c r="A9" s="24">
        <v>42339</v>
      </c>
      <c r="B9" s="24" t="s">
        <v>73</v>
      </c>
      <c r="C9" s="25">
        <v>25976</v>
      </c>
      <c r="D9" s="25">
        <v>138</v>
      </c>
      <c r="E9" s="32">
        <f t="shared" si="0"/>
        <v>0.99468740375731446</v>
      </c>
      <c r="F9" s="33">
        <f t="shared" si="1"/>
        <v>4.0547898516206313</v>
      </c>
      <c r="G9" s="25">
        <f t="shared" si="2"/>
        <v>5313</v>
      </c>
      <c r="H9" s="25"/>
      <c r="I9" s="25"/>
      <c r="J9" s="27">
        <v>0.99470000000000003</v>
      </c>
      <c r="K9" s="27">
        <v>0.98499999999999999</v>
      </c>
      <c r="L9" s="48"/>
    </row>
    <row r="10" spans="1:12" x14ac:dyDescent="0.25">
      <c r="A10" s="22">
        <v>42370</v>
      </c>
      <c r="B10" s="22" t="s">
        <v>74</v>
      </c>
      <c r="C10" s="23">
        <v>23979</v>
      </c>
      <c r="D10" s="23">
        <v>66</v>
      </c>
      <c r="E10" s="30">
        <f t="shared" si="0"/>
        <v>0.99724759164268739</v>
      </c>
      <c r="F10" s="31">
        <f t="shared" si="1"/>
        <v>4.2759057296615008</v>
      </c>
      <c r="G10" s="23">
        <f t="shared" si="2"/>
        <v>2753</v>
      </c>
      <c r="H10" s="23"/>
      <c r="I10" s="23"/>
      <c r="J10" s="26">
        <v>0.99719999999999998</v>
      </c>
      <c r="K10" s="26">
        <v>0.98499999999999999</v>
      </c>
      <c r="L10" s="47"/>
    </row>
    <row r="11" spans="1:12" x14ac:dyDescent="0.25">
      <c r="A11" s="24">
        <v>42401</v>
      </c>
      <c r="B11" s="24" t="s">
        <v>75</v>
      </c>
      <c r="C11" s="25">
        <v>22254</v>
      </c>
      <c r="D11" s="25">
        <v>669</v>
      </c>
      <c r="E11" s="32">
        <f t="shared" si="0"/>
        <v>0.96993798867619307</v>
      </c>
      <c r="F11" s="33">
        <f t="shared" si="1"/>
        <v>3.3798830192422074</v>
      </c>
      <c r="G11" s="25">
        <f t="shared" si="2"/>
        <v>30063</v>
      </c>
      <c r="H11" s="25"/>
      <c r="I11" s="25"/>
      <c r="J11" s="27">
        <v>0.96989999999999998</v>
      </c>
      <c r="K11" s="27">
        <v>0.98499999999999999</v>
      </c>
      <c r="L11" s="48"/>
    </row>
    <row r="12" spans="1:12" x14ac:dyDescent="0.25">
      <c r="A12" s="22">
        <v>42430</v>
      </c>
      <c r="B12" s="22" t="s">
        <v>76</v>
      </c>
      <c r="C12" s="23">
        <v>15772</v>
      </c>
      <c r="D12" s="23">
        <v>770</v>
      </c>
      <c r="E12" s="30">
        <f t="shared" si="0"/>
        <v>0.95117930509764137</v>
      </c>
      <c r="F12" s="31">
        <f t="shared" si="1"/>
        <v>3.1563972887428369</v>
      </c>
      <c r="G12" s="23">
        <f t="shared" si="2"/>
        <v>48821</v>
      </c>
      <c r="H12" s="26">
        <v>0.86480000000000001</v>
      </c>
      <c r="I12" s="26">
        <v>0.95420000000000005</v>
      </c>
      <c r="J12" s="26">
        <v>0.95099999999999996</v>
      </c>
      <c r="K12" s="26">
        <v>0.98499999999999999</v>
      </c>
      <c r="L12" s="47"/>
    </row>
    <row r="13" spans="1:12" x14ac:dyDescent="0.25">
      <c r="A13" s="24">
        <v>42461</v>
      </c>
      <c r="B13" s="24" t="s">
        <v>77</v>
      </c>
      <c r="C13" s="25">
        <v>18483</v>
      </c>
      <c r="D13" s="25">
        <v>591</v>
      </c>
      <c r="E13" s="32">
        <f t="shared" si="0"/>
        <v>0.96802467131959102</v>
      </c>
      <c r="F13" s="33">
        <f t="shared" si="1"/>
        <v>3.3525237011984759</v>
      </c>
      <c r="G13" s="25">
        <f t="shared" si="2"/>
        <v>31976</v>
      </c>
      <c r="H13" s="27">
        <v>0.60580000000000001</v>
      </c>
      <c r="I13" s="27">
        <v>0.9738</v>
      </c>
      <c r="J13" s="27">
        <v>0.96740000000000004</v>
      </c>
      <c r="K13" s="27">
        <v>0.98499999999999999</v>
      </c>
      <c r="L13" s="48"/>
    </row>
    <row r="14" spans="1:12" x14ac:dyDescent="0.25">
      <c r="A14" s="22">
        <v>42491</v>
      </c>
      <c r="B14" s="22" t="s">
        <v>78</v>
      </c>
      <c r="C14" s="23">
        <v>13806</v>
      </c>
      <c r="D14" s="23">
        <v>459</v>
      </c>
      <c r="E14" s="30">
        <f t="shared" si="0"/>
        <v>0.96675358539765321</v>
      </c>
      <c r="F14" s="31">
        <f t="shared" si="1"/>
        <v>3.3350868015796085</v>
      </c>
      <c r="G14" s="23">
        <f t="shared" si="2"/>
        <v>33247</v>
      </c>
      <c r="H14" s="26">
        <v>0.67659999999999998</v>
      </c>
      <c r="I14" s="26">
        <v>0.97370000000000001</v>
      </c>
      <c r="J14" s="26">
        <v>0.96630000000000005</v>
      </c>
      <c r="K14" s="26">
        <v>0.98499999999999999</v>
      </c>
      <c r="L14" s="47"/>
    </row>
    <row r="15" spans="1:12" x14ac:dyDescent="0.25">
      <c r="A15" s="24">
        <v>42522</v>
      </c>
      <c r="B15" s="24" t="s">
        <v>79</v>
      </c>
      <c r="C15" s="25">
        <v>21903</v>
      </c>
      <c r="D15" s="25">
        <v>565</v>
      </c>
      <c r="E15" s="32">
        <f t="shared" si="0"/>
        <v>0.97420444687942287</v>
      </c>
      <c r="F15" s="33">
        <f t="shared" si="1"/>
        <v>3.4465300138212402</v>
      </c>
      <c r="G15" s="25">
        <f t="shared" si="2"/>
        <v>25796</v>
      </c>
      <c r="H15" s="27">
        <v>0.89910000000000001</v>
      </c>
      <c r="I15" s="27">
        <v>0.9778</v>
      </c>
      <c r="J15" s="27">
        <v>0.97419999999999995</v>
      </c>
      <c r="K15" s="27">
        <v>0.98499999999999999</v>
      </c>
      <c r="L15" s="48"/>
    </row>
    <row r="16" spans="1:12" x14ac:dyDescent="0.25">
      <c r="A16" s="22">
        <v>42552</v>
      </c>
      <c r="B16" s="22" t="s">
        <v>80</v>
      </c>
      <c r="C16" s="23">
        <v>16511</v>
      </c>
      <c r="D16" s="23">
        <v>491</v>
      </c>
      <c r="E16" s="30">
        <f t="shared" si="0"/>
        <v>0.97026224940948458</v>
      </c>
      <c r="F16" s="31">
        <f t="shared" si="1"/>
        <v>3.3846618865448805</v>
      </c>
      <c r="G16" s="23">
        <f t="shared" si="2"/>
        <v>29738</v>
      </c>
      <c r="H16" s="26">
        <v>0.8377</v>
      </c>
      <c r="I16" s="26">
        <v>0.97430000000000005</v>
      </c>
      <c r="J16" s="26">
        <v>0.96970000000000001</v>
      </c>
      <c r="K16" s="26">
        <v>0.98499999999999999</v>
      </c>
      <c r="L16" s="47"/>
    </row>
    <row r="17" spans="1:12" x14ac:dyDescent="0.25">
      <c r="A17" s="24">
        <v>42583</v>
      </c>
      <c r="B17" s="24" t="s">
        <v>81</v>
      </c>
      <c r="C17" s="25">
        <v>16792</v>
      </c>
      <c r="D17" s="25">
        <v>565</v>
      </c>
      <c r="E17" s="32">
        <f t="shared" si="0"/>
        <v>0.96635302525011912</v>
      </c>
      <c r="F17" s="33">
        <f t="shared" si="1"/>
        <v>3.3297057575721869</v>
      </c>
      <c r="G17" s="25">
        <f t="shared" si="2"/>
        <v>33647</v>
      </c>
      <c r="H17" s="27">
        <v>0.86240000000000006</v>
      </c>
      <c r="I17" s="27">
        <v>0.9728</v>
      </c>
      <c r="J17" s="27">
        <v>0.96630000000000005</v>
      </c>
      <c r="K17" s="27">
        <v>0.98499999999999999</v>
      </c>
      <c r="L17" s="48"/>
    </row>
    <row r="18" spans="1:12" x14ac:dyDescent="0.25">
      <c r="A18" s="22">
        <v>42614</v>
      </c>
      <c r="B18" s="22" t="s">
        <v>82</v>
      </c>
      <c r="C18" s="23">
        <v>13138</v>
      </c>
      <c r="D18" s="23">
        <v>546</v>
      </c>
      <c r="E18" s="30">
        <f t="shared" si="0"/>
        <v>0.95844116303851423</v>
      </c>
      <c r="F18" s="31">
        <f t="shared" si="1"/>
        <v>3.2328762078193201</v>
      </c>
      <c r="G18" s="23">
        <f t="shared" si="2"/>
        <v>41559</v>
      </c>
      <c r="H18" s="26">
        <v>0.93820000000000003</v>
      </c>
      <c r="I18" s="26">
        <v>0.96150000000000002</v>
      </c>
      <c r="J18" s="26">
        <v>0.95840000000000003</v>
      </c>
      <c r="K18" s="26">
        <v>0.98499999999999999</v>
      </c>
      <c r="L18" s="47"/>
    </row>
    <row r="19" spans="1:12" ht="30" x14ac:dyDescent="0.25">
      <c r="A19" s="49">
        <v>42644</v>
      </c>
      <c r="B19" s="24" t="s">
        <v>83</v>
      </c>
      <c r="C19" s="51">
        <v>16315</v>
      </c>
      <c r="D19" s="51">
        <v>807</v>
      </c>
      <c r="E19" s="52">
        <f t="shared" si="0"/>
        <v>0.9505363162733681</v>
      </c>
      <c r="F19" s="53">
        <f t="shared" si="1"/>
        <v>3.1500761238121311</v>
      </c>
      <c r="G19" s="51">
        <f t="shared" si="2"/>
        <v>49464</v>
      </c>
      <c r="H19" s="50">
        <v>0.94020000000000004</v>
      </c>
      <c r="I19" s="50">
        <v>0.95130000000000003</v>
      </c>
      <c r="J19" s="50">
        <v>0.95050000000000001</v>
      </c>
      <c r="K19" s="50">
        <v>0.98499999999999999</v>
      </c>
      <c r="L19" s="28" t="s">
        <v>31</v>
      </c>
    </row>
    <row r="20" spans="1:12" x14ac:dyDescent="0.25">
      <c r="A20" s="49">
        <v>42675</v>
      </c>
      <c r="B20" s="22" t="s">
        <v>72</v>
      </c>
      <c r="C20" s="51">
        <v>18343</v>
      </c>
      <c r="D20" s="51">
        <v>854</v>
      </c>
      <c r="E20" s="52">
        <f t="shared" si="0"/>
        <v>0.95344273019680537</v>
      </c>
      <c r="F20" s="53">
        <f t="shared" ref="F20:F25" si="3">_xlfn.NORM.S.INV(E20)+1.5</f>
        <v>3.1791924670758602</v>
      </c>
      <c r="G20" s="51">
        <f t="shared" ref="G20:G25" si="4">ROUNDUP((1-E20)*1000000,0)</f>
        <v>46558</v>
      </c>
      <c r="H20" s="50">
        <v>0.93520000000000003</v>
      </c>
      <c r="I20" s="50">
        <v>0.95569999999999999</v>
      </c>
      <c r="J20" s="50">
        <v>0.95350000000000001</v>
      </c>
      <c r="K20" s="50">
        <v>0.98499999999999999</v>
      </c>
      <c r="L20" s="54" t="s">
        <v>47</v>
      </c>
    </row>
    <row r="21" spans="1:12" ht="45" x14ac:dyDescent="0.25">
      <c r="A21" s="56">
        <v>42705</v>
      </c>
      <c r="B21" s="24" t="s">
        <v>73</v>
      </c>
      <c r="C21" s="57">
        <v>9530</v>
      </c>
      <c r="D21" s="57">
        <v>872</v>
      </c>
      <c r="E21" s="58">
        <f t="shared" ref="E21:E27" si="5">1-(D21/C21)</f>
        <v>0.90849947534102837</v>
      </c>
      <c r="F21" s="59">
        <f t="shared" si="3"/>
        <v>2.8315714574035891</v>
      </c>
      <c r="G21" s="57">
        <f t="shared" si="4"/>
        <v>91501</v>
      </c>
      <c r="H21" s="60">
        <v>0.94710000000000005</v>
      </c>
      <c r="I21" s="60">
        <v>0.96679999999999999</v>
      </c>
      <c r="J21" s="60">
        <v>0.96489999999999998</v>
      </c>
      <c r="K21" s="50">
        <v>0.98499999999999999</v>
      </c>
      <c r="L21" s="61" t="s">
        <v>50</v>
      </c>
    </row>
    <row r="22" spans="1:12" x14ac:dyDescent="0.25">
      <c r="A22" s="49">
        <v>42736</v>
      </c>
      <c r="B22" s="22" t="s">
        <v>74</v>
      </c>
      <c r="C22" s="51">
        <v>20719</v>
      </c>
      <c r="D22" s="51">
        <v>1224</v>
      </c>
      <c r="E22" s="52">
        <f t="shared" si="5"/>
        <v>0.94092378975819302</v>
      </c>
      <c r="F22" s="53">
        <f t="shared" si="3"/>
        <v>3.0625757301999359</v>
      </c>
      <c r="G22" s="51">
        <f t="shared" si="4"/>
        <v>59077</v>
      </c>
      <c r="H22" s="50">
        <v>0.89659999999999995</v>
      </c>
      <c r="I22" s="50">
        <v>0.94589999999999996</v>
      </c>
      <c r="J22" s="50">
        <v>0.94089999999999996</v>
      </c>
      <c r="K22" s="50">
        <v>0.98499999999999999</v>
      </c>
      <c r="L22" s="54" t="s">
        <v>56</v>
      </c>
    </row>
    <row r="23" spans="1:12" x14ac:dyDescent="0.25">
      <c r="A23" s="49">
        <v>42767</v>
      </c>
      <c r="B23" s="24" t="s">
        <v>75</v>
      </c>
      <c r="C23" s="51">
        <v>14793</v>
      </c>
      <c r="D23" s="51">
        <v>823</v>
      </c>
      <c r="E23" s="52">
        <f t="shared" si="5"/>
        <v>0.94436557831406742</v>
      </c>
      <c r="F23" s="53">
        <f t="shared" si="3"/>
        <v>3.0925158555278554</v>
      </c>
      <c r="G23" s="51">
        <f t="shared" si="4"/>
        <v>55635</v>
      </c>
      <c r="H23" s="50">
        <v>0.92920000000000003</v>
      </c>
      <c r="I23" s="50">
        <v>0.94740000000000002</v>
      </c>
      <c r="J23" s="50">
        <v>0.94440000000000002</v>
      </c>
      <c r="K23" s="50">
        <v>0.98499999999999999</v>
      </c>
      <c r="L23" s="54" t="s">
        <v>60</v>
      </c>
    </row>
    <row r="24" spans="1:12" ht="30" x14ac:dyDescent="0.25">
      <c r="A24" s="49">
        <v>42795</v>
      </c>
      <c r="B24" s="22" t="s">
        <v>76</v>
      </c>
      <c r="C24" s="51">
        <v>17827</v>
      </c>
      <c r="D24" s="51">
        <v>1213</v>
      </c>
      <c r="E24" s="52">
        <f t="shared" si="5"/>
        <v>0.93195714365849558</v>
      </c>
      <c r="F24" s="53">
        <f t="shared" si="3"/>
        <v>2.9905270377622699</v>
      </c>
      <c r="G24" s="51">
        <f t="shared" si="4"/>
        <v>68043</v>
      </c>
      <c r="H24" s="50">
        <v>0.9133</v>
      </c>
      <c r="I24" s="50">
        <v>0.9355</v>
      </c>
      <c r="J24" s="50">
        <v>0.93200000000000005</v>
      </c>
      <c r="K24" s="50">
        <v>0.98499999999999999</v>
      </c>
      <c r="L24" s="61" t="s">
        <v>65</v>
      </c>
    </row>
    <row r="25" spans="1:12" x14ac:dyDescent="0.25">
      <c r="A25" s="66">
        <v>42826</v>
      </c>
      <c r="B25" s="24" t="s">
        <v>77</v>
      </c>
      <c r="C25" s="67">
        <v>23583</v>
      </c>
      <c r="D25" s="67">
        <v>1044</v>
      </c>
      <c r="E25" s="68">
        <f t="shared" si="5"/>
        <v>0.9557308230505025</v>
      </c>
      <c r="F25" s="69">
        <f t="shared" si="3"/>
        <v>3.2031588033079101</v>
      </c>
      <c r="G25" s="67">
        <f t="shared" si="4"/>
        <v>44270</v>
      </c>
      <c r="H25" s="70">
        <v>0.91479999999999995</v>
      </c>
      <c r="I25" s="70">
        <v>0.90339999999999998</v>
      </c>
      <c r="J25" s="70">
        <v>0.95569999999999999</v>
      </c>
      <c r="K25" s="70">
        <v>0.98499999999999999</v>
      </c>
      <c r="L25" s="54" t="s">
        <v>66</v>
      </c>
    </row>
    <row r="26" spans="1:12" x14ac:dyDescent="0.25">
      <c r="A26" s="77">
        <v>42856</v>
      </c>
      <c r="B26" s="22" t="s">
        <v>78</v>
      </c>
      <c r="C26" s="67">
        <v>34754</v>
      </c>
      <c r="D26" s="67">
        <v>1630</v>
      </c>
      <c r="E26" s="79">
        <f t="shared" si="5"/>
        <v>0.95309892386487882</v>
      </c>
      <c r="F26" s="80">
        <f>_xlfn.NORM.S.INV(E26)+1.5</f>
        <v>3.1756735560194551</v>
      </c>
      <c r="G26" s="78">
        <f>ROUNDUP((1-E26)*1000000,0)</f>
        <v>46902</v>
      </c>
      <c r="H26" s="70">
        <v>0.91479999999999995</v>
      </c>
      <c r="I26" s="70">
        <v>0.90339999999999998</v>
      </c>
      <c r="J26" s="70">
        <v>0.95569999999999999</v>
      </c>
      <c r="K26" s="70">
        <v>0.98499999999999999</v>
      </c>
      <c r="L26" s="54"/>
    </row>
    <row r="27" spans="1:12" x14ac:dyDescent="0.25">
      <c r="A27" s="77">
        <v>42887</v>
      </c>
      <c r="B27" s="24" t="s">
        <v>79</v>
      </c>
      <c r="C27" s="67">
        <v>26595</v>
      </c>
      <c r="D27" s="67">
        <v>1261</v>
      </c>
      <c r="E27" s="79">
        <f t="shared" si="5"/>
        <v>0.95258507238202672</v>
      </c>
      <c r="F27" s="80">
        <f>_xlfn.NORM.S.INV(E27)+1.5</f>
        <v>3.1704525740527281</v>
      </c>
      <c r="G27" s="78">
        <f>ROUNDUP((1-E27)*1000000,0)</f>
        <v>47415</v>
      </c>
      <c r="H27" s="70">
        <v>0.91479999999999995</v>
      </c>
      <c r="I27" s="70">
        <v>0.90339999999999998</v>
      </c>
      <c r="J27" s="70">
        <v>0.95569999999999999</v>
      </c>
      <c r="K27" s="70">
        <v>0.98499999999999999</v>
      </c>
      <c r="L27" s="54"/>
    </row>
    <row r="28" spans="1:12" x14ac:dyDescent="0.25">
      <c r="A28" s="77">
        <v>42917</v>
      </c>
      <c r="B28" s="77" t="s">
        <v>80</v>
      </c>
      <c r="C28" s="78">
        <v>30215</v>
      </c>
      <c r="D28" s="78">
        <v>1112</v>
      </c>
      <c r="E28" s="79">
        <f>1-(D28/C28)</f>
        <v>0.96319708753930167</v>
      </c>
      <c r="F28" s="80">
        <f>_xlfn.NORM.S.INV(E28)+1.5</f>
        <v>3.289055828534968</v>
      </c>
      <c r="G28" s="78">
        <f>ROUNDUP((1-E28)*1000000,0)</f>
        <v>36803</v>
      </c>
      <c r="H28" s="83">
        <v>0.93340000000000001</v>
      </c>
      <c r="I28" s="83">
        <v>0.96609999999999996</v>
      </c>
      <c r="J28" s="83">
        <v>0.96319999999999995</v>
      </c>
      <c r="K28" s="83">
        <v>0.98499999999999999</v>
      </c>
      <c r="L28" s="5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8" sqref="G28"/>
    </sheetView>
  </sheetViews>
  <sheetFormatPr defaultRowHeight="15" x14ac:dyDescent="0.25"/>
  <cols>
    <col min="1" max="1" width="13.42578125" bestFit="1" customWidth="1"/>
    <col min="2" max="2" width="13.42578125" style="18" customWidth="1"/>
    <col min="3" max="3" width="12.42578125" bestFit="1" customWidth="1"/>
    <col min="4" max="4" width="13.28515625" bestFit="1" customWidth="1"/>
    <col min="5" max="5" width="9.42578125" bestFit="1" customWidth="1"/>
    <col min="6" max="6" width="9.28515625" bestFit="1" customWidth="1"/>
    <col min="7" max="7" width="35" customWidth="1"/>
  </cols>
  <sheetData>
    <row r="1" spans="1:7" x14ac:dyDescent="0.25">
      <c r="A1" s="19" t="s">
        <v>0</v>
      </c>
      <c r="B1" s="19" t="s">
        <v>71</v>
      </c>
      <c r="C1" s="17" t="s">
        <v>41</v>
      </c>
      <c r="D1" s="18" t="s">
        <v>42</v>
      </c>
      <c r="E1" s="18" t="s">
        <v>43</v>
      </c>
      <c r="F1" s="16" t="s">
        <v>44</v>
      </c>
      <c r="G1" s="18" t="s">
        <v>9</v>
      </c>
    </row>
    <row r="2" spans="1:7" x14ac:dyDescent="0.25">
      <c r="A2" s="19">
        <v>42125</v>
      </c>
      <c r="B2" s="19" t="s">
        <v>78</v>
      </c>
      <c r="C2" s="18"/>
      <c r="D2" s="18"/>
      <c r="E2" s="18"/>
      <c r="F2" s="16">
        <v>0.95</v>
      </c>
      <c r="G2" s="18"/>
    </row>
    <row r="3" spans="1:7" x14ac:dyDescent="0.25">
      <c r="A3" s="19">
        <v>42156</v>
      </c>
      <c r="B3" s="19" t="s">
        <v>79</v>
      </c>
      <c r="C3" s="18"/>
      <c r="D3" s="18"/>
      <c r="E3" s="18"/>
      <c r="F3" s="16">
        <v>0.95</v>
      </c>
      <c r="G3" s="18"/>
    </row>
    <row r="4" spans="1:7" x14ac:dyDescent="0.25">
      <c r="A4" s="19">
        <v>42186</v>
      </c>
      <c r="B4" s="19" t="s">
        <v>80</v>
      </c>
      <c r="C4" s="18"/>
      <c r="D4" s="18"/>
      <c r="E4" s="18"/>
      <c r="F4" s="16">
        <v>0.95</v>
      </c>
      <c r="G4" s="18"/>
    </row>
    <row r="5" spans="1:7" x14ac:dyDescent="0.25">
      <c r="A5" s="19">
        <v>42217</v>
      </c>
      <c r="B5" s="19" t="s">
        <v>81</v>
      </c>
      <c r="C5" s="18"/>
      <c r="D5" s="18"/>
      <c r="E5" s="18"/>
      <c r="F5" s="16">
        <v>0.95</v>
      </c>
      <c r="G5" s="18"/>
    </row>
    <row r="6" spans="1:7" x14ac:dyDescent="0.25">
      <c r="A6" s="19">
        <v>42248</v>
      </c>
      <c r="B6" s="19" t="s">
        <v>82</v>
      </c>
      <c r="C6" s="18"/>
      <c r="D6" s="18"/>
      <c r="E6" s="18"/>
      <c r="F6" s="16">
        <v>0.95</v>
      </c>
      <c r="G6" s="18"/>
    </row>
    <row r="7" spans="1:7" x14ac:dyDescent="0.25">
      <c r="A7" s="19">
        <v>42278</v>
      </c>
      <c r="B7" s="19" t="s">
        <v>83</v>
      </c>
      <c r="C7" s="18"/>
      <c r="D7" s="18"/>
      <c r="E7" s="18"/>
      <c r="F7" s="16">
        <v>0.95</v>
      </c>
      <c r="G7" s="18"/>
    </row>
    <row r="8" spans="1:7" x14ac:dyDescent="0.25">
      <c r="A8" s="19">
        <v>42309</v>
      </c>
      <c r="B8" s="19" t="s">
        <v>72</v>
      </c>
      <c r="C8" s="18"/>
      <c r="D8" s="18"/>
      <c r="E8" s="18"/>
      <c r="F8" s="16">
        <v>0.95</v>
      </c>
      <c r="G8" s="18"/>
    </row>
    <row r="9" spans="1:7" x14ac:dyDescent="0.25">
      <c r="A9" s="19">
        <v>42339</v>
      </c>
      <c r="B9" s="19" t="s">
        <v>73</v>
      </c>
      <c r="C9" s="18"/>
      <c r="D9" s="18"/>
      <c r="E9" s="18"/>
      <c r="F9" s="16">
        <v>0.95</v>
      </c>
      <c r="G9" s="18"/>
    </row>
    <row r="10" spans="1:7" x14ac:dyDescent="0.25">
      <c r="A10" s="19">
        <v>42370</v>
      </c>
      <c r="B10" s="19" t="s">
        <v>74</v>
      </c>
      <c r="C10" s="18"/>
      <c r="D10" s="18"/>
      <c r="E10" s="18"/>
      <c r="F10" s="16">
        <v>0.95</v>
      </c>
      <c r="G10" s="18"/>
    </row>
    <row r="11" spans="1:7" x14ac:dyDescent="0.25">
      <c r="A11" s="19">
        <v>42401</v>
      </c>
      <c r="B11" s="19" t="s">
        <v>75</v>
      </c>
      <c r="C11" s="18"/>
      <c r="D11" s="18"/>
      <c r="E11" s="18"/>
      <c r="F11" s="16">
        <v>0.95</v>
      </c>
      <c r="G11" s="18"/>
    </row>
    <row r="12" spans="1:7" x14ac:dyDescent="0.25">
      <c r="A12" s="19">
        <v>42430</v>
      </c>
      <c r="B12" s="19" t="s">
        <v>76</v>
      </c>
      <c r="C12" s="15">
        <v>0.52769999999999995</v>
      </c>
      <c r="D12" s="15">
        <v>0.90649999999999997</v>
      </c>
      <c r="E12" s="15">
        <v>0.88980000000000004</v>
      </c>
      <c r="F12" s="16">
        <v>0.95</v>
      </c>
      <c r="G12" s="18"/>
    </row>
    <row r="13" spans="1:7" x14ac:dyDescent="0.25">
      <c r="A13" s="19">
        <v>42461</v>
      </c>
      <c r="B13" s="19" t="s">
        <v>77</v>
      </c>
      <c r="C13" s="15">
        <v>0.35949999999999999</v>
      </c>
      <c r="D13" s="15">
        <v>0.94850000000000001</v>
      </c>
      <c r="E13" s="15">
        <v>0.93410000000000004</v>
      </c>
      <c r="F13" s="16">
        <v>0.95</v>
      </c>
      <c r="G13" s="18"/>
    </row>
    <row r="14" spans="1:7" x14ac:dyDescent="0.25">
      <c r="A14" s="19">
        <v>42491</v>
      </c>
      <c r="B14" s="19" t="s">
        <v>78</v>
      </c>
      <c r="C14" s="15">
        <v>0.50990000000000002</v>
      </c>
      <c r="D14" s="15">
        <v>0.96109999999999995</v>
      </c>
      <c r="E14" s="15">
        <v>0.94889999999999997</v>
      </c>
      <c r="F14" s="16">
        <v>0.95</v>
      </c>
      <c r="G14" s="18"/>
    </row>
    <row r="15" spans="1:7" x14ac:dyDescent="0.25">
      <c r="A15" s="19">
        <v>42522</v>
      </c>
      <c r="B15" s="19" t="s">
        <v>79</v>
      </c>
      <c r="C15" s="15">
        <v>0.74329999999999996</v>
      </c>
      <c r="D15" s="15">
        <v>0.82940000000000003</v>
      </c>
      <c r="E15" s="15">
        <v>0.78700000000000003</v>
      </c>
      <c r="F15" s="16">
        <v>0.95</v>
      </c>
      <c r="G15" s="18"/>
    </row>
    <row r="16" spans="1:7" x14ac:dyDescent="0.25">
      <c r="A16" s="19">
        <v>42552</v>
      </c>
      <c r="B16" s="19" t="s">
        <v>80</v>
      </c>
      <c r="C16" s="15">
        <v>0.69410000000000005</v>
      </c>
      <c r="D16" s="15">
        <v>0.85029999999999994</v>
      </c>
      <c r="E16" s="15">
        <v>0.7712</v>
      </c>
      <c r="F16" s="16">
        <v>0.95</v>
      </c>
      <c r="G16" s="18"/>
    </row>
    <row r="17" spans="1:7" x14ac:dyDescent="0.25">
      <c r="A17" s="19">
        <v>42583</v>
      </c>
      <c r="B17" s="19" t="s">
        <v>81</v>
      </c>
      <c r="C17" s="15">
        <v>0.65629999999999999</v>
      </c>
      <c r="D17" s="15">
        <v>0.79800000000000004</v>
      </c>
      <c r="E17" s="15">
        <v>0.72619999999999996</v>
      </c>
      <c r="F17" s="16">
        <v>0.95</v>
      </c>
      <c r="G17" s="18"/>
    </row>
    <row r="18" spans="1:7" x14ac:dyDescent="0.25">
      <c r="A18" s="19">
        <v>42614</v>
      </c>
      <c r="B18" s="19" t="s">
        <v>82</v>
      </c>
      <c r="C18" s="15">
        <v>0.66920000000000002</v>
      </c>
      <c r="D18" s="15">
        <v>0.78820000000000001</v>
      </c>
      <c r="E18" s="15">
        <v>0.72770000000000001</v>
      </c>
      <c r="F18" s="16">
        <v>0.95</v>
      </c>
      <c r="G18" s="18"/>
    </row>
    <row r="19" spans="1:7" ht="30" x14ac:dyDescent="0.25">
      <c r="A19" s="19">
        <v>42644</v>
      </c>
      <c r="B19" s="19" t="s">
        <v>83</v>
      </c>
      <c r="C19" s="15">
        <v>0.76219999999999999</v>
      </c>
      <c r="D19" s="15">
        <v>0.81010000000000004</v>
      </c>
      <c r="E19" s="15">
        <v>0.78749999999999998</v>
      </c>
      <c r="F19" s="16">
        <v>0.95</v>
      </c>
      <c r="G19" s="8" t="s">
        <v>31</v>
      </c>
    </row>
    <row r="20" spans="1:7" x14ac:dyDescent="0.25">
      <c r="A20" s="19">
        <v>42675</v>
      </c>
      <c r="B20" s="19" t="s">
        <v>72</v>
      </c>
      <c r="C20" s="15">
        <v>0.77629999999999999</v>
      </c>
      <c r="D20" s="15">
        <v>0.8206</v>
      </c>
      <c r="E20" s="15">
        <v>0.8</v>
      </c>
      <c r="F20" s="16">
        <v>0.95</v>
      </c>
      <c r="G20" t="s">
        <v>47</v>
      </c>
    </row>
    <row r="21" spans="1:7" ht="45" x14ac:dyDescent="0.25">
      <c r="A21" s="19">
        <v>42705</v>
      </c>
      <c r="B21" s="19" t="s">
        <v>73</v>
      </c>
      <c r="C21" s="15">
        <v>0.75819999999999999</v>
      </c>
      <c r="D21" s="15">
        <v>0.79830000000000001</v>
      </c>
      <c r="E21" s="15">
        <v>0.78149999999999997</v>
      </c>
      <c r="F21" s="16">
        <v>0.95</v>
      </c>
      <c r="G21" s="8" t="s">
        <v>51</v>
      </c>
    </row>
    <row r="22" spans="1:7" ht="30" x14ac:dyDescent="0.25">
      <c r="A22" s="19">
        <v>42736</v>
      </c>
      <c r="B22" s="19" t="s">
        <v>74</v>
      </c>
      <c r="C22" s="15">
        <v>0.79969999999999997</v>
      </c>
      <c r="D22" s="15">
        <v>0.8367</v>
      </c>
      <c r="E22" s="15">
        <v>0.81910000000000005</v>
      </c>
      <c r="F22" s="16">
        <v>0.9</v>
      </c>
      <c r="G22" s="8" t="s">
        <v>58</v>
      </c>
    </row>
    <row r="23" spans="1:7" x14ac:dyDescent="0.25">
      <c r="A23" s="19">
        <v>42767</v>
      </c>
      <c r="B23" s="19" t="s">
        <v>75</v>
      </c>
      <c r="C23" s="15">
        <v>0.7319</v>
      </c>
      <c r="D23" s="15">
        <v>0.83919999999999995</v>
      </c>
      <c r="E23" s="15">
        <v>0.78790000000000004</v>
      </c>
      <c r="F23" s="65">
        <v>0.9</v>
      </c>
      <c r="G23" t="s">
        <v>60</v>
      </c>
    </row>
    <row r="24" spans="1:7" ht="45" x14ac:dyDescent="0.25">
      <c r="A24" s="19">
        <v>42795</v>
      </c>
      <c r="B24" s="19" t="s">
        <v>76</v>
      </c>
      <c r="C24" s="15">
        <v>0.7429</v>
      </c>
      <c r="D24" s="15">
        <v>0.83460000000000001</v>
      </c>
      <c r="E24" s="15">
        <v>0.79069999999999996</v>
      </c>
      <c r="F24" s="16">
        <v>0.9</v>
      </c>
      <c r="G24" s="8" t="str">
        <f>Table4[[#This Row],[Comments]]</f>
        <v>o LG Assy: 16/600; 6/600; 8/600; 12/600
o SM Assy: 2R 310C5; 4/600 370D6</v>
      </c>
    </row>
    <row r="25" spans="1:7" x14ac:dyDescent="0.25">
      <c r="A25" s="19">
        <v>42826</v>
      </c>
      <c r="B25" s="19" t="s">
        <v>77</v>
      </c>
      <c r="C25" s="15">
        <v>0.8014</v>
      </c>
      <c r="D25" s="15">
        <v>0.83140000000000003</v>
      </c>
      <c r="E25" s="15">
        <v>0.81820000000000004</v>
      </c>
      <c r="F25" s="71">
        <v>0.9</v>
      </c>
      <c r="G25" t="s">
        <v>66</v>
      </c>
    </row>
    <row r="26" spans="1:7" x14ac:dyDescent="0.25">
      <c r="A26" s="19">
        <v>42856</v>
      </c>
      <c r="B26" s="19" t="s">
        <v>78</v>
      </c>
      <c r="C26" s="15">
        <v>0.81759999999999999</v>
      </c>
      <c r="D26" s="15">
        <v>0.93310000000000004</v>
      </c>
      <c r="E26" s="15">
        <v>0.87549999999999994</v>
      </c>
      <c r="F26" s="71">
        <v>0.9</v>
      </c>
    </row>
    <row r="27" spans="1:7" x14ac:dyDescent="0.25">
      <c r="A27" s="19">
        <v>42887</v>
      </c>
      <c r="B27" s="19" t="s">
        <v>79</v>
      </c>
      <c r="C27" s="15">
        <v>0.81759999999999999</v>
      </c>
      <c r="D27" s="15">
        <v>0.94320000000000004</v>
      </c>
      <c r="E27" s="15">
        <v>0.89949999999999997</v>
      </c>
      <c r="F27" s="71">
        <v>0.9</v>
      </c>
    </row>
    <row r="28" spans="1:7" x14ac:dyDescent="0.25">
      <c r="A28" s="19">
        <v>42917</v>
      </c>
      <c r="B28" s="19" t="s">
        <v>80</v>
      </c>
      <c r="C28" s="15">
        <f>0.9025*0.9334*1</f>
        <v>0.84239350000000002</v>
      </c>
      <c r="D28" s="15">
        <v>0.9617</v>
      </c>
      <c r="E28" s="15">
        <v>0.90059999999999996</v>
      </c>
      <c r="F28" s="82">
        <v>0.9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CONC</vt:lpstr>
      <vt:lpstr>NCRs</vt:lpstr>
      <vt:lpstr>FPRs</vt:lpstr>
      <vt:lpstr>FPY</vt:lpstr>
      <vt:lpstr>RTY</vt:lpstr>
      <vt:lpstr>tblConc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Zaffina, Peter</dc:creator>
  <cp:lastModifiedBy>Zaffina, Peter</cp:lastModifiedBy>
  <dcterms:created xsi:type="dcterms:W3CDTF">2016-11-10T18:40:11Z</dcterms:created>
  <dcterms:modified xsi:type="dcterms:W3CDTF">2017-08-24T22:21:08Z</dcterms:modified>
</cp:coreProperties>
</file>