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landes/view/nlp/med/clinicamr/feasibility/"/>
    </mc:Choice>
  </mc:AlternateContent>
  <xr:revisionPtr revIDLastSave="0" documentId="13_ncr:1_{D075AEE8-D1D0-394F-BBDA-DE0E9020E7CB}" xr6:coauthVersionLast="47" xr6:coauthVersionMax="47" xr10:uidLastSave="{00000000-0000-0000-0000-000000000000}"/>
  <bookViews>
    <workbookView xWindow="6820" yWindow="2200" windowWidth="42220" windowHeight="26960" activeTab="2" xr2:uid="{00000000-000D-0000-FFFF-FFFF00000000}"/>
  </bookViews>
  <sheets>
    <sheet name="kunal plots" sheetId="1" state="hidden" r:id="rId1"/>
    <sheet name="adam plots" sheetId="2" state="hidden" r:id="rId2"/>
    <sheet name="paul plots" sheetId="3" r:id="rId3"/>
    <sheet name="resourc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278" i="3" l="1"/>
  <c r="E2277" i="3"/>
  <c r="E2276" i="3"/>
  <c r="E2275" i="3"/>
  <c r="E2274" i="3"/>
  <c r="E2273" i="3"/>
  <c r="E2272" i="3"/>
  <c r="E2271" i="3"/>
  <c r="E2270" i="3"/>
  <c r="E2269" i="3"/>
  <c r="E2268" i="3"/>
  <c r="E2267" i="3"/>
  <c r="E2266" i="3"/>
  <c r="E2265" i="3"/>
  <c r="E2264" i="3"/>
  <c r="E2263" i="3"/>
  <c r="E2262" i="3"/>
  <c r="E2261" i="3"/>
  <c r="E2260" i="3"/>
  <c r="E2259" i="3"/>
  <c r="E2258" i="3"/>
  <c r="E2257" i="3"/>
  <c r="E2256" i="3"/>
  <c r="E2255" i="3"/>
  <c r="E2254" i="3"/>
  <c r="E2253" i="3"/>
  <c r="E2252" i="3"/>
  <c r="E2251" i="3"/>
  <c r="E2250" i="3"/>
  <c r="E2249" i="3"/>
  <c r="E2248" i="3"/>
  <c r="E2247" i="3"/>
  <c r="E2246" i="3"/>
  <c r="E2245" i="3"/>
  <c r="E2244" i="3"/>
  <c r="E2243" i="3"/>
  <c r="E2242" i="3"/>
  <c r="E2241" i="3"/>
  <c r="E2240" i="3"/>
  <c r="E2239" i="3"/>
  <c r="E2238" i="3"/>
  <c r="E2237" i="3"/>
  <c r="E2236" i="3"/>
  <c r="E2235" i="3"/>
  <c r="E2234" i="3"/>
  <c r="E2233" i="3"/>
  <c r="E2232" i="3"/>
  <c r="E2231" i="3"/>
  <c r="E2230" i="3"/>
  <c r="E2229" i="3"/>
  <c r="E2228" i="3"/>
  <c r="E2227" i="3"/>
  <c r="E2226" i="3"/>
  <c r="E2225" i="3"/>
  <c r="E2224" i="3"/>
  <c r="E2223" i="3"/>
  <c r="E2222" i="3"/>
  <c r="E2221" i="3"/>
  <c r="E2220" i="3"/>
  <c r="E2219" i="3"/>
  <c r="E2218" i="3"/>
  <c r="E2217" i="3"/>
  <c r="E2216" i="3"/>
  <c r="E2215" i="3"/>
  <c r="E2214" i="3"/>
  <c r="E2213" i="3"/>
  <c r="E2212" i="3"/>
  <c r="E2211" i="3"/>
  <c r="E2210" i="3"/>
  <c r="E2209" i="3"/>
  <c r="E2208" i="3"/>
  <c r="E2207" i="3"/>
  <c r="E2206" i="3"/>
  <c r="E2205" i="3"/>
  <c r="E2204" i="3"/>
  <c r="E2203" i="3"/>
  <c r="E2202" i="3"/>
  <c r="E2201" i="3"/>
  <c r="E2200" i="3"/>
  <c r="E2199" i="3"/>
  <c r="E2198" i="3"/>
  <c r="E2197" i="3"/>
  <c r="E2196" i="3"/>
  <c r="E2195" i="3"/>
  <c r="E2194" i="3"/>
  <c r="E2193" i="3"/>
  <c r="E2192" i="3"/>
  <c r="E2191" i="3"/>
  <c r="E2190" i="3"/>
  <c r="E2189" i="3"/>
  <c r="E2188" i="3"/>
  <c r="E2187" i="3"/>
  <c r="E2186" i="3"/>
  <c r="E2185" i="3"/>
  <c r="E2184" i="3"/>
  <c r="E2183" i="3"/>
  <c r="E2182" i="3"/>
  <c r="E2181" i="3"/>
  <c r="E2180" i="3"/>
  <c r="E2179" i="3"/>
  <c r="E2178" i="3"/>
  <c r="E2177" i="3"/>
  <c r="E2176" i="3"/>
  <c r="E2175" i="3"/>
  <c r="E2174" i="3"/>
  <c r="E2173" i="3"/>
  <c r="E2172" i="3"/>
  <c r="E2171" i="3"/>
  <c r="E2170" i="3"/>
  <c r="E2169" i="3"/>
  <c r="E2168" i="3"/>
  <c r="E2167" i="3"/>
  <c r="E2166" i="3"/>
  <c r="E2165" i="3"/>
  <c r="E2164" i="3"/>
  <c r="E2163" i="3"/>
  <c r="E2162" i="3"/>
  <c r="E2161" i="3"/>
  <c r="E2160" i="3"/>
  <c r="E2159" i="3"/>
  <c r="E2158" i="3"/>
  <c r="E2157" i="3"/>
  <c r="E2156" i="3"/>
  <c r="E2155" i="3"/>
  <c r="E2154" i="3"/>
  <c r="E2153" i="3"/>
  <c r="E2152" i="3"/>
  <c r="E2151" i="3"/>
  <c r="E2150" i="3"/>
  <c r="E2149" i="3"/>
  <c r="E2148" i="3"/>
  <c r="E2147" i="3"/>
  <c r="E2146" i="3"/>
  <c r="E2145" i="3"/>
  <c r="E2144" i="3"/>
  <c r="E2143" i="3"/>
  <c r="E2142" i="3"/>
  <c r="E2141" i="3"/>
  <c r="E2140" i="3"/>
  <c r="E2139" i="3"/>
  <c r="E2138" i="3"/>
  <c r="E2137" i="3"/>
  <c r="E2136" i="3"/>
  <c r="E2135" i="3"/>
  <c r="E2134" i="3"/>
  <c r="E2133" i="3"/>
  <c r="E2132" i="3"/>
  <c r="E2131" i="3"/>
  <c r="E2130" i="3"/>
  <c r="E2129" i="3"/>
  <c r="E2128" i="3"/>
  <c r="E2127" i="3"/>
  <c r="E2126" i="3"/>
  <c r="E2125" i="3"/>
  <c r="E2124" i="3"/>
  <c r="E2123" i="3"/>
  <c r="E2122" i="3"/>
  <c r="E2121" i="3"/>
  <c r="E2120" i="3"/>
  <c r="E2119" i="3"/>
  <c r="E2118" i="3"/>
  <c r="E2117" i="3"/>
  <c r="E2116" i="3"/>
  <c r="E2115" i="3"/>
  <c r="E2114" i="3"/>
  <c r="E2113" i="3"/>
  <c r="E2112" i="3"/>
  <c r="E2111" i="3"/>
  <c r="E2110" i="3"/>
  <c r="E2109" i="3"/>
  <c r="E2108" i="3"/>
  <c r="E2107" i="3"/>
  <c r="E2106" i="3"/>
  <c r="E2105" i="3"/>
  <c r="E2104" i="3"/>
  <c r="E2103" i="3"/>
  <c r="E2102" i="3"/>
  <c r="E2101" i="3"/>
  <c r="E2100" i="3"/>
  <c r="E2099" i="3"/>
  <c r="E2098" i="3"/>
  <c r="E2097" i="3"/>
  <c r="E2096" i="3"/>
  <c r="E2095" i="3"/>
  <c r="E2094" i="3"/>
  <c r="E2093" i="3"/>
  <c r="E2092" i="3"/>
  <c r="E2091" i="3"/>
  <c r="E2090" i="3"/>
  <c r="E2089" i="3"/>
  <c r="E2088" i="3"/>
  <c r="E2087" i="3"/>
  <c r="E2086" i="3"/>
  <c r="E2085" i="3"/>
  <c r="E2084" i="3"/>
  <c r="E2083" i="3"/>
  <c r="E2082" i="3"/>
  <c r="E2081" i="3"/>
  <c r="E2080" i="3"/>
  <c r="E2079" i="3"/>
  <c r="E2078" i="3"/>
  <c r="E2077" i="3"/>
  <c r="E2076" i="3"/>
  <c r="E2075" i="3"/>
  <c r="E2074" i="3"/>
  <c r="E2073" i="3"/>
  <c r="E2072" i="3"/>
  <c r="E2071" i="3"/>
  <c r="E2070" i="3"/>
  <c r="E2069" i="3"/>
  <c r="E2068" i="3"/>
  <c r="E2067" i="3"/>
  <c r="E2066" i="3"/>
  <c r="E2065" i="3"/>
  <c r="E2064" i="3"/>
  <c r="E2063" i="3"/>
  <c r="E2062" i="3"/>
  <c r="E2061" i="3"/>
  <c r="E2060" i="3"/>
  <c r="E2059" i="3"/>
  <c r="E2058" i="3"/>
  <c r="E2057" i="3"/>
  <c r="E2056" i="3"/>
  <c r="E2055" i="3"/>
  <c r="E2054" i="3"/>
  <c r="E2053" i="3"/>
  <c r="E2052" i="3"/>
  <c r="E2051" i="3"/>
  <c r="E2050" i="3"/>
  <c r="E2049" i="3"/>
  <c r="E2048" i="3"/>
  <c r="E2047" i="3"/>
  <c r="E2046" i="3"/>
  <c r="E2045" i="3"/>
  <c r="E2044" i="3"/>
  <c r="E2043" i="3"/>
  <c r="E2042" i="3"/>
  <c r="E2041" i="3"/>
  <c r="E2040" i="3"/>
  <c r="E2039" i="3"/>
  <c r="E2038" i="3"/>
  <c r="E2037" i="3"/>
  <c r="E2036" i="3"/>
  <c r="E2035" i="3"/>
  <c r="E2034" i="3"/>
  <c r="E2033" i="3"/>
  <c r="E2032" i="3"/>
  <c r="E2031" i="3"/>
  <c r="E2030" i="3"/>
  <c r="E2029" i="3"/>
  <c r="E2028" i="3"/>
  <c r="E2027" i="3"/>
  <c r="E2026" i="3"/>
  <c r="E2025" i="3"/>
  <c r="E2024" i="3"/>
  <c r="E2023" i="3"/>
  <c r="E2022" i="3"/>
  <c r="E2021" i="3"/>
  <c r="E2020" i="3"/>
  <c r="E2019" i="3"/>
  <c r="E2018" i="3"/>
  <c r="E2017" i="3"/>
  <c r="E2016" i="3"/>
  <c r="E2015" i="3"/>
  <c r="E2014" i="3"/>
  <c r="E2013" i="3"/>
  <c r="E2012" i="3"/>
  <c r="E2011" i="3"/>
  <c r="E2010" i="3"/>
  <c r="E2009" i="3"/>
  <c r="E2008" i="3"/>
  <c r="E2007" i="3"/>
  <c r="E2006" i="3"/>
  <c r="E2005" i="3"/>
  <c r="E2004" i="3"/>
  <c r="E2003" i="3"/>
  <c r="E2002" i="3"/>
  <c r="E2001" i="3"/>
  <c r="E2000" i="3"/>
  <c r="E1999" i="3"/>
  <c r="E1998" i="3"/>
  <c r="E1997" i="3"/>
  <c r="E1996" i="3"/>
  <c r="E1995" i="3"/>
  <c r="E1994" i="3"/>
  <c r="E1993" i="3"/>
  <c r="E1992" i="3"/>
  <c r="E1991" i="3"/>
  <c r="E1990" i="3"/>
  <c r="E1989" i="3"/>
  <c r="E1988" i="3"/>
  <c r="E1987" i="3"/>
  <c r="E1986" i="3"/>
  <c r="E1985" i="3"/>
  <c r="E1984" i="3"/>
  <c r="E1983" i="3"/>
  <c r="E1982" i="3"/>
  <c r="E1981" i="3"/>
  <c r="E1980" i="3"/>
  <c r="E1979" i="3"/>
  <c r="E1978" i="3"/>
  <c r="E1977" i="3"/>
  <c r="E1976" i="3"/>
  <c r="E1975" i="3"/>
  <c r="E1974" i="3"/>
  <c r="E1973" i="3"/>
  <c r="E1972" i="3"/>
  <c r="E1971" i="3"/>
  <c r="E1970" i="3"/>
  <c r="E1969" i="3"/>
  <c r="E1968" i="3"/>
  <c r="E1967" i="3"/>
  <c r="E1966" i="3"/>
  <c r="E1965" i="3"/>
  <c r="E1964" i="3"/>
  <c r="E1963" i="3"/>
  <c r="E1962" i="3"/>
  <c r="E1961" i="3"/>
  <c r="E1960" i="3"/>
  <c r="E1959" i="3"/>
  <c r="E1958" i="3"/>
  <c r="E1957" i="3"/>
  <c r="E1956" i="3"/>
  <c r="E1955" i="3"/>
  <c r="E1954" i="3"/>
  <c r="E1953" i="3"/>
  <c r="E1952" i="3"/>
  <c r="E1951" i="3"/>
  <c r="E1950" i="3"/>
  <c r="E1949" i="3"/>
  <c r="E1948" i="3"/>
  <c r="E1947" i="3"/>
  <c r="E1946" i="3"/>
  <c r="E1945" i="3"/>
  <c r="E1944" i="3"/>
  <c r="E1943" i="3"/>
  <c r="E1942" i="3"/>
  <c r="E1941" i="3"/>
  <c r="E1940" i="3"/>
  <c r="E1939" i="3"/>
  <c r="E1938" i="3"/>
  <c r="E1937" i="3"/>
  <c r="E1936" i="3"/>
  <c r="E1935" i="3"/>
  <c r="E1934" i="3"/>
  <c r="E1933" i="3"/>
  <c r="E1932" i="3"/>
  <c r="E1931" i="3"/>
  <c r="E1930" i="3"/>
  <c r="E1929" i="3"/>
  <c r="E1928" i="3"/>
  <c r="E1927" i="3"/>
  <c r="E1926" i="3"/>
  <c r="E1925" i="3"/>
  <c r="E1924" i="3"/>
  <c r="E1923" i="3"/>
  <c r="E1922" i="3"/>
  <c r="E1921" i="3"/>
  <c r="E1920" i="3"/>
  <c r="E1919" i="3"/>
  <c r="E1918" i="3"/>
  <c r="E1917" i="3"/>
  <c r="E1916" i="3"/>
  <c r="E1915" i="3"/>
  <c r="E1914" i="3"/>
  <c r="E1913" i="3"/>
  <c r="E1912" i="3"/>
  <c r="E1911" i="3"/>
  <c r="E1910" i="3"/>
  <c r="E1909" i="3"/>
  <c r="E1908" i="3"/>
  <c r="E1907" i="3"/>
  <c r="E1906" i="3"/>
  <c r="E1905" i="3"/>
  <c r="E1904" i="3"/>
  <c r="E1903" i="3"/>
  <c r="E1902" i="3"/>
  <c r="E1901" i="3"/>
  <c r="E1900" i="3"/>
  <c r="E1899" i="3"/>
  <c r="E1898" i="3"/>
  <c r="E1897" i="3"/>
  <c r="E1896" i="3"/>
  <c r="E1895" i="3"/>
  <c r="E1894" i="3"/>
  <c r="E1893" i="3"/>
  <c r="E1892" i="3"/>
  <c r="E1891" i="3"/>
  <c r="E1890" i="3"/>
  <c r="E1889" i="3"/>
  <c r="E1888" i="3"/>
  <c r="E1887" i="3"/>
  <c r="E1886" i="3"/>
  <c r="E1885" i="3"/>
  <c r="E1884" i="3"/>
  <c r="E1883" i="3"/>
  <c r="E1882" i="3"/>
  <c r="E1881" i="3"/>
  <c r="E1880" i="3"/>
  <c r="E1879" i="3"/>
  <c r="E1878" i="3"/>
  <c r="E1877" i="3"/>
  <c r="E1876" i="3"/>
  <c r="E1875" i="3"/>
  <c r="E1874" i="3"/>
  <c r="E1873" i="3"/>
  <c r="E1872" i="3"/>
  <c r="E1871" i="3"/>
  <c r="E1870" i="3"/>
  <c r="E1869" i="3"/>
  <c r="E1868" i="3"/>
  <c r="E1867" i="3"/>
  <c r="E1866" i="3"/>
  <c r="E1865" i="3"/>
  <c r="E1864" i="3"/>
  <c r="E1863" i="3"/>
  <c r="E1862" i="3"/>
  <c r="E1861" i="3"/>
  <c r="E1860" i="3"/>
  <c r="E1859" i="3"/>
  <c r="E1858" i="3"/>
  <c r="E1857" i="3"/>
  <c r="E1856" i="3"/>
  <c r="E1855" i="3"/>
  <c r="E1854" i="3"/>
  <c r="E1853" i="3"/>
  <c r="E1852" i="3"/>
  <c r="E1851" i="3"/>
  <c r="E1850" i="3"/>
  <c r="E1849" i="3"/>
  <c r="E1848" i="3"/>
  <c r="E1847" i="3"/>
  <c r="E1846" i="3"/>
  <c r="E1845" i="3"/>
  <c r="E1844" i="3"/>
  <c r="E1843" i="3"/>
  <c r="E1842" i="3"/>
  <c r="E1841" i="3"/>
  <c r="E1840" i="3"/>
  <c r="E1839" i="3"/>
  <c r="E1838" i="3"/>
  <c r="E1837" i="3"/>
  <c r="E1836" i="3"/>
  <c r="E1835" i="3"/>
  <c r="E1834" i="3"/>
  <c r="E1833" i="3"/>
  <c r="E1832" i="3"/>
  <c r="E1831" i="3"/>
  <c r="E1830" i="3"/>
  <c r="E1829" i="3"/>
  <c r="E1828" i="3"/>
  <c r="E1827" i="3"/>
  <c r="E1826" i="3"/>
  <c r="E1825" i="3"/>
  <c r="E1824" i="3"/>
  <c r="E1823" i="3"/>
  <c r="E1822" i="3"/>
  <c r="E1821" i="3"/>
  <c r="E1820" i="3"/>
  <c r="E1819" i="3"/>
  <c r="E1818" i="3"/>
  <c r="E1817" i="3"/>
  <c r="E1816" i="3"/>
  <c r="E1815" i="3"/>
  <c r="E1814" i="3"/>
  <c r="E1813" i="3"/>
  <c r="E1812" i="3"/>
  <c r="E1811" i="3"/>
  <c r="E1810" i="3"/>
  <c r="E1809" i="3"/>
  <c r="E1808" i="3"/>
  <c r="E1807" i="3"/>
  <c r="E1806" i="3"/>
  <c r="E1805" i="3"/>
  <c r="E1804" i="3"/>
  <c r="E1803" i="3"/>
  <c r="E1802" i="3"/>
  <c r="E1801" i="3"/>
  <c r="E1800" i="3"/>
  <c r="E1799" i="3"/>
  <c r="E1798" i="3"/>
  <c r="E1797" i="3"/>
  <c r="E1796" i="3"/>
  <c r="E1795" i="3"/>
  <c r="E1794" i="3"/>
  <c r="E1793" i="3"/>
  <c r="E1792" i="3"/>
  <c r="E1791" i="3"/>
  <c r="E1790" i="3"/>
  <c r="E1789" i="3"/>
  <c r="E1788" i="3"/>
  <c r="E1787" i="3"/>
  <c r="E1786" i="3"/>
  <c r="E1785" i="3"/>
  <c r="E1784" i="3"/>
  <c r="E1783" i="3"/>
  <c r="E1782" i="3"/>
  <c r="E1781" i="3"/>
  <c r="E1780" i="3"/>
  <c r="E1779" i="3"/>
  <c r="E1778" i="3"/>
  <c r="E1777" i="3"/>
  <c r="E1776" i="3"/>
  <c r="E1775" i="3"/>
  <c r="E1774" i="3"/>
  <c r="E1773" i="3"/>
  <c r="E1772" i="3"/>
  <c r="E1771" i="3"/>
  <c r="E1770" i="3"/>
  <c r="E1769" i="3"/>
  <c r="E1768" i="3"/>
  <c r="E1767" i="3"/>
  <c r="E1766" i="3"/>
  <c r="E1765" i="3"/>
  <c r="E1764" i="3"/>
  <c r="E1763" i="3"/>
  <c r="E1762" i="3"/>
  <c r="E1761" i="3"/>
  <c r="E1760" i="3"/>
  <c r="E1759" i="3"/>
  <c r="E1758" i="3"/>
  <c r="E1757" i="3"/>
  <c r="E1756" i="3"/>
  <c r="E1755" i="3"/>
  <c r="E1754" i="3"/>
  <c r="E1753" i="3"/>
  <c r="E1752" i="3"/>
  <c r="E1751" i="3"/>
  <c r="E1750" i="3"/>
  <c r="E1749" i="3"/>
  <c r="E1748" i="3"/>
  <c r="E1747" i="3"/>
  <c r="E1746" i="3"/>
  <c r="E1745" i="3"/>
  <c r="E1744" i="3"/>
  <c r="E1743" i="3"/>
  <c r="E1742" i="3"/>
  <c r="E1741" i="3"/>
  <c r="E1740" i="3"/>
  <c r="E1739" i="3"/>
  <c r="E1738" i="3"/>
  <c r="E1737" i="3"/>
  <c r="E1736" i="3"/>
  <c r="E1735" i="3"/>
  <c r="E1734" i="3"/>
  <c r="E1733" i="3"/>
  <c r="E1732" i="3"/>
  <c r="E1731" i="3"/>
  <c r="E1730" i="3"/>
  <c r="E1729" i="3"/>
  <c r="E1728" i="3"/>
  <c r="E1727" i="3"/>
  <c r="E1726" i="3"/>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2278" i="2"/>
  <c r="D2277" i="2"/>
  <c r="D2276" i="2"/>
  <c r="D2275" i="2"/>
  <c r="D2274" i="2"/>
  <c r="D2273" i="2"/>
  <c r="D2272" i="2"/>
  <c r="D2271" i="2"/>
  <c r="D2270" i="2"/>
  <c r="D2269" i="2"/>
  <c r="D2268" i="2"/>
  <c r="D2267" i="2"/>
  <c r="D2266" i="2"/>
  <c r="D2265" i="2"/>
  <c r="D2264" i="2"/>
  <c r="D2263" i="2"/>
  <c r="D2262" i="2"/>
  <c r="D2261" i="2"/>
  <c r="D2260" i="2"/>
  <c r="D2259" i="2"/>
  <c r="D2258" i="2"/>
  <c r="D2257" i="2"/>
  <c r="D2256" i="2"/>
  <c r="D2255" i="2"/>
  <c r="D2254" i="2"/>
  <c r="D2253" i="2"/>
  <c r="D2252" i="2"/>
  <c r="D2251" i="2"/>
  <c r="D2250" i="2"/>
  <c r="D2249" i="2"/>
  <c r="D2248" i="2"/>
  <c r="D2247" i="2"/>
  <c r="D2246" i="2"/>
  <c r="D2245" i="2"/>
  <c r="D2244" i="2"/>
  <c r="D2243" i="2"/>
  <c r="D2242" i="2"/>
  <c r="D2241" i="2"/>
  <c r="D2240" i="2"/>
  <c r="D2239" i="2"/>
  <c r="D2238" i="2"/>
  <c r="D2237" i="2"/>
  <c r="D2236" i="2"/>
  <c r="D2235" i="2"/>
  <c r="D2234" i="2"/>
  <c r="D2233" i="2"/>
  <c r="D2232" i="2"/>
  <c r="D2231" i="2"/>
  <c r="D2230" i="2"/>
  <c r="D2229" i="2"/>
  <c r="D2228" i="2"/>
  <c r="D2227" i="2"/>
  <c r="D2226" i="2"/>
  <c r="D2225" i="2"/>
  <c r="D2224" i="2"/>
  <c r="D2223" i="2"/>
  <c r="D2222" i="2"/>
  <c r="D2221" i="2"/>
  <c r="D2220" i="2"/>
  <c r="D2219" i="2"/>
  <c r="D2218" i="2"/>
  <c r="D2217" i="2"/>
  <c r="D2216" i="2"/>
  <c r="D2215" i="2"/>
  <c r="D2214" i="2"/>
  <c r="D2213" i="2"/>
  <c r="D2212" i="2"/>
  <c r="D2211" i="2"/>
  <c r="D2210" i="2"/>
  <c r="D2209" i="2"/>
  <c r="D2208" i="2"/>
  <c r="D2207" i="2"/>
  <c r="D2206" i="2"/>
  <c r="D2205" i="2"/>
  <c r="D2204" i="2"/>
  <c r="D2203" i="2"/>
  <c r="D2202" i="2"/>
  <c r="D2201" i="2"/>
  <c r="D2200" i="2"/>
  <c r="D2199" i="2"/>
  <c r="D2198" i="2"/>
  <c r="D2197" i="2"/>
  <c r="D2196" i="2"/>
  <c r="D2195" i="2"/>
  <c r="D2194" i="2"/>
  <c r="D2193" i="2"/>
  <c r="D2192" i="2"/>
  <c r="D2191" i="2"/>
  <c r="D2190" i="2"/>
  <c r="D2189" i="2"/>
  <c r="D2188" i="2"/>
  <c r="D2187" i="2"/>
  <c r="D2186" i="2"/>
  <c r="D2185" i="2"/>
  <c r="D2184" i="2"/>
  <c r="D2183" i="2"/>
  <c r="D2182" i="2"/>
  <c r="D2181" i="2"/>
  <c r="D2180" i="2"/>
  <c r="D2179" i="2"/>
  <c r="D2178" i="2"/>
  <c r="D2177" i="2"/>
  <c r="D2176" i="2"/>
  <c r="D2175" i="2"/>
  <c r="D2174" i="2"/>
  <c r="D2173" i="2"/>
  <c r="D2172" i="2"/>
  <c r="D2171" i="2"/>
  <c r="D2170" i="2"/>
  <c r="D2169" i="2"/>
  <c r="D2168" i="2"/>
  <c r="D2167" i="2"/>
  <c r="D2166" i="2"/>
  <c r="D2165" i="2"/>
  <c r="D2164" i="2"/>
  <c r="D2163" i="2"/>
  <c r="D2162" i="2"/>
  <c r="D2161" i="2"/>
  <c r="D2160" i="2"/>
  <c r="D2159" i="2"/>
  <c r="D2158" i="2"/>
  <c r="D2157" i="2"/>
  <c r="D2156" i="2"/>
  <c r="D2155" i="2"/>
  <c r="D2154" i="2"/>
  <c r="D2153" i="2"/>
  <c r="D2152" i="2"/>
  <c r="D2151" i="2"/>
  <c r="D2150" i="2"/>
  <c r="D2149" i="2"/>
  <c r="D2148" i="2"/>
  <c r="D2147" i="2"/>
  <c r="D2146" i="2"/>
  <c r="D2145" i="2"/>
  <c r="D2144" i="2"/>
  <c r="D2143" i="2"/>
  <c r="D2142" i="2"/>
  <c r="D2141" i="2"/>
  <c r="D2140" i="2"/>
  <c r="D2139" i="2"/>
  <c r="D2138" i="2"/>
  <c r="D2137" i="2"/>
  <c r="D2136" i="2"/>
  <c r="D2135" i="2"/>
  <c r="D2134" i="2"/>
  <c r="D2133" i="2"/>
  <c r="D2132" i="2"/>
  <c r="D2131" i="2"/>
  <c r="D2130" i="2"/>
  <c r="D2129" i="2"/>
  <c r="D2128" i="2"/>
  <c r="D2127" i="2"/>
  <c r="D2126" i="2"/>
  <c r="D2125" i="2"/>
  <c r="D2124" i="2"/>
  <c r="D2123" i="2"/>
  <c r="D2122" i="2"/>
  <c r="D2121" i="2"/>
  <c r="D2120" i="2"/>
  <c r="D2119" i="2"/>
  <c r="D2118" i="2"/>
  <c r="D2117" i="2"/>
  <c r="D2116" i="2"/>
  <c r="D2115" i="2"/>
  <c r="D2114" i="2"/>
  <c r="D2113" i="2"/>
  <c r="D2112" i="2"/>
  <c r="D2111" i="2"/>
  <c r="D2110" i="2"/>
  <c r="D2109" i="2"/>
  <c r="D2108" i="2"/>
  <c r="D2107" i="2"/>
  <c r="D2106" i="2"/>
  <c r="D2105" i="2"/>
  <c r="D2104" i="2"/>
  <c r="D2103" i="2"/>
  <c r="D2102" i="2"/>
  <c r="D2101" i="2"/>
  <c r="D2100" i="2"/>
  <c r="D2099" i="2"/>
  <c r="D2098" i="2"/>
  <c r="D2097" i="2"/>
  <c r="D2096" i="2"/>
  <c r="D2095" i="2"/>
  <c r="D2094" i="2"/>
  <c r="D2093" i="2"/>
  <c r="D2092" i="2"/>
  <c r="D2091" i="2"/>
  <c r="D2090" i="2"/>
  <c r="D2089" i="2"/>
  <c r="D2088" i="2"/>
  <c r="D2087" i="2"/>
  <c r="D2086" i="2"/>
  <c r="D2085" i="2"/>
  <c r="D2084" i="2"/>
  <c r="D2083" i="2"/>
  <c r="D2082" i="2"/>
  <c r="D2081" i="2"/>
  <c r="D2080" i="2"/>
  <c r="D2079" i="2"/>
  <c r="D2078" i="2"/>
  <c r="D2077" i="2"/>
  <c r="D2076" i="2"/>
  <c r="D2075" i="2"/>
  <c r="D2074" i="2"/>
  <c r="D2073" i="2"/>
  <c r="D2072" i="2"/>
  <c r="D2071" i="2"/>
  <c r="D2070" i="2"/>
  <c r="D2069" i="2"/>
  <c r="D2068" i="2"/>
  <c r="D2067" i="2"/>
  <c r="D2066" i="2"/>
  <c r="D2065" i="2"/>
  <c r="D2064" i="2"/>
  <c r="D2063" i="2"/>
  <c r="D2062" i="2"/>
  <c r="D2061" i="2"/>
  <c r="D2060" i="2"/>
  <c r="D2059" i="2"/>
  <c r="D2058" i="2"/>
  <c r="D2057" i="2"/>
  <c r="D2056" i="2"/>
  <c r="D2055" i="2"/>
  <c r="D2054" i="2"/>
  <c r="D2053" i="2"/>
  <c r="D2052" i="2"/>
  <c r="D2051" i="2"/>
  <c r="D2050" i="2"/>
  <c r="D2049" i="2"/>
  <c r="D2048" i="2"/>
  <c r="D2047" i="2"/>
  <c r="D2046" i="2"/>
  <c r="D2045" i="2"/>
  <c r="D2044" i="2"/>
  <c r="D2043" i="2"/>
  <c r="D2042" i="2"/>
  <c r="D2041" i="2"/>
  <c r="D2040" i="2"/>
  <c r="D2039" i="2"/>
  <c r="D2038" i="2"/>
  <c r="D2037" i="2"/>
  <c r="D2036" i="2"/>
  <c r="D2035" i="2"/>
  <c r="D2034" i="2"/>
  <c r="D2033" i="2"/>
  <c r="D2032"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6B9732EA-0527-A145-87BD-33B2F1CF120E}">
      <text>
        <r>
          <rPr>
            <b/>
            <sz val="10"/>
            <color rgb="FF000000"/>
            <rFont val="Tahoma"/>
            <family val="2"/>
          </rPr>
          <t>Microsoft Office User:</t>
        </r>
        <r>
          <rPr>
            <sz val="10"/>
            <color rgb="FF000000"/>
            <rFont val="Tahoma"/>
            <family val="2"/>
          </rPr>
          <t xml:space="preserve">
</t>
        </r>
        <r>
          <rPr>
            <sz val="10"/>
            <color rgb="FF000000"/>
            <rFont val="Tahoma"/>
            <family val="2"/>
          </rPr>
          <t>scale 1 - 5 with 5 being perfect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F6B10CB7-9BDE-194A-BBA9-C3A67E8895DE}">
      <text>
        <r>
          <rPr>
            <b/>
            <sz val="10"/>
            <color rgb="FF000000"/>
            <rFont val="Tahoma"/>
            <family val="2"/>
          </rPr>
          <t>Microsoft Office User:</t>
        </r>
        <r>
          <rPr>
            <sz val="10"/>
            <color rgb="FF000000"/>
            <rFont val="Tahoma"/>
            <family val="2"/>
          </rPr>
          <t xml:space="preserve">
</t>
        </r>
        <r>
          <rPr>
            <sz val="10"/>
            <color rgb="FF000000"/>
            <rFont val="Tahoma"/>
            <family val="2"/>
          </rPr>
          <t>scale 1 - 5 with 5 being perfect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CB378B11-5F5B-FE4E-AB49-0445C57D2B4D}">
      <text>
        <r>
          <rPr>
            <b/>
            <sz val="10"/>
            <color rgb="FF000000"/>
            <rFont val="Tahoma"/>
            <family val="2"/>
          </rPr>
          <t>Microsoft Office User:</t>
        </r>
        <r>
          <rPr>
            <sz val="10"/>
            <color rgb="FF000000"/>
            <rFont val="Tahoma"/>
            <family val="2"/>
          </rPr>
          <t xml:space="preserve">
</t>
        </r>
        <r>
          <rPr>
            <sz val="10"/>
            <color rgb="FF000000"/>
            <rFont val="Tahoma"/>
            <family val="2"/>
          </rPr>
          <t>scale 1 - 5 with 5 being perfect</t>
        </r>
      </text>
    </comment>
  </commentList>
</comments>
</file>

<file path=xl/sharedStrings.xml><?xml version="1.0" encoding="utf-8"?>
<sst xmlns="http://schemas.openxmlformats.org/spreadsheetml/2006/main" count="27111" uniqueCount="5601">
  <si>
    <t>id</t>
  </si>
  <si>
    <t>issues</t>
  </si>
  <si>
    <t>file</t>
  </si>
  <si>
    <t>hadm_id</t>
  </si>
  <si>
    <t>note_id</t>
  </si>
  <si>
    <t>category</t>
  </si>
  <si>
    <t>section</t>
  </si>
  <si>
    <t>sent</t>
  </si>
  <si>
    <t>532406-chief-complaint-0-0</t>
  </si>
  <si>
    <t>Physician</t>
  </si>
  <si>
    <t>chief-complaint</t>
  </si>
  <si>
    <t>hypotension, h</t>
  </si>
  <si>
    <t>532406-history-of-present-illness-0-0</t>
  </si>
  <si>
    <t>history-of-present-illness</t>
  </si>
  <si>
    <t>Mr. [**Known lastname 14060**] is an 87 yo male with a history of diastolic CHF (EF 65%
   1/10), AFib not on coumadin, mild AS, stage IV CKD, and HTN, who
   presented from acute rehab after falling at his nursing home.</t>
  </si>
  <si>
    <t>532406-history-of-present-illness-0-1</t>
  </si>
  <si>
    <t xml:space="preserve">
   Yesterday he had been feeling well, walking with PT (using a walker)
   and feeling well.</t>
  </si>
  <si>
    <t>532406-history-of-present-illness-0-2</t>
  </si>
  <si>
    <t>Today he was reaching onto a shelf for batteries when
   he turned too quickly and twisted his left foot under him, falling on
   his left side and left arm.</t>
  </si>
  <si>
    <t>532406-history-of-present-illness-0-3</t>
  </si>
  <si>
    <t>He was sent from rehab to the ED.</t>
  </si>
  <si>
    <t>532406-history-of-present-illness-0-4</t>
  </si>
  <si>
    <t xml:space="preserve"> On exam,
   his hip was externally rotated and shortened.</t>
  </si>
  <si>
    <t>532406-history-of-present-illness-0-5</t>
  </si>
  <si>
    <t xml:space="preserve"> He had no other
   complaints and denied loss of consciousness or hitting his head on the
   fall.</t>
  </si>
  <si>
    <t>532406-history-of-present-illness-0-6</t>
  </si>
  <si>
    <t xml:space="preserve"> Hct was 29.6 at rehab, Na 142, K 4.0, BUN 51, Creat 2.1, WBC
   6.8, Plt 215.</t>
  </si>
  <si>
    <t>532406-history-of-present-illness-1-0</t>
  </si>
  <si>
    <t xml:space="preserve">
   In the ED, triage vs were: T 96.3 P 60 BP 107/62 R 16 O2 sat 96% on RA,
   but he was then found to have systolic BP of 83-90s on exam.</t>
  </si>
  <si>
    <t>532406-history-of-present-illness-1-1</t>
  </si>
  <si>
    <t>He had
   good peripheral pulses.</t>
  </si>
  <si>
    <t>532406-history-of-present-illness-1-2</t>
  </si>
  <si>
    <t xml:space="preserve"> He was evaluated for trauma and plain films of
   the left hip and femur were completed, showing multiple comminuted
   fractures for which the patient would need a THR.</t>
  </si>
  <si>
    <t>532406-history-of-present-illness-1-3</t>
  </si>
  <si>
    <t xml:space="preserve"> CT C-spine showed no
   fracture or malalignment, and moderate multilevel degenerative change
   on preliminary read.</t>
  </si>
  <si>
    <t>532406-history-of-present-illness-1-4</t>
  </si>
  <si>
    <t>CT head without contrast showed no fracture or
   hemorrhage (preliminary read).</t>
  </si>
  <si>
    <t>532406-history-of-present-illness-2-0</t>
  </si>
  <si>
    <t xml:space="preserve">
   The patient was given 1L IVF and fentanyl 100 mcg for pain.</t>
  </si>
  <si>
    <t>532406-history-of-present-illness-2-1</t>
  </si>
  <si>
    <t>His SBPs
   persisted in the 80s/90s.</t>
  </si>
  <si>
    <t>532406-history-of-present-illness-2-2</t>
  </si>
  <si>
    <t>His Hct was found to be 24, down [**4-3**] points.</t>
  </si>
  <si>
    <t>532406-history-of-present-illness-2-3</t>
  </si>
  <si>
    <t xml:space="preserve">
   CT ab/pelvis was performed in the setting of the Hct drop, showing left
   hip intertrochanteric fracture, a large retroperitoneal mass likely
   from left adrenal gland (non-urgent MR recommended for further
   evaluation), and no retroperitoneal hematoma on preliminary read.</t>
  </si>
  <si>
    <t>532406-history-of-present-illness-2-4</t>
  </si>
  <si>
    <t>He
   was found to be guaiac negative.</t>
  </si>
  <si>
    <t>532406-history-of-present-illness-2-5</t>
  </si>
  <si>
    <t>He continued with HR in 60s and
   systolics in 90s, received an additional 1L IVF (and a second liter was
   begun prior to transfer), and was typed and crossed for 2 units pRBC.</t>
  </si>
  <si>
    <t>532406-history-of-present-illness-2-6</t>
  </si>
  <si>
    <t xml:space="preserve">
   CXR showed a retrocardiac opacity and he was given levofloxacin 750 mg
   for empiric pneumonia coverage after a single blood culture was drawn.</t>
  </si>
  <si>
    <t>532406-history-of-present-illness-2-7</t>
  </si>
  <si>
    <t xml:space="preserve">
   A Foley was placed.</t>
  </si>
  <si>
    <t>532406-history-of-present-illness-2-8</t>
  </si>
  <si>
    <t>Transfer vitals in the ED were HR 64, RR19 100% on
   4L (desatted after NS to low 90s), 88/48.</t>
  </si>
  <si>
    <t>532406-history-of-present-illness-3-0</t>
  </si>
  <si>
    <t xml:space="preserve">
   The patient was admitted to the MICU, where initial vitals were HR 69
   BP 102/63-120/75, RR 32-20, SpO2 100% on 1L NC.</t>
  </si>
  <si>
    <t>532406-history-of-present-illness-4-0</t>
  </si>
  <si>
    <t xml:space="preserve">
   On ROS, the patient denies any LOC, dizziness/lightheadedness, recent
   diarrhea (though had diarrhea in prior admission).</t>
  </si>
  <si>
    <t>532406-history-of-present-illness-4-1</t>
  </si>
  <si>
    <t>+cough with small
   amounts of yellowish sputum but not in past few days.</t>
  </si>
  <si>
    <t>532406-history-of-present-illness-4-2</t>
  </si>
  <si>
    <t>Patient admitted from: [**Hospital1 19**] ER
   History obtained from Patient, Family / F</t>
  </si>
  <si>
    <t>532406-allergies-0-0</t>
  </si>
  <si>
    <t>allergies</t>
  </si>
  <si>
    <t>Quinidine
   fever;
   Propranolol
   Aggitation;</t>
  </si>
  <si>
    <t>532406-other-medications-0-0</t>
  </si>
  <si>
    <t>other-medications</t>
  </si>
  <si>
    <t>Morphine Sulfate - [**2141-4-6**] 09:30 PM
   Other medications:
   Meds from rehab:
   -Vicodin 5/500 2 tabs qd
   -Pantoprazole 40 mg Tablet qd
   -Vancomycin 125 mg PO Q6H; taper as follows:
        [**Date range (1) 14476**] 125mg Q6H;
        [**Date range (1) 14477**] 125mg Q12H;
        [**Date range (1) 14478**] 125mg daily;
        [**Date range (1) 14479**] 125mg; every other day
        [**Date range (1) 14480**] 125mg; every third day; then stop.</t>
  </si>
  <si>
    <t>532406-other-medications-0-1</t>
  </si>
  <si>
    <t xml:space="preserve">
   -Ativan 0.125 mg tid prn
   -Ammonium Lactate 12% Lotion Topical [**Hospital1 7**]
   -Ipratropium Bromide 0.5 mg Neb Inhalation Q6H PRN SOB/Wheezing.</t>
  </si>
  <si>
    <t>532406-other-medications-0-2</t>
  </si>
  <si>
    <t xml:space="preserve">
   -Torsemide 40 mg PO BID (if weight &gt; 160lbs, increase to 80mg in the
   morning and 40mg at night; if weight &lt; 145lbs, decrease torsemide to
   40mg daily)
   -Spironolactone 25 mg Tablet PO DAILY
   -Metoprolol Tartrate 12.5 mg PO BID
   -Simvastatin 40 mg PO qpm
   -Ergocalciferol (Vitamin D2) 5,000 unit po weekly
   -Bisacodyl suppository 10 mg qd prn
   -Senna qd prn
   -Aspirin 81 mg po qd
   -Acetaminophen 325 mg 1-2 Tablets PO Q4H prn pain / fever.</t>
  </si>
  <si>
    <t>532406-other-medications-0-3</t>
  </si>
  <si>
    <t>-Tums [**Hospital1 **]
   -Cadexomer iodine topical gel q3d topical
   -Dextromethorphan-Guaifenesin 30 mg q12hr p</t>
  </si>
  <si>
    <t>532406-past-medical-history-0-0</t>
  </si>
  <si>
    <t>past-medical-history</t>
  </si>
  <si>
    <t>-CHF with preserved LVEF (65% 1/10), thought to have L HF leading to R
   HF without primary pulm HTN
   -Chronic Afib, not on warfarin given recent UGIB ([**2-8**])
   -Pulmonary artery HTN (30mmHg + RA [**11-6**])
   -Mild MR, mod TR, mild AI, mild AS (peak 25 mmHg [**11-6**])
   -Mild ascending aortic dilatation (3.7 cm)
   -Left ventricular hypertrophy
   -Prostate enlargement (followed by Dr.</t>
  </si>
  <si>
    <t>532406-past-medical-history-0-1</t>
  </si>
  <si>
    <t>[**Last Name (STitle) **] [**Last Name (STitle) **])
   -Hypertension
   -Hypercholesterolemia
   -Severe essential tremor, since [**2076**] (WWII)
   -Venous stasis, followed by Dr.</t>
  </si>
  <si>
    <t>532406-past-medical-history-0-2</t>
  </si>
  <si>
    <t>[**Last Name (STitle) 14061**]
   [**Name (STitle) 14062**] hernia repair
   -Anemia, multifactorial (chronic illness, CKD, recent GIB)
   -Hemorrhoid repair
   -History of MRSA cellulitis ([**2-7**])
   -Chronic Renal Failure [**1-31**] poor forward flow from CHF: Stage IV with
   eGFR of 24 ml/min (MDRD).</t>
  </si>
  <si>
    <t>532406-past-medical-history-0-3</t>
  </si>
  <si>
    <t>Near dialysis.</t>
  </si>
  <si>
    <t>532406-past-medical-history-0-4</t>
  </si>
  <si>
    <t xml:space="preserve">
   -Left foot abscess s/p I&amp;D
   -C.</t>
  </si>
  <si>
    <t>532406-past-medical-history-0-5</t>
  </si>
  <si>
    <t>532406-past-medical-history-1-0</t>
  </si>
  <si>
    <t>532406-past-medical-history-2-0</t>
  </si>
  <si>
    <t xml:space="preserve">
   [**2141-1-31**] to [**2141-2-15**]
   -- also for CHF exacerbation, given lasix ggt and metolazone
   -- supratherapeutic INR on admission, complicated by epistaxis and
   melena (GI followed but endoscopy was deferred)
   -- C diff colitis treated with ?</t>
  </si>
  <si>
    <t>532406-past-medical-history-2-1</t>
  </si>
  <si>
    <t>532406-past-medical-history-3-0</t>
  </si>
  <si>
    <t>532406-past-medical-history-4-0</t>
  </si>
  <si>
    <t xml:space="preserve">
   [**2141-3-17**] to [**2141-3-31**]
   -- Sent in by rehab for sleepiness, low Hct, weight gain, cough.</t>
  </si>
  <si>
    <t>532406-past-medical-history-4-1</t>
  </si>
  <si>
    <t xml:space="preserve">
   -- C.</t>
  </si>
  <si>
    <t>532406-past-medical-history-4-2</t>
  </si>
  <si>
    <t>Diff colitis
   -- GIB (Guaiac positive,</t>
  </si>
  <si>
    <t>532406-past-medical-history-4-3</t>
  </si>
  <si>
    <t>had been on coumadin until [**Month (only) 2299**] when had
   presumed UGIB requiring 1U pRBC); transfused for Hct 23.5 (but near
   baseline of 24)
   -- Hypotension to the 70s systolic (baseline 90-100s)
   -- CHF
   -- UTI
   -- Acute on chronic kidney disease
   -- Pancytopenia: found to be HIT antibody positive but serotonin assay
   negative so not likely HIT; nonetheless heparin products were avoided.</t>
  </si>
  <si>
    <t>532406-past-medical-history-4-4</t>
  </si>
  <si>
    <t xml:space="preserve">
   Pancytopenia improved over hospital course; thought to be infection
   related.</t>
  </si>
  <si>
    <t>532406-past-medical-history-4-5</t>
  </si>
  <si>
    <t xml:space="preserve">
   -- Increased AP and GGT with elevated lipase and an abnormality on
   ultrasound suggestive of a pancreatic mass.</t>
  </si>
  <si>
    <t>532406-past-medical-history-4-6</t>
  </si>
  <si>
    <t>GI was consulted and
   recommended an outpatient MRCP.</t>
  </si>
  <si>
    <t>532406-family-history-0-0</t>
  </si>
  <si>
    <t>family-history</t>
  </si>
  <si>
    <t xml:space="preserve">
   Parents are both deceased.</t>
  </si>
  <si>
    <t>532406-family-history-0-1</t>
  </si>
  <si>
    <t>Father (73 years; "heart" disease); Mother
   (48 years; stomach cancer).</t>
  </si>
  <si>
    <t>532406-family-history-0-2</t>
  </si>
  <si>
    <t>He has 2 siblings (80- breast cancer,
   brother with ? abdominal cancer).</t>
  </si>
  <si>
    <t>532406-family-history-0-3</t>
  </si>
  <si>
    <t>He has 3 children (55, 53, 49 years;
   all well).</t>
  </si>
  <si>
    <t>532406-family-history-0-4</t>
  </si>
  <si>
    <t>A son [**Doctor Last Name 20**] has atrial fibrillation.</t>
  </si>
  <si>
    <t>532406-social-history-0-0</t>
  </si>
  <si>
    <t>social-history</t>
  </si>
  <si>
    <t xml:space="preserve">
   Occupation:
   Drugs:
   Tobacco:
   Alcohol:
   Other: Usually lives with wife, married for &gt;50yrs, currently at [**Hospital 328**]
   Rehab.</t>
  </si>
  <si>
    <t>532406-social-history-0-1</t>
  </si>
  <si>
    <t>3 children.</t>
  </si>
  <si>
    <t>532406-social-history-0-2</t>
  </si>
  <si>
    <t>No tobacco, EtOH, IVDU.</t>
  </si>
  <si>
    <t>532406-social-history-0-3</t>
  </si>
  <si>
    <t>Retired, formerly worked
   manufacturing and distributing batteries.</t>
  </si>
  <si>
    <t>532406-social-history-0-4</t>
  </si>
  <si>
    <t>He smoked cigars for [**2-1**]
   years and quit &gt;45 years ago.</t>
  </si>
  <si>
    <t>532406-social-history-0-5</t>
  </si>
  <si>
    <t>He has not smoked cigarettes.</t>
  </si>
  <si>
    <t>532406-social-history-0-6</t>
  </si>
  <si>
    <t>He does not
   drink alcohol on a regular basis.</t>
  </si>
  <si>
    <t>532406-social-history-0-7</t>
  </si>
  <si>
    <t>Denies IV, illicit, or herbal drug
   use.</t>
  </si>
  <si>
    <t>532406-flowsheet-data-vitals-0-0</t>
  </si>
  <si>
    <t>flowsheet-data-vitals</t>
  </si>
  <si>
    <t>Vital Signs
   Hemodynamic monitoring
   Fluid Balance
                                                                  24 hours
                                                               Since [**42**] AM
   Tmax: 32.9
C (91.2
   Tcurrent: 32.9
C (91.2
   HR: 65 (65 - 71) bpm
   BP: 96/63(70) {96/63(70) - 151/105(169)} mmHg
   RR: 13 (13 - 32) insp/min
   SpO2: 98%
   Heart rhythm: AF (Atrial Fibrillation)
             Total In:
             26 mL
   PO:
             TF:
   IVF:
   26 mL
   Blood products:
   Total out:
                                                                      0 mL
                                                                    400 mL
   Urine:
   NG:
   Stool:
   Drains:
   Balance:
                                                                      0 mL
                                                                   -375 mL
   Respiratory
   O2 Delivery Device: Nasal cannula
   SpO2: 98%</t>
  </si>
  <si>
    <t>532406-physical-examination-0-0</t>
  </si>
  <si>
    <t>physical-examination</t>
  </si>
  <si>
    <t>General: Alert, oriented, breathing heavily and appears in pain
   HEENT: Sclera anicteric, MMM
   Neck: supple, JVP 11 cm
   Lungs: Clear to auscultation bilaterally anteriorly but difficult to
   assess with much transmitted upper airway sounds, no wheezes, rales,
   ronchi
   CV: Irregularly irregular rhythm, normal rate, distant heart sounds, no
   murmurs, rubs, gallops
   Abdomen:  soft, non-tender, non-distended, bowel sounds present, no
   rebound tenderness or guarding
   GU: foley
   Ext: cool, 2+ DP pulses bilaterally, no clubbing.</t>
  </si>
  <si>
    <t>532406-physical-examination-0-1</t>
  </si>
  <si>
    <t>[**2-1**]+ pitting edema
   bilaterally; lower legs wrapped in ACE bandages.</t>
  </si>
  <si>
    <t>532406-physical-examination-0-2</t>
  </si>
  <si>
    <t>Multiple small
   ecchymoses on UE bilaterally.</t>
  </si>
  <si>
    <t>532406-physical-examination-0-3</t>
  </si>
  <si>
    <t>Left leg externally rotated and
   shortened, with ecchymosis noted on lateral hip area.</t>
  </si>
  <si>
    <t>532406-labs-imaging-0-0</t>
  </si>
  <si>
    <t>labs-imaging</t>
  </si>
  <si>
    <t>128 K/uL
   7.8 g/dL
   101 mEq/L
   5.1 mEq/L
   140 mEq/L
   22.8 %
   8.2 K/uL
        [image002.jpg]
                                  [**2136-12-31**]
                          2:33 A4/8/[**2140**]  08:20 PM
                                  [**2137-1-4**]
                                   10:20 P
                                  [**2137-1-5**]
                                   1:20 P
                                  [**2137-1-6**]
                                   11:50 P
                                  [**2137-1-7**]
                                   1:20 A
                                  [**2137-1-8**]
                                   7:20 P
                                  1//11/006
                                   1:23 P
                                  [**2137-1-31**]
                                   1:20 P
                                  [**2137-1-31**]
                                   11:20 P
                                  [**2137-1-31**]
                                   4:20 P
   WBC
                                     8.2
   Hct
                                    22.8
   Plt
                                     128
   Other labs: Lactic Acid:0.9 mmol/L, Mg++:2.1 mg/dL, PO4:5.0 mg/dL
   Micro: blood cx
 pending
   [**4-6**] CT Ab/pelvis w/o contrast: 1.</t>
  </si>
  <si>
    <t>532406-labs-imaging-0-1</t>
  </si>
  <si>
    <t>Left intertrochanteric hip fracture.</t>
  </si>
  <si>
    <t>532406-labs-imaging-0-2</t>
  </si>
  <si>
    <t>Large left adrenal mass, which is not characterized on non-contrast
   examination.</t>
  </si>
  <si>
    <t>532406-labs-imaging-0-3</t>
  </si>
  <si>
    <t>However, the imaging features are not consistent with an
   adrenal hematoma.</t>
  </si>
  <si>
    <t>532406-labs-imaging-0-4</t>
  </si>
  <si>
    <t>A nonurgent adrenal MR recommended for further
   characterization.</t>
  </si>
  <si>
    <t>532406-labs-imaging-0-5</t>
  </si>
  <si>
    <t>Cholelithiasis.</t>
  </si>
  <si>
    <t>532406-labs-imaging-0-6</t>
  </si>
  <si>
    <t>Atherosclerotic calcification
   of the abdominal aorta and its branches.</t>
  </si>
  <si>
    <t>532406-labs-imaging-0-7</t>
  </si>
  <si>
    <t>No evidence of
   retroperitoneal hematoma.</t>
  </si>
  <si>
    <t>532406-labs-imaging-0-8</t>
  </si>
  <si>
    <t>Prostatic enlargement.</t>
  </si>
  <si>
    <t>532406-labs-imaging-1-0</t>
  </si>
  <si>
    <t>532406-labs-imaging-2-0</t>
  </si>
  <si>
    <t>532406-labs-imaging-3-0</t>
  </si>
  <si>
    <t>532406-labs-imaging-4-0</t>
  </si>
  <si>
    <t xml:space="preserve">
   [**4-6**] CT C-spine w/o contrast - 1.</t>
  </si>
  <si>
    <t>532406-labs-imaging-4-1</t>
  </si>
  <si>
    <t>No fracture.</t>
  </si>
  <si>
    <t>532406-labs-imaging-4-2</t>
  </si>
  <si>
    <t>Multilevel
   degenerative change.</t>
  </si>
  <si>
    <t>532406-labs-imaging-4-3</t>
  </si>
  <si>
    <t>Grade I anterolisthesis of C7 on T1 and T1 on
   T2, presumably degenerative in nature.</t>
  </si>
  <si>
    <t>532406-labs-imaging-5-0</t>
  </si>
  <si>
    <t xml:space="preserve">
   [**4-6**] CT head w/o contrast - There is no hemorrhage, edema, mass effect,
   shift of midline structures, or evidence of major vascular territorial
   infarction.</t>
  </si>
  <si>
    <t>532406-labs-imaging-5-1</t>
  </si>
  <si>
    <t>There is no acute fracture.</t>
  </si>
  <si>
    <t>532406-labs-imaging-5-2</t>
  </si>
  <si>
    <t>There is prominence of
   ventricles and sulci consistent with age-related parenchymal
   involutional change.</t>
  </si>
  <si>
    <t>532406-labs-imaging-5-3</t>
  </si>
  <si>
    <t>There is periventricular hypodensity consistent
   with chronic small vessel ischemic change.</t>
  </si>
  <si>
    <t>532406-labs-imaging-5-4</t>
  </si>
  <si>
    <t>There is a subcentimeter
   right frontal sinus osteoma (2:16).</t>
  </si>
  <si>
    <t>532406-labs-imaging-6-0</t>
  </si>
  <si>
    <t xml:space="preserve">
   EKG: HR 60, QRS 134, QTc 494.</t>
  </si>
  <si>
    <t>532406-labs-imaging-6-1</t>
  </si>
  <si>
    <t>Atrial fibrillation.</t>
  </si>
  <si>
    <t>532406-labs-imaging-6-2</t>
  </si>
  <si>
    <t>RBBB.</t>
  </si>
  <si>
    <t>532406-labs-imaging-6-3</t>
  </si>
  <si>
    <t>ST depression
   in V3 (unchanged from previous comparison, [**2141-3-17**])</t>
  </si>
  <si>
    <t>532406-assessment-and-plan-0-0</t>
  </si>
  <si>
    <t>assessment-and-plan</t>
  </si>
  <si>
    <t>ICU Care
   Nutrition:
   Glycemic Control:
   Lines:
   18 Gauge - [**2141-4-6**] 08:30 PM
   Prophylaxis:
   DVT:
   Stress ulcer:
   VAP:
   Comments:
   Communication:  Comments:
   Code status:
   Disposition:</t>
  </si>
  <si>
    <t>532406-communication-0-0</t>
  </si>
  <si>
    <t>communication</t>
  </si>
  <si>
    <t>Patient, wife [**Name (NI) **] [**Name (NI) 14481**] [</t>
  </si>
  <si>
    <t>532406-code-status-0-0</t>
  </si>
  <si>
    <t>code-status</t>
  </si>
  <si>
    <t>Full code for acute situations and OR but does not wish to be
   chronically vented (discussed with patient and wife)</t>
  </si>
  <si>
    <t>532406-disposition-0-0</t>
  </si>
  <si>
    <t>disposition</t>
  </si>
  <si>
    <t>ICU pending clinical i</t>
  </si>
  <si>
    <t>532411-chief-complaint-0-0</t>
  </si>
  <si>
    <t>532411-history-of-present-illness-0-0</t>
  </si>
  <si>
    <t>532411-history-of-present-illness-0-1</t>
  </si>
  <si>
    <t>532411-history-of-present-illness-0-2</t>
  </si>
  <si>
    <t>532411-history-of-present-illness-0-3</t>
  </si>
  <si>
    <t>532411-history-of-present-illness-0-4</t>
  </si>
  <si>
    <t>532411-history-of-present-illness-0-5</t>
  </si>
  <si>
    <t>532411-history-of-present-illness-0-6</t>
  </si>
  <si>
    <t>532411-history-of-present-illness-1-0</t>
  </si>
  <si>
    <t>532411-history-of-present-illness-1-1</t>
  </si>
  <si>
    <t>532411-history-of-present-illness-1-2</t>
  </si>
  <si>
    <t>532411-history-of-present-illness-1-3</t>
  </si>
  <si>
    <t>532411-history-of-present-illness-1-4</t>
  </si>
  <si>
    <t>532411-history-of-present-illness-2-0</t>
  </si>
  <si>
    <t>532411-history-of-present-illness-2-1</t>
  </si>
  <si>
    <t>532411-history-of-present-illness-2-2</t>
  </si>
  <si>
    <t>532411-history-of-present-illness-2-3</t>
  </si>
  <si>
    <t>532411-history-of-present-illness-2-4</t>
  </si>
  <si>
    <t>532411-history-of-present-illness-2-5</t>
  </si>
  <si>
    <t>532411-history-of-present-illness-2-6</t>
  </si>
  <si>
    <t>532411-history-of-present-illness-2-7</t>
  </si>
  <si>
    <t>532411-history-of-present-illness-2-8</t>
  </si>
  <si>
    <t>532411-history-of-present-illness-3-0</t>
  </si>
  <si>
    <t>532411-history-of-present-illness-4-0</t>
  </si>
  <si>
    <t>532411-history-of-present-illness-4-1</t>
  </si>
  <si>
    <t>532411-history-of-present-illness-4-2</t>
  </si>
  <si>
    <t>532411-allergies-0-0</t>
  </si>
  <si>
    <t>Quinidine fever;
   Propranolol Aggitation;
   Zolpidem
   Coumadin
 GIB
   Heparin
 HIT positive, serotonin assay negative, thrombocytopenic on
   [**2141-3-17**] a</t>
  </si>
  <si>
    <t>532411-last-dose-of-antibiotics-0-0</t>
  </si>
  <si>
    <t>last-dose-of-antibiotics</t>
  </si>
  <si>
    <t>Levofloxacin in E</t>
  </si>
  <si>
    <t>532411-other-medications-0-0</t>
  </si>
  <si>
    <t>532411-other-medications-0-1</t>
  </si>
  <si>
    <t>532411-other-medications-0-2</t>
  </si>
  <si>
    <t>532411-other-medications-0-3</t>
  </si>
  <si>
    <t>532411-past-medical-history-0-0</t>
  </si>
  <si>
    <t>532411-past-medical-history-0-1</t>
  </si>
  <si>
    <t>532411-past-medical-history-0-2</t>
  </si>
  <si>
    <t>532411-past-medical-history-0-3</t>
  </si>
  <si>
    <t>532411-past-medical-history-0-4</t>
  </si>
  <si>
    <t>532411-past-medical-history-0-5</t>
  </si>
  <si>
    <t>532411-past-medical-history-1-0</t>
  </si>
  <si>
    <t>532411-past-medical-history-2-0</t>
  </si>
  <si>
    <t>532411-past-medical-history-2-1</t>
  </si>
  <si>
    <t>532411-past-medical-history-3-0</t>
  </si>
  <si>
    <t>532411-past-medical-history-4-0</t>
  </si>
  <si>
    <t>532411-past-medical-history-4-1</t>
  </si>
  <si>
    <t>532411-past-medical-history-4-2</t>
  </si>
  <si>
    <t>532411-past-medical-history-4-3</t>
  </si>
  <si>
    <t>532411-past-medical-history-4-4</t>
  </si>
  <si>
    <t>532411-past-medical-history-4-5</t>
  </si>
  <si>
    <t>532411-past-medical-history-4-6</t>
  </si>
  <si>
    <t>532411-family-history-0-0</t>
  </si>
  <si>
    <t>532411-family-history-0-1</t>
  </si>
  <si>
    <t>532411-family-history-0-2</t>
  </si>
  <si>
    <t>532411-family-history-0-3</t>
  </si>
  <si>
    <t>532411-family-history-0-4</t>
  </si>
  <si>
    <t>532411-social-history-0-0</t>
  </si>
  <si>
    <t>532411-social-history-0-1</t>
  </si>
  <si>
    <t>532411-social-history-0-2</t>
  </si>
  <si>
    <t>532411-social-history-0-3</t>
  </si>
  <si>
    <t>532411-social-history-0-4</t>
  </si>
  <si>
    <t>532411-social-history-0-5</t>
  </si>
  <si>
    <t>532411-social-history-0-6</t>
  </si>
  <si>
    <t>532411-social-history-0-7</t>
  </si>
  <si>
    <t>532411-flowsheet-data-vitals-0-0</t>
  </si>
  <si>
    <t>532411-physical-examination-0-0</t>
  </si>
  <si>
    <t>532411-physical-examination-0-1</t>
  </si>
  <si>
    <t>532411-physical-examination-0-2</t>
  </si>
  <si>
    <t>532411-physical-examination-0-3</t>
  </si>
  <si>
    <t>532411-labs-imaging-0-0</t>
  </si>
  <si>
    <t>532411-labs-imaging-0-1</t>
  </si>
  <si>
    <t>532411-labs-imaging-0-2</t>
  </si>
  <si>
    <t>532411-labs-imaging-0-3</t>
  </si>
  <si>
    <t>532411-labs-imaging-0-4</t>
  </si>
  <si>
    <t>532411-labs-imaging-0-5</t>
  </si>
  <si>
    <t>532411-labs-imaging-0-6</t>
  </si>
  <si>
    <t>532411-labs-imaging-0-7</t>
  </si>
  <si>
    <t>532411-labs-imaging-0-8</t>
  </si>
  <si>
    <t>532411-labs-imaging-1-0</t>
  </si>
  <si>
    <t>532411-labs-imaging-2-0</t>
  </si>
  <si>
    <t>532411-labs-imaging-3-0</t>
  </si>
  <si>
    <t>532411-labs-imaging-4-0</t>
  </si>
  <si>
    <t>532411-labs-imaging-4-1</t>
  </si>
  <si>
    <t>532411-labs-imaging-4-2</t>
  </si>
  <si>
    <t>532411-labs-imaging-4-3</t>
  </si>
  <si>
    <t>532411-labs-imaging-5-0</t>
  </si>
  <si>
    <t>532411-labs-imaging-5-1</t>
  </si>
  <si>
    <t>532411-labs-imaging-5-2</t>
  </si>
  <si>
    <t>532411-labs-imaging-5-3</t>
  </si>
  <si>
    <t>532411-labs-imaging-5-4</t>
  </si>
  <si>
    <t>532411-labs-imaging-6-0</t>
  </si>
  <si>
    <t>532411-labs-imaging-6-1</t>
  </si>
  <si>
    <t>532411-labs-imaging-6-2</t>
  </si>
  <si>
    <t>532411-labs-imaging-6-3</t>
  </si>
  <si>
    <t>532411-assessment-and-plan-0-0</t>
  </si>
  <si>
    <t>532411-communication-0-0</t>
  </si>
  <si>
    <t>532411-code-status-0-0</t>
  </si>
  <si>
    <t>532411-disposition-0-0</t>
  </si>
  <si>
    <t>532481-chief-complaint-0-0</t>
  </si>
  <si>
    <t>Consult</t>
  </si>
  <si>
    <t>Patient is seen in consultation today at the request
   of Dr. [**Last Name (STitle) 775**].</t>
  </si>
  <si>
    <t>532481-chief-complaint-0-1</t>
  </si>
  <si>
    <t>We are asked to give consultative advice regarding
   evaluation and management of pre-operative assessment.</t>
  </si>
  <si>
    <t>532481-history-of-present-illness-0-0</t>
  </si>
  <si>
    <t>87M HTN, diastolic CHF (EF 65% 1/10), AFib not on Coumadin, and mild
   AS, Stage IV CKD, multiple admissions in the recent past including GI
   bleed/melena, epistaxis, and iliopsoas hemorrhage on coumadin with
   supratherapeutic INR, CHF exacerbations, CDiff colitis, who had several
   falls at his nursing home in the past few days, and now presents with a
   left intertrochanteric hip fracture, needing cardiology evaluation
   prior to surgical correction.</t>
  </si>
  <si>
    <t>532481-history-of-present-illness-0-1</t>
  </si>
  <si>
    <t xml:space="preserve"> Per reports, he was in his usual state
   of health, when he was reaching onto a shelf for batteries when he
   turned too quickly and twisted his left foot under him, falling on his
   left side and left arm.</t>
  </si>
  <si>
    <t>532481-history-of-present-illness-0-2</t>
  </si>
  <si>
    <t xml:space="preserve"> He was found on exam to have his left hip
   externally rotated and shortened.</t>
  </si>
  <si>
    <t>532481-history-of-present-illness-0-3</t>
  </si>
  <si>
    <t xml:space="preserve"> He had no other complaints and
   denied loss of consciousness or hitting his head on the fall.</t>
  </si>
  <si>
    <t>532481-history-of-present-illness-0-4</t>
  </si>
  <si>
    <t>He was
   treated with high dose narcotics for pain control, and was found to
   have somewhat low blood pressures in the ED, which were treated with
   IVFs and transfer to the MICU.</t>
  </si>
  <si>
    <t>532481-history-of-present-illness-0-5</t>
  </si>
  <si>
    <t xml:space="preserve"> He is currently planned for surgical
   repair later today.</t>
  </si>
  <si>
    <t>532481-history-of-present-illness-0-6</t>
  </si>
  <si>
    <t xml:space="preserve"> Primary cardiologist is Dr.</t>
  </si>
  <si>
    <t>532481-history-of-present-illness-0-7</t>
  </si>
  <si>
    <t>[**First Name8 (NamePattern2) **] [**Last Name (NamePattern1) 3014**].</t>
  </si>
  <si>
    <t>532481-history-of-present-illness-0-8</t>
  </si>
  <si>
    <t xml:space="preserve">
   On cardiac review of symptoms, prior to the event, the patient denies
   any chest pain or anginal equivalent, shortness of breath, dysnpea on
   exertion, orthopnea, PND, palpitations, syncope or presyncope, or
   claudication-type symptoms.</t>
  </si>
  <si>
    <t>532481-past-medical-history-0-0</t>
  </si>
  <si>
    <t>-Congestive heart failure with preserved LVEF (65% 1/10) --&gt; per
   DCS from [**2-8**], thought to have left HF leading to right HF
   without primary pulm HTN
   -Chronic Atrial fibrillation, not on warfarin given recent UGIB
   ([**2-8**])
   -Mild aortic stenosis (peak 25 mmHg [**11-6**])
   -Pulmonary artery hypertension (30mmHg + RA [**11-6**])
   -Mild mitral regurgitation
   -Moderate tricuspid regurgitation
   -Mild aortic insufficiency
   -Mild ascending aortic dilatation (3.7 cm)
   -Left ventricular hypertrophy
   -Prostate enlargement (followed by Dr.</t>
  </si>
  <si>
    <t>532481-past-medical-history-0-1</t>
  </si>
  <si>
    <t>532481-past-medical-history-0-2</t>
  </si>
  <si>
    <t>[**Last Name (STitle) 14061**]
   [**Name (STitle) 14062**] hernia repair
   -Hemorrhoid repair
   -History of MRSA cellulitis ([**2-7**])
   -Chronic Renal Failure: Stage IV with eGFR of 24 ml/min (MDRD).</t>
  </si>
  <si>
    <t>532481-past-medical-history-0-3</t>
  </si>
  <si>
    <t xml:space="preserve">
   Recommend to check PTH every 3 months with target of 70-110
   Cardiac Risk Factors include dyslipidemia, hypertension, tobacco use.</t>
  </si>
  <si>
    <t>532481-medication-history-0-0</t>
  </si>
  <si>
    <t>medication-history</t>
  </si>
  <si>
    <t>Pantoprazole 40 mg Tablet, Delayed Release (E.C.) Sig: One
   (1) Tablet, Delayed Release (E.C.) PO twice a day.</t>
  </si>
  <si>
    <t>532481-medication-history-0-1</t>
  </si>
  <si>
    <t>Vancomycin 125 mg Capsule Sig: One (1) Capsule PO Q6H (every
   6 hours): Please taper:
   [**Date range (1) 14485**] 125mg Q6H;
   [**Date range (1) 14486**] 125mg Q12H;
   [**Date range (1) 7130**] 125mg daily;
   [**Date range (1) 14487**] 125mg; every other day
   [**Date range (1) 14488**] 125mg; every third day;
   then stop.</t>
  </si>
  <si>
    <t>532481-medication-history-0-2</t>
  </si>
  <si>
    <t>Ammonium Lactate 12 % Lotion Sig: One (1) Appl Topical [**Hospital1 7**] (2
   times a day).</t>
  </si>
  <si>
    <t>532481-medication-history-0-3</t>
  </si>
  <si>
    <t>Ipratropium Bromide 0.02 % Solution Sig: [**12-31**] Neb Inhalation
   Q6H (every 6 hours) as needed for SOB / Wheezing.</t>
  </si>
  <si>
    <t>532481-medication-history-0-4</t>
  </si>
  <si>
    <t>Torsemide 20 mg Tablet Sig: Two (2) Tablet PO BID (2 times a
   day): If weight &gt; 165lbs, increase to 80mg in the morning and
   40mg at night; if weight &lt; 145lbs, decrease torsemide to 40mg
   daily.</t>
  </si>
  <si>
    <t>532481-medication-history-0-5</t>
  </si>
  <si>
    <t>Spironolactone 25 mg Tablet Sig: One (1) Tablet PO DAILY
   (Daily).</t>
  </si>
  <si>
    <t>532481-medication-history-0-6</t>
  </si>
  <si>
    <t>Metoprolol Tartrate 25 mg Tablet Sig: 0.5 Tablet PO BID (2
   times a day).</t>
  </si>
  <si>
    <t>532481-medication-history-0-7</t>
  </si>
  <si>
    <t>Simvastatin 40 mg Tablet Sig: One (1) Tablet PO DAILY
   (Daily).</t>
  </si>
  <si>
    <t>532481-medication-history-0-8</t>
  </si>
  <si>
    <t>Cholecalciferol (Vitamin D3) 1,000 unit Tablet Sig: One (1)
   Tablet PO once a day.</t>
  </si>
  <si>
    <t>532481-medication-history-0-9</t>
  </si>
  <si>
    <t>Aspirin 81 mg Tablet Sig: One (1) Tablet PO once a day.</t>
  </si>
  <si>
    <t>532481-medication-history-0-10</t>
  </si>
  <si>
    <t>Acetaminophen 325 mg Tablet Sig: 1-2 Tablets PO Q6H (every 6
   hours) as needed for Pain / fever.</t>
  </si>
  <si>
    <t>532481-medication-history-0-11</t>
  </si>
  <si>
    <t>Sodium Chloride 0.9 % 0.9 % Syringe Sig: Ten (10) ML
   Injection PRN (as needed) as needed for line flush.</t>
  </si>
  <si>
    <t>532481-medication-history-0-12</t>
  </si>
  <si>
    <t>Dextromethorphan-Guaifenesin 10-100 mg/5 mL Syrup Sig: [**5-8**]
   MLs PO Q6H (every 6 hours) as needed for cough.</t>
  </si>
  <si>
    <t>532481-medication-history-0-13</t>
  </si>
  <si>
    <t>Potassium Chloride 20 mEq Packet Sig: [**1-2**] packets PO once a
   day as needed for h</t>
  </si>
  <si>
    <t>532481-current-medications-0-0</t>
  </si>
  <si>
    <t>current-medications</t>
  </si>
  <si>
    <t>Vancomycin Oral Liquid 125 mg PO/NG Once
   Metoprolol Tartrate 12.5 mg PO/NG [**Hospital1 7**]
   Vancomycin Oral Liquid 125 mg PO/NG Q6H
   Simvastatin 40 mg PO/NG DAILY
   Bowel meds
   Pantoprazole 40 mg PO Q24H
   Morphine Sulfate 1-2 mg IV Q4H:PRN pain
   Ipratropium Bromide Neb [**12-31**] NEB IH Q6H:PRN SOB/w</t>
  </si>
  <si>
    <t>532481-allergies-0-0</t>
  </si>
  <si>
    <t>Quinidine / Propranolol, heparin/coumadin given recent
   b</t>
  </si>
  <si>
    <t>532481-social-history-0-0</t>
  </si>
  <si>
    <t>Usually lives with wife, married for &gt;50yrs, currently at [**Hospital 328**]
   Rehab.</t>
  </si>
  <si>
    <t>532481-social-history-0-1</t>
  </si>
  <si>
    <t>532481-social-history-0-2</t>
  </si>
  <si>
    <t>532481-social-history-0-3</t>
  </si>
  <si>
    <t>Retired, formerly
   worked manufacturing and distributing batteries.</t>
  </si>
  <si>
    <t>532481-social-history-0-4</t>
  </si>
  <si>
    <t>He smoked
   cigars for 2-3 years and quit &gt;45 years ago.</t>
  </si>
  <si>
    <t>532481-social-history-0-5</t>
  </si>
  <si>
    <t>He has not smoked
   cigarettes.</t>
  </si>
  <si>
    <t>532481-social-history-0-6</t>
  </si>
  <si>
    <t>He does not drink alcohol on a regular basis.</t>
  </si>
  <si>
    <t>532481-social-history-0-7</t>
  </si>
  <si>
    <t>Denies
   IV, illicit, or herbal drug use.</t>
  </si>
  <si>
    <t>532481-family-history-0-0</t>
  </si>
  <si>
    <t>Parents are both deceased.</t>
  </si>
  <si>
    <t>532481-family-history-0-1</t>
  </si>
  <si>
    <t>Father (73 years; "heart" disease);
   Mother (48 years; stomach cancer).</t>
  </si>
  <si>
    <t>532481-family-history-0-2</t>
  </si>
  <si>
    <t>He has 2 siblings (80- breast
   cancer, brother with ? abdominal cancer).</t>
  </si>
  <si>
    <t>532481-family-history-0-3</t>
  </si>
  <si>
    <t>He has 3 children (55,
   53, 49 years; all well).</t>
  </si>
  <si>
    <t>532481-family-history-0-4</t>
  </si>
  <si>
    <t>532481-review-of-systems-0-0</t>
  </si>
  <si>
    <t>review-of-systems</t>
  </si>
  <si>
    <t>Constitutional: No fevers, chills, nightsweats, unintentional weight
   change, or fatigue.</t>
  </si>
  <si>
    <t>532481-review-of-systems-0-1</t>
  </si>
  <si>
    <t xml:space="preserve">
   Eyes: No blurry vision, double vision, or loss of vision.</t>
  </si>
  <si>
    <t>532481-review-of-systems-0-2</t>
  </si>
  <si>
    <t xml:space="preserve">
   ENT: No bleeding from the nose or gums, nasal drainage or discharge,
   dry mouth, or oral ulcers.</t>
  </si>
  <si>
    <t>532481-review-of-systems-0-3</t>
  </si>
  <si>
    <t xml:space="preserve">
   Heme/Lymph: History of bleeding on coumadin.</t>
  </si>
  <si>
    <t>532481-review-of-systems-0-4</t>
  </si>
  <si>
    <t>No recurrent infections.</t>
  </si>
  <si>
    <t>532481-review-of-systems-0-5</t>
  </si>
  <si>
    <t xml:space="preserve">
   Respiratory: No hemoptysis, wheezing, cough, or shortness of breath.</t>
  </si>
  <si>
    <t>532481-review-of-systems-0-6</t>
  </si>
  <si>
    <t xml:space="preserve">
   Gastrointestinal: No abdominal pain, diarrhea, constipation,
   hematochezia, melena, nausea, vomiting, or abdominal pain.</t>
  </si>
  <si>
    <t>532481-review-of-systems-0-7</t>
  </si>
  <si>
    <t xml:space="preserve">
   Integumentary: No rashes, petichiae, ecchymoses, or ulcers.</t>
  </si>
  <si>
    <t>532481-review-of-systems-0-8</t>
  </si>
  <si>
    <t xml:space="preserve">
   Allergic/Immunology: No allergic reactions or immunosuppression.</t>
  </si>
  <si>
    <t>532481-review-of-systems-0-9</t>
  </si>
  <si>
    <t xml:space="preserve">
   Psychiatric: No confusion, delusions, hallucinations, depression.</t>
  </si>
  <si>
    <t>532481-review-of-systems-0-10</t>
  </si>
  <si>
    <t xml:space="preserve">
   Genitourinary: No dysuria, hematuria, dark urine, cloudy urine.</t>
  </si>
  <si>
    <t>532481-review-of-systems-0-11</t>
  </si>
  <si>
    <t xml:space="preserve">
   Neurological: No numbness, tingling, loss of sensation, weakness,
   headache, or abnormal movements.</t>
  </si>
  <si>
    <t>532481-review-of-systems-0-12</t>
  </si>
  <si>
    <t xml:space="preserve">
   Musculoskeletal: Hip pain, currently treated with medication.</t>
  </si>
  <si>
    <t>532481-review-of-systems-0-13</t>
  </si>
  <si>
    <t xml:space="preserve">
   Endocrine: No excessive sweating, dry skin or hair, hot, or cold
   intolerance.</t>
  </si>
  <si>
    <t>532481-review-of-systems-0-14</t>
  </si>
  <si>
    <t>Pain: 0/10(Scale = 0 (none) to 10 (severe))
   ALL OTHER SYSTEMS NEGATIVE EXCEPT AS NOTED A</t>
  </si>
  <si>
    <t>532481-physical-examination-0-0</t>
  </si>
  <si>
    <t>Vitals: T: 94.3 degrees Farenheit, BP: 121/76  mmHg supine, HR 89 bpm,
   RR 20 bpm, O2: 96 % on 2LNC.</t>
  </si>
  <si>
    <t>532481-physical-examination-0-1</t>
  </si>
  <si>
    <t xml:space="preserve">
   CONSTITUTIONAL: Mildly sleepy, but arousable.</t>
  </si>
  <si>
    <t>532481-physical-examination-0-2</t>
  </si>
  <si>
    <t>No acute distress.</t>
  </si>
  <si>
    <t>532481-physical-examination-0-3</t>
  </si>
  <si>
    <t xml:space="preserve">
   EYES: No conjunctival pallor.</t>
  </si>
  <si>
    <t>532481-physical-examination-0-4</t>
  </si>
  <si>
    <t>No icterus.</t>
  </si>
  <si>
    <t>532481-physical-examination-0-5</t>
  </si>
  <si>
    <t xml:space="preserve">
   ENT/Mouth: MMM.</t>
  </si>
  <si>
    <t>532481-physical-examination-0-6</t>
  </si>
  <si>
    <t>OP clear.</t>
  </si>
  <si>
    <t>532481-physical-examination-0-7</t>
  </si>
  <si>
    <t xml:space="preserve">
   THYROID: No thyromegaly or thyroid nodules.</t>
  </si>
  <si>
    <t>532481-physical-examination-0-8</t>
  </si>
  <si>
    <t xml:space="preserve">
   CV: Nondisplaced PMI.</t>
  </si>
  <si>
    <t>532481-physical-examination-0-9</t>
  </si>
  <si>
    <t>Normal rate.</t>
  </si>
  <si>
    <t>532481-physical-examination-0-10</t>
  </si>
  <si>
    <t>irregular rhythm.</t>
  </si>
  <si>
    <t>532481-physical-examination-0-11</t>
  </si>
  <si>
    <t>nl S1, S2.</t>
  </si>
  <si>
    <t>532481-physical-examination-0-12</t>
  </si>
  <si>
    <t>No
   extra heart sounds appreciated.</t>
  </si>
  <si>
    <t>532481-physical-examination-0-13</t>
  </si>
  <si>
    <t>2/6 systolic ejection murmur at LUSB.</t>
  </si>
  <si>
    <t>532481-physical-examination-0-14</t>
  </si>
  <si>
    <t xml:space="preserve">
   No JVD.</t>
  </si>
  <si>
    <t>532481-physical-examination-0-15</t>
  </si>
  <si>
    <t>Normal carotid upstroke without bruits.</t>
  </si>
  <si>
    <t>532481-physical-examination-0-16</t>
  </si>
  <si>
    <t xml:space="preserve">
   LUNGS: Breath sounds bilaterally.</t>
  </si>
  <si>
    <t>532481-physical-examination-0-17</t>
  </si>
  <si>
    <t>No crackles, wheezes or rhonchi.</t>
  </si>
  <si>
    <t>532481-physical-examination-0-18</t>
  </si>
  <si>
    <t xml:space="preserve">
   GI: NABS.</t>
  </si>
  <si>
    <t>532481-physical-examination-0-19</t>
  </si>
  <si>
    <t>Soft, NT, ND.</t>
  </si>
  <si>
    <t>532481-physical-examination-0-20</t>
  </si>
  <si>
    <t xml:space="preserve"> No HSM.</t>
  </si>
  <si>
    <t>532481-physical-examination-0-21</t>
  </si>
  <si>
    <t>No abdominal bruits.</t>
  </si>
  <si>
    <t>532481-physical-examination-0-22</t>
  </si>
  <si>
    <t xml:space="preserve">
   MUSCULO: Tender L hip.</t>
  </si>
  <si>
    <t>532481-physical-examination-0-23</t>
  </si>
  <si>
    <t>Supple neck.</t>
  </si>
  <si>
    <t>532481-physical-examination-0-24</t>
  </si>
  <si>
    <t>Normal muscle tone.</t>
  </si>
  <si>
    <t>532481-physical-examination-0-25</t>
  </si>
  <si>
    <t>Limited exam.</t>
  </si>
  <si>
    <t>532481-physical-examination-0-26</t>
  </si>
  <si>
    <t xml:space="preserve">
   HEME/LYMPH: No palpable LAD.</t>
  </si>
  <si>
    <t>532481-physical-examination-0-27</t>
  </si>
  <si>
    <t>No peripheral edema.</t>
  </si>
  <si>
    <t>532481-physical-examination-0-28</t>
  </si>
  <si>
    <t xml:space="preserve"> Full distal pulses
   bilaterally.</t>
  </si>
  <si>
    <t>532481-physical-examination-0-29</t>
  </si>
  <si>
    <t xml:space="preserve">
   SKIN: Warm extremities.</t>
  </si>
  <si>
    <t>532481-physical-examination-0-30</t>
  </si>
  <si>
    <t>No rashes/lesions, ecchymoses.</t>
  </si>
  <si>
    <t>532481-physical-examination-0-31</t>
  </si>
  <si>
    <t xml:space="preserve">
   NEURO: A&amp;Ox3.</t>
  </si>
  <si>
    <t>532481-physical-examination-0-32</t>
  </si>
  <si>
    <t>Grossly normal without any significant focal deficits
   PSYCH: Mood and affect were appropriate.</t>
  </si>
  <si>
    <t>532481-labs-imaging-0-0</t>
  </si>
  <si>
    <t>Reviewed in O</t>
  </si>
  <si>
    <t>532481-assessment-and-plan-0-0</t>
  </si>
  <si>
    <t>532481-assessment-and-plan-0-1</t>
  </si>
  <si>
    <t xml:space="preserve"> The patient appears to have had good
   functional status prior to this event, with no cardiac symptoms
   limiting his mobility--walks several blocks with occupational therapy
   without stopping.</t>
  </si>
  <si>
    <t>532481-assessment-and-plan-0-2</t>
  </si>
  <si>
    <t xml:space="preserve"> Given his history of CHF with diastolic dysfunction,
   will certainly need to avoid volume overload in this patient.</t>
  </si>
  <si>
    <t>532481-assessment-and-plan-0-3</t>
  </si>
  <si>
    <t xml:space="preserve"> Will
   need close monitoring of volume status peri-operatively, appears
   euvolemic currently.</t>
  </si>
  <si>
    <t>532481-assessment-and-plan-0-4</t>
  </si>
  <si>
    <t xml:space="preserve"> Otherwise, he is an intermediate CV risk
   candidate for an intermediate risk, urgent non-cardiac procedure.</t>
  </si>
  <si>
    <t>532481-assessment-and-plan-0-5</t>
  </si>
  <si>
    <t>No
   further cardiac evaluation is necessary.</t>
  </si>
  <si>
    <t>532481-assessment-and-plan-0-6</t>
  </si>
  <si>
    <t>Continue statin and beta
   blocker peri-operatively.</t>
  </si>
  <si>
    <t>532481-assessment-and-plan-0-7</t>
  </si>
  <si>
    <t>Will update Dr. [**Last Name (STitle) 3014**].</t>
  </si>
  <si>
    <t>532481-assessment-and-plan-0-8</t>
  </si>
  <si>
    <t xml:space="preserve">
   The Assessment and Plan will be reviewed with Dr.</t>
  </si>
  <si>
    <t>532481-assessment-and-plan-0-9</t>
  </si>
  <si>
    <t>[**Last Name (STitle) 254**] in multi-
   disciplinary rounds.</t>
  </si>
  <si>
    <t>532481-assessment-and-plan-0-10</t>
  </si>
  <si>
    <t xml:space="preserve"> Please see his/her note in the [**Hospital 7382**] medical
   record for further comments and recommendations.</t>
  </si>
  <si>
    <t>532481-assessment-and-plan-0-11</t>
  </si>
  <si>
    <t xml:space="preserve"> Thank you for
   allowing us to participate in the care of this patient.</t>
  </si>
  <si>
    <t>532481-assessment-and-plan-0-12</t>
  </si>
  <si>
    <t>Please feel
   free to contact us with any questions or concerns.</t>
  </si>
  <si>
    <t>532899-allergies-0-0</t>
  </si>
  <si>
    <t>Quinidine
   fever;
   Propranolol
   Aggitation;
   Heparin Agents
   Thrombocytopeni
   Warfarin
   GI bleed;
   Zolpidem
   Unknown;</t>
  </si>
  <si>
    <t>532899-last-dose-of-antibiotics-0-0</t>
  </si>
  <si>
    <t>Cefazolin - [**2141-4-8**] 03:00 A</t>
  </si>
  <si>
    <t>532899-other-medications-0-0</t>
  </si>
  <si>
    <t>Morphine Sulfate - [**2141-4-9**] 03:38 AM
   Other medications:</t>
  </si>
  <si>
    <t>532899-past-medical-history-0-0</t>
  </si>
  <si>
    <t>N</t>
  </si>
  <si>
    <t>532899-review-of-systems-0-0</t>
  </si>
  <si>
    <t>532899-flowsheet-data-vitals-0-0</t>
  </si>
  <si>
    <t>as of  [**2141-4-9**] 07:35 AM
   Vital signs
   Hemodynamic monitoring
   Fluid balance
                                                                  24 hours
                                                               Since [**42**] AM
   Tmax: 36.6
C (97.9
   Tcurrent: 35.9
C (96.6
   HR: 82 (80 - 104) bpm
   BP: 107/70(79) {94/15(37) - 143/72(100)} mmHg
   RR: 21 (9 - 23) insp/min
   SpO2: 96%
   Heart rhythm: AF (Atrial Fibrillation)
                  Total In:
                                                                  2,042 mL
                                                                    150 mL
   PO:
                                                                    165 mL
                                                                    150 mL
   TF:
   IVF:
                                                                  1,527 mL
   Blood products:
                                                                    350 mL
   Total out:
                                                                    307 mL
                                                                    110 mL
   Urine:
                                                                    307 mL
                                                                    110 mL
   NG:
   Stool:
   Drains:
   Balance:
                                                                  1,735 mL
                                                                     40 mL
   Respiratory support
   O2 Delivery Device: Nasal cannula
   SpO2: 96%</t>
  </si>
  <si>
    <t>532899-physical-examination-0-0</t>
  </si>
  <si>
    <t>General: Alert, oriented, NAD
   HEENT: Sclera anicteric, MMM
   Neck: supple, JVP 11 cm
   Lungs: Clear to auscultation bilaterally anteriorly, no wheezes, rales,
   ronchi
   CV: Irregularly irregular rhythm, normal rate, distant heart sounds, no
   murmurs, rubs, gallops
   ABD:  soft, non-tender, non-distended, bowel sounds present, no rebound
   tenderness or guarding
   GU: foley
   Ext: left hip dressing c/d/I.</t>
  </si>
  <si>
    <t>532899-physical-examination-0-1</t>
  </si>
  <si>
    <t xml:space="preserve"> Normal sensation and distal pulses.</t>
  </si>
  <si>
    <t>532899-labs-imaging-0-0</t>
  </si>
  <si>
    <t>121 K/uL
   8.7 g/dL
   65 mg/dL
   3.9 mg/dL
   24 mEq/L
   5.3 mEq/L
   69 mg/dL
   106 mEq/L
   144 mEq/L
   25.4 %
   8.0 K/uL
        [image002.jpg]
                             [**2141-4-6**]  08:20 PM
                             [**2141-4-7**]  04:57 AM
                             [**2141-4-7**]  12:45 PM
                             [**2141-4-7**]  04:12 PM
                             [**2141-4-7**]  05:30 PM
                             [**2141-4-7**]  11:17 PM
                             [**2141-4-8**]  02:48 AM
                             [**2141-4-8**]  02:09 PM
                             [**2141-4-8**]  08:46 PM
                             [**2141-4-9**]  02:57 AM
   WBC
   8.2
   5.9
   9.5
   7.7
   8.0
   Hct
   22.8
   29.7
   26.1
   32
   28.0
   25.5
   24.2
   23.2
   25.0
   25.4
   Plt
   128
   110
   131
   127
   121
   Cr
   2.4
   2.9
   3.2
   3.6
   3.9
   TCO2
   25
   Glucose
   106
   60
   78
   71
   67
   65
   Other labs: PT / PTT / INR:16.0/40.0/1.4, Lactic Acid:1.7 mmol/L,
   Ca++:8.5 mg/dL, Mg++:2.0 mg/dL, PO4:6.3 mg/d</t>
  </si>
  <si>
    <t>532899-assessment-and-plan-0-0</t>
  </si>
  <si>
    <t>Comments:</t>
  </si>
  <si>
    <t>532899-code-status-0-0</t>
  </si>
  <si>
    <t>Full c</t>
  </si>
  <si>
    <t>532483-24-hour-events-0-0</t>
  </si>
  <si>
    <t>24-hour-events</t>
  </si>
  <si>
    <t>- Patient transfused 2 units pRBCs at MN and 3am.</t>
  </si>
  <si>
    <t>532483-24-hour-events-0-1</t>
  </si>
  <si>
    <t>- K 7.3 at 5am; repeat K p</t>
  </si>
  <si>
    <t>532483-allergies-0-0</t>
  </si>
  <si>
    <t>532483-other-medications-0-0</t>
  </si>
  <si>
    <t>Morphine Sulfate - [**2141-4-6**] 09:30 PM
   Other medications:</t>
  </si>
  <si>
    <t>532483-past-medical-history-0-0</t>
  </si>
  <si>
    <t>n</t>
  </si>
  <si>
    <t>532483-review-of-systems-0-0</t>
  </si>
  <si>
    <t>532483-labs-imaging-0-0</t>
  </si>
  <si>
    <t>110 K/uL
   10.3 g/dL
   106 mg/dL
   2.4 mg/dL
   24 mEq/L
   7.3 mEq/L
   56 mg/dL
   101 mEq/L
   139 mEq/L
   29.7 %
   5.9 K/uL
        [image002.jpg]
                             [**2141-4-6**]  08:20 PM
                             [**2141-4-7**]  04:57 AM
   WBC
   8.2
   5.9
   Hct
   22.8
   29.7
   Plt
   128
   110
   Cr
   2.4
   Glucose
   106
   Other labs: PT / PTT / INR:13.6/32.2/1.2, Lactic Acid:0.9 mmol/L,
   Ca++:8.5 mg/dL, Mg++:2.1 mg/dL, PO4:6.8 mg/dL
   Cortisol 26.4
   UA hazy pink 1.008, lg blood, neg nitrite, neg leuk pH 6.5; sed 388 R,
   0 W, no bact/yeast, 2 hyaline casts
   Urine lytes: 10pm -= BUN 323, Cr 26, Na 78 (at 3pm serum levels 140 /
   65 / 2.7) = FEUN 51.6%, FeNa 5%
   Blood cx X2 pending; urine legionella negative; urine culture pending
   [**4-7**] CXR - u</t>
  </si>
  <si>
    <t>532483-physical-examination-0-0</t>
  </si>
  <si>
    <t>Extremities: 1+ DP bilaterally; extremities warm; 2+ pitting edema
   bilaterally.</t>
  </si>
  <si>
    <t>532483-physical-examination-0-1</t>
  </si>
  <si>
    <t>Signs of chronic venous insufficiency present bilaterally.</t>
  </si>
  <si>
    <t>532483-physical-examination-0-2</t>
  </si>
  <si>
    <t xml:space="preserve">
   Left leg wrapped in ACE; no pneumoboots present.</t>
  </si>
  <si>
    <t>532483-physical-examination-0-3</t>
  </si>
  <si>
    <t xml:space="preserve">
   Skin:  Multiple ecchymoses on arms bilaterally
   Neurologic: Alert and oriented, maintains closed eyes throughout much
   of the conversation.</t>
  </si>
  <si>
    <t>532483-physical-examination-0-4</t>
  </si>
  <si>
    <t>Intention tremor present (baseline)
   CV: Irregularly irregular rhythm, normal rate, no murmur/rub/gallop
   Pulm: rhonchorous breath sounds present bilaterally, otherwise clear
   Ab: Generally soft but mildly firm in RLQ&gt;LLQ, BS present, non-t</t>
  </si>
  <si>
    <t>532483-assessment-and-plan-0-0</t>
  </si>
  <si>
    <t>ICU Care
   Nutrition:
   Glycemic Control:
   Lines:
   18 Gauge - [**2141-4-6**] 08:30 PM
   Prophylaxis:
   DVT:
   Stress ulcer:
   VAP:
   Comments:
   Communication:  Comments:
   Code status: Full code
   Disposition:</t>
  </si>
  <si>
    <t>532483-communication-0-0</t>
  </si>
  <si>
    <t>Patient, wife [**Name (NI) **] [**Name (NI) 14060**] [</t>
  </si>
  <si>
    <t>532483-code-status-0-0</t>
  </si>
  <si>
    <t>532483-disposition-0-0</t>
  </si>
  <si>
    <t>532409-chief-complaint-0-0</t>
  </si>
  <si>
    <t>532409-history-of-present-illness-0-0</t>
  </si>
  <si>
    <t>532409-history-of-present-illness-0-1</t>
  </si>
  <si>
    <t>532409-history-of-present-illness-0-2</t>
  </si>
  <si>
    <t>532409-history-of-present-illness-0-3</t>
  </si>
  <si>
    <t>532409-history-of-present-illness-0-4</t>
  </si>
  <si>
    <t>532409-history-of-present-illness-0-5</t>
  </si>
  <si>
    <t>532409-history-of-present-illness-0-6</t>
  </si>
  <si>
    <t>532409-history-of-present-illness-1-0</t>
  </si>
  <si>
    <t>532409-history-of-present-illness-1-1</t>
  </si>
  <si>
    <t>532409-history-of-present-illness-1-2</t>
  </si>
  <si>
    <t>532409-history-of-present-illness-1-3</t>
  </si>
  <si>
    <t>532409-history-of-present-illness-1-4</t>
  </si>
  <si>
    <t>532409-history-of-present-illness-2-0</t>
  </si>
  <si>
    <t>532409-history-of-present-illness-2-1</t>
  </si>
  <si>
    <t>532409-history-of-present-illness-2-2</t>
  </si>
  <si>
    <t>532409-history-of-present-illness-2-3</t>
  </si>
  <si>
    <t>532409-history-of-present-illness-2-4</t>
  </si>
  <si>
    <t>532409-history-of-present-illness-2-5</t>
  </si>
  <si>
    <t>532409-history-of-present-illness-2-6</t>
  </si>
  <si>
    <t>532409-history-of-present-illness-2-7</t>
  </si>
  <si>
    <t>532409-history-of-present-illness-2-8</t>
  </si>
  <si>
    <t>532409-history-of-present-illness-3-0</t>
  </si>
  <si>
    <t>532409-history-of-present-illness-4-0</t>
  </si>
  <si>
    <t>532409-history-of-present-illness-4-1</t>
  </si>
  <si>
    <t>532409-history-of-present-illness-4-2</t>
  </si>
  <si>
    <t>532409-allergies-0-0</t>
  </si>
  <si>
    <t>532409-other-medications-0-0</t>
  </si>
  <si>
    <t>532409-other-medications-0-1</t>
  </si>
  <si>
    <t>532409-other-medications-0-2</t>
  </si>
  <si>
    <t>532409-other-medications-0-3</t>
  </si>
  <si>
    <t>532409-past-medical-history-0-0</t>
  </si>
  <si>
    <t>532409-past-medical-history-0-1</t>
  </si>
  <si>
    <t>532409-past-medical-history-0-2</t>
  </si>
  <si>
    <t>532409-past-medical-history-0-3</t>
  </si>
  <si>
    <t>532409-past-medical-history-0-4</t>
  </si>
  <si>
    <t>532409-past-medical-history-0-5</t>
  </si>
  <si>
    <t>532409-past-medical-history-1-0</t>
  </si>
  <si>
    <t>532409-past-medical-history-2-0</t>
  </si>
  <si>
    <t>532409-past-medical-history-2-1</t>
  </si>
  <si>
    <t>532409-past-medical-history-3-0</t>
  </si>
  <si>
    <t>532409-past-medical-history-4-0</t>
  </si>
  <si>
    <t>532409-past-medical-history-4-1</t>
  </si>
  <si>
    <t>532409-past-medical-history-4-2</t>
  </si>
  <si>
    <t>532409-past-medical-history-4-3</t>
  </si>
  <si>
    <t>532409-past-medical-history-4-4</t>
  </si>
  <si>
    <t>532409-past-medical-history-4-5</t>
  </si>
  <si>
    <t>532409-past-medical-history-4-6</t>
  </si>
  <si>
    <t>532409-family-history-0-0</t>
  </si>
  <si>
    <t>532409-family-history-0-1</t>
  </si>
  <si>
    <t>532409-family-history-0-2</t>
  </si>
  <si>
    <t>532409-family-history-0-3</t>
  </si>
  <si>
    <t>532409-family-history-0-4</t>
  </si>
  <si>
    <t>532409-social-history-0-0</t>
  </si>
  <si>
    <t>532409-social-history-0-1</t>
  </si>
  <si>
    <t>532409-social-history-0-2</t>
  </si>
  <si>
    <t>532409-social-history-0-3</t>
  </si>
  <si>
    <t>532409-social-history-0-4</t>
  </si>
  <si>
    <t>532409-social-history-0-5</t>
  </si>
  <si>
    <t>532409-social-history-0-6</t>
  </si>
  <si>
    <t>532409-social-history-0-7</t>
  </si>
  <si>
    <t>532409-flowsheet-data-vitals-0-0</t>
  </si>
  <si>
    <t>532409-physical-examination-0-0</t>
  </si>
  <si>
    <t>532409-physical-examination-0-1</t>
  </si>
  <si>
    <t>532409-physical-examination-0-2</t>
  </si>
  <si>
    <t>532409-physical-examination-0-3</t>
  </si>
  <si>
    <t>532409-labs-imaging-0-0</t>
  </si>
  <si>
    <t>532409-labs-imaging-0-1</t>
  </si>
  <si>
    <t>532409-labs-imaging-0-2</t>
  </si>
  <si>
    <t>532409-labs-imaging-0-3</t>
  </si>
  <si>
    <t>532409-labs-imaging-0-4</t>
  </si>
  <si>
    <t>532409-labs-imaging-0-5</t>
  </si>
  <si>
    <t>532409-labs-imaging-0-6</t>
  </si>
  <si>
    <t>532409-labs-imaging-0-7</t>
  </si>
  <si>
    <t>532409-labs-imaging-0-8</t>
  </si>
  <si>
    <t>532409-labs-imaging-1-0</t>
  </si>
  <si>
    <t>532409-labs-imaging-2-0</t>
  </si>
  <si>
    <t>532409-labs-imaging-3-0</t>
  </si>
  <si>
    <t>532409-labs-imaging-4-0</t>
  </si>
  <si>
    <t>532409-labs-imaging-4-1</t>
  </si>
  <si>
    <t>532409-labs-imaging-4-2</t>
  </si>
  <si>
    <t>532409-labs-imaging-4-3</t>
  </si>
  <si>
    <t>532409-labs-imaging-5-0</t>
  </si>
  <si>
    <t>532409-labs-imaging-5-1</t>
  </si>
  <si>
    <t>532409-labs-imaging-5-2</t>
  </si>
  <si>
    <t>532409-labs-imaging-5-3</t>
  </si>
  <si>
    <t>532409-labs-imaging-5-4</t>
  </si>
  <si>
    <t>532409-labs-imaging-6-0</t>
  </si>
  <si>
    <t>532409-labs-imaging-6-1</t>
  </si>
  <si>
    <t>532409-labs-imaging-6-2</t>
  </si>
  <si>
    <t>532409-labs-imaging-6-3</t>
  </si>
  <si>
    <t>532409-assessment-and-plan-0-0</t>
  </si>
  <si>
    <t>532409-communication-0-0</t>
  </si>
  <si>
    <t>532409-code-status-0-0</t>
  </si>
  <si>
    <t>532409-disposition-0-0</t>
  </si>
  <si>
    <t>532473-24-hour-events-0-0</t>
  </si>
  <si>
    <t>532473-24-hour-events-0-1</t>
  </si>
  <si>
    <t>532473-allergies-0-0</t>
  </si>
  <si>
    <t>532473-other-medications-0-0</t>
  </si>
  <si>
    <t>532473-past-medical-history-0-0</t>
  </si>
  <si>
    <t>532473-review-of-systems-0-0</t>
  </si>
  <si>
    <t>532473-flowsheet-data-vitals-0-0</t>
  </si>
  <si>
    <t>Vital signs
   Hemodynamic monitoring
   Fluid balance
                                                                  24 hours
                                                               Since [**42**] AM
   Tmax: 34.2
C (93.6
   Tcurrent: 33.8
C (92.9
   HR: 72 (65 - 75) bpm
   BP: 92/63(51) {87/40(48) - 191/158(169)} mmHg
   RR: 19 (12 - 32) insp/min
   SpO2: 94%
   Heart rhythm: AF (Atrial Fibrillation)
           Total In:
                                                                     33 mL
                                                                    771 mL
   PO:
           TF:
   IVF:
                                                                     33 mL
                                                                     71 mL
   Blood products:
   700 mL
   Total out:
                                                                    400 mL
                                                                    680 mL
   Urine:
                                                                    100 mL
                                                                    680 mL
   NG:
   Stool:
   Drains:
   Balance:
                                                                   -367 mL
                                                                     91 mL
   Respiratory support
   O2 Delivery Device: Nasal cannula
   SpO2: 94%
   ABG: ///24/</t>
  </si>
  <si>
    <t>532473-physical-examination-0-0</t>
  </si>
  <si>
    <t>532473-physical-examination-0-1</t>
  </si>
  <si>
    <t>532473-physical-examination-0-2</t>
  </si>
  <si>
    <t>532473-physical-examination-0-3</t>
  </si>
  <si>
    <t>532473-physical-examination-0-4</t>
  </si>
  <si>
    <t>532473-labs-imaging-0-0</t>
  </si>
  <si>
    <t>532473-assessment-and-plan-0-0</t>
  </si>
  <si>
    <t>532473-communication-0-0</t>
  </si>
  <si>
    <t>532473-code-status-0-0</t>
  </si>
  <si>
    <t>532473-disposition-0-0</t>
  </si>
  <si>
    <t>532469-24-hour-events-0-0</t>
  </si>
  <si>
    <t>532469-24-hour-events-0-1</t>
  </si>
  <si>
    <t>532469-allergies-0-0</t>
  </si>
  <si>
    <t>532469-other-medications-0-0</t>
  </si>
  <si>
    <t>532469-past-medical-history-0-0</t>
  </si>
  <si>
    <t>532469-review-of-systems-0-0</t>
  </si>
  <si>
    <t>532469-flowsheet-data-vitals-0-0</t>
  </si>
  <si>
    <t>532469-physical-examination-0-0</t>
  </si>
  <si>
    <t>Peripheral Vascular: (Right radial pulse: Not assessed), (Left radial
   pulse: Not assessed), (Right DP pulse: Not assessed), (Left DP pulse:
   Not assessed)
   Skin:  Not assessed
   Neurologic: Responds to: Not assessed, Movement: Not assessed, Tone:
   Not a</t>
  </si>
  <si>
    <t>532469-labs-imaging-0-0</t>
  </si>
  <si>
    <t>532469-assessment-and-plan-0-0</t>
  </si>
  <si>
    <t>532469-communication-0-0</t>
  </si>
  <si>
    <t>532469-code-status-0-0</t>
  </si>
  <si>
    <t>532469-disposition-0-0</t>
  </si>
  <si>
    <t>532660-24-hour-events-0-0</t>
  </si>
  <si>
    <t>OR SENT - At [**2141-4-7**] 02:00 PM
 INVASIVE VENTILATION - START [**2141-4-7**] 04:55 PM
 INVASIVE VENTILATION - STOP [**2141-4-7**] 05:18 PM
 OR RECEIVED - At [**2141-4-7**] 06:00 PM
   [**2141-4-7**]:
   - Went to OR (ok'd per cards) for ORIF hip fracture with TFN
   - BP ok o/n SBP 100-130.</t>
  </si>
  <si>
    <t>532660-24-hour-events-0-1</t>
  </si>
  <si>
    <t xml:space="preserve"> Earlier in day given 1 unit pRBC for brief
   SBP 70s on neo (weaned off).</t>
  </si>
  <si>
    <t>532660-24-hour-events-0-2</t>
  </si>
  <si>
    <t>A line kept for blood draws.</t>
  </si>
  <si>
    <t>532660-24-hour-events-0-3</t>
  </si>
  <si>
    <t>- Hyperkalemic (likely hemolyzed) but repeat K 5</t>
  </si>
  <si>
    <t>532660-allergies-0-0</t>
  </si>
  <si>
    <t>532660-last-dose-of-antibiotics-0-0</t>
  </si>
  <si>
    <t>532660-other-medications-0-0</t>
  </si>
  <si>
    <t>Enoxaparin (Lovenox) - [**2141-4-7**] 10:00 PM
   Furosemide (Lasix) - [**2141-4-7**] 10:50 PM
   Morphine Sulfate - [**2141-4-8**] 02:00 AM
   Other medications:</t>
  </si>
  <si>
    <t>532660-flowsheet-data-vitals-0-0</t>
  </si>
  <si>
    <t>as of  [**2141-4-8**] 07:12 AM
   Vital signs
   Hemodynamic monitoring
   Fluid balance
                                                                  24 hours
                                                               Since [**42**] AM
   Tmax: 36.2
C (97.2
   Tcurrent: 36.2
C (97.1
   HR: 92 (68 - 116) bpm
   BP: 68/39(50) {62/37(46) - 82/50(61)} mmHg
   RR: 14 (11 - 20) insp/min
   SpO2: 97%
   Heart rhythm: AF (Atrial Fibrillation)
             Total In:
                                                                  1,990 mL
                                                                    122 mL
   PO:
             TF:
   IVF:
                                                                    940 mL
                                                                    122 mL
   Blood products:
                                                                  1,050 mL
   Total out:
                                                                  1,100 mL
                                                                    110 mL
   Urine:
                                                                  1,000 mL
                                                                    110 mL
   NG:
   Stool:
   Drains:
   Balance:
                                                                    890 mL
                                                                     12 mL
   Respiratory support
   O2 Delivery Device: Nasal cannula
   Ventilator mode: Standby
   Vt (Spontaneous): 515 (515 - 515) mL
   PS : 5 cmH2O
   RR (Spontaneous): 13
   PEEP: 5 cmH2O
   FiO2: 50%
   PIP: 10 cmH2O
   SpO2: 97%
   ABG: 7.35/44/73.[**Numeric Identifier 218**]/25/-1
   Ve: 6.3 L/min
   PaO2 / FiO2: 1</t>
  </si>
  <si>
    <t>532660-physical-examination-0-0</t>
  </si>
  <si>
    <t>General: Alert, oriented, NAD
   HEENT: Sclera anicteric, MMM
   Neck: supple, JVP 11 cm
   Lungs: Clear to auscultation bilaterally anteriorly, no wheezes, rales,
   ronchi
   CV: Irregularly irregular rhythm, normal rate, distant heart sounds, no
   murmurs, rubs, gallops
   ABD:  soft, non-tender, non-distended, bowel sounds present, no rebound
   tenderness or guarding
   GU: foley
   Ext:
   Neuro:</t>
  </si>
  <si>
    <t>532660-labs-imaging-0-0</t>
  </si>
  <si>
    <t>127 K/uL
   8.4 g/dL
   71 mg/dL
   3.2 mg/dL
   25 mEq/L
   5.2 mEq/L
   64 mg/dL
   107 mEq/L
   144 mEq/L
   24.2 %
   7.7 K/uL
        [image002.jpg]
                             [**2141-4-6**]  08:20 PM
                             [**2141-4-7**]  04:57 AM
                             [**2141-4-7**]  12:45 PM
                             [**2141-4-7**]  04:12 PM
                             [**2141-4-7**]  05:30 PM
                             [**2141-4-7**]  11:17 PM
                             [**2141-4-8**]  02:48 AM
   WBC
   8.2
   5.9
   9.5
   7.7
   Hct
   22.8
   29.7
   26.1
   32
   28.0
   25.5
   24.2
   Plt
   128
   110
   131
   127
   Cr
   2.4
   2.9
   3.2
   TCO2
   25
   Glucose
   106
   60
   78
   71
   Other labs: PT / PTT / INR:13.6/32.2/1.2,
   Lactic Acid:1.7 mmol/L,
    Ca++:8.7 mg/dL, Mg++:1.9 mg/dL, PO4:5.8 mg/dL
   MICRO:
   -urine legionella: negative
   - urine cx: ngtd
   - blood cx: ngtd
   CT ABDOMEN ([**4-6**]):
   1.</t>
  </si>
  <si>
    <t>532660-labs-imaging-0-1</t>
  </si>
  <si>
    <t>532660-labs-imaging-0-2</t>
  </si>
  <si>
    <t>532660-labs-imaging-0-3</t>
  </si>
  <si>
    <t>However, the imaging features are not consistent with an
   adrenal
   hematoma.</t>
  </si>
  <si>
    <t>532660-labs-imaging-0-4</t>
  </si>
  <si>
    <t>532660-labs-imaging-0-5</t>
  </si>
  <si>
    <t>532660-labs-imaging-0-6</t>
  </si>
  <si>
    <t>Atherosclerotic calcification of the abdominal aorta and its
   branches.</t>
  </si>
  <si>
    <t>532660-labs-imaging-0-7</t>
  </si>
  <si>
    <t>No evidence of retroperitoneal hematoma.</t>
  </si>
  <si>
    <t>532660-labs-imaging-0-8</t>
  </si>
  <si>
    <t>532660-assessment-and-plan-0-0</t>
  </si>
  <si>
    <t>532660-code-status-0-0</t>
  </si>
  <si>
    <t>532646-24-hour-events-0-0</t>
  </si>
  <si>
    <t>OR SENT - At [**2141-4-7**] 02:00 PM
 INVASIVE VENTILATION - START [**2141-4-7**] 04:55 PM
 INVASIVE VENTILATION - STOP [**2141-4-7**] 05:18 PM
 OR RECEIVED - At [**2141-4-7**] 06:00 PM
   /[**9-8**]:
   - Hyperkalemic (likely hemolyzed) but repeat K 5.7
   - Went to OR (ok'd per cards) for ORIF hip fracture with TFN (=
   trochanter femoral nail?) on the left
   - Given 1 unit pRBC for brief SBP 70s on neo (weaned off).</t>
  </si>
  <si>
    <t>532646-24-hour-events-0-1</t>
  </si>
  <si>
    <t>A line kept
   for blood draws.</t>
  </si>
  <si>
    <t>532646-allergies-0-0</t>
  </si>
  <si>
    <t>532646-last-dose-of-antibiotics-0-0</t>
  </si>
  <si>
    <t>532646-other-medications-0-0</t>
  </si>
  <si>
    <t>532646-flowsheet-data-vitals-0-0</t>
  </si>
  <si>
    <t>Vital signs
   Hemodynamic monitoring
   Fluid balance
                                                                  24 hours
                                                               Since [**42**] AM
   Tmax: 36.2
C (97.2
   Tcurrent: 36.2
C (97.1
   HR: 92 (68 - 116) bpm
   BP: 68/39(50) {62/37(46) - 82/50(61)} mmHg
   RR: 14 (11 - 20) insp/min
   SpO2: 97%
   Heart rhythm: AF (Atrial Fibrillation)
             Total In:
                                                                  1,990 mL
                                                                    122 mL
   PO:
             TF:
   IVF:
                                                                    940 mL
                                                                    122 mL
   Blood products:
                                                                  1,050 mL
   Total out:
                                                                  1,100 mL
                                                                    110 mL
   Urine:
                                                                  1,000 mL
                                                                    110 mL
   NG:
   Stool:
   Drains:
   Balance:
                                                                    890 mL
                                                                     12 mL
   Respiratory support
   O2 Delivery Device: Nasal cannula
   Ventilator mode: Standby
   Vt (Spontaneous): 515 (515 - 515) mL
   PS : 5 cmH2O
   RR (Spontaneous): 13
   PEEP: 5 cmH2O
   FiO2: 50%
   PIP: 10 cmH2O
   SpO2: 97%
   ABG: 7.35/44/73.</t>
  </si>
  <si>
    <t>532646-flowsheet-data-vitals-0-1</t>
  </si>
  <si>
    <t>[**Numeric Identifier 218**]/25/-1
   Ve: 6.3 L/min
   PaO2 / FiO2: 1</t>
  </si>
  <si>
    <t>532646-labs-imaging-0-0</t>
  </si>
  <si>
    <t>127 K/uL
   8.4 g/dL
   71 mg/dL
   3.2 mg/dL
   25 mEq/L
   5.2 mEq/L
   64 mg/dL
   107 mEq/L
   144 mEq/L
   24.2 %
   7.7 K/uL
        [image002.jpg]
                             [**2141-4-6**]  08:20 PM
                             [**2141-4-7**]  04:57 AM
                             [**2141-4-7**]  12:45 PM
                             [**2141-4-7**]  04:12 PM
                             [**2141-4-7**]  05:30 PM
                             [**2141-4-7**]  11:17 PM
                             [**2141-4-8**]  02:48 AM
   WBC
   8.2
   5.9
   9.5
   7.7
   Hct
   22.8
   29.7
   26.1
   32
   28.0
   25.5
   24.2
   Plt
   128
   110
   131
   127
   Cr
   2.4
   2.9
   3.2
   TCO2
   25
   Glucose
   106
   60
   78
   71
   Other labs: PT / PTT / INR:13.6/32.2/1.2, Lactic Acid:1.7 mmol/L,
   Ca++:8.7 mg/dL, Mg++:1.9 mg/dL, PO4:5.8 mg/d</t>
  </si>
  <si>
    <t>532646-assessment-and-plan-0-0</t>
  </si>
  <si>
    <t>RENAL FAILURE, ACUTE (ACUTE RENAL FAILURE, ARF)
 .</t>
  </si>
  <si>
    <t>532646-assessment-and-plan-0-1</t>
  </si>
  <si>
    <t>H/O ELECTROLYTE &amp; FLUID DISORDER, OTHER
 .</t>
  </si>
  <si>
    <t>532646-assessment-and-plan-0-2</t>
  </si>
  <si>
    <t>H/O PAIN CONTROL (ACUTE PAIN, CHRONIC PAIN)
 HIP FRACTURE (FEMORAL NECK FRACTURE, FEMUR)
 HYPOTENSION (NOT SHOCK)
   ICU Care
   Nutrition:
   Glycemic Control:
   Lines:
   18 Gauge - [**2141-4-6**] 08:30 PM
   Prophylaxis:
   DVT:
   Stress ulcer:
   VAP:
   Comments:
   Communication:  Comments:</t>
  </si>
  <si>
    <t>532646-code-status-0-0</t>
  </si>
  <si>
    <t>50371-allergies-0-0</t>
  </si>
  <si>
    <t>Discharge summary</t>
  </si>
  <si>
    <t>Quinidine / Propranolol / Heparin Agents / Warfarin / Z</t>
  </si>
  <si>
    <t>50371-chief-complaint-0-0</t>
  </si>
  <si>
    <t>hypotension, hip fracture, r</t>
  </si>
  <si>
    <t>50371-major-surgical-or-invasive-procedure-0-0</t>
  </si>
  <si>
    <t>major-surgical-or-invasive-procedure</t>
  </si>
  <si>
    <t>Left ORIF [</t>
  </si>
  <si>
    <t>50371-history-of-present-illness-0-0</t>
  </si>
  <si>
    <t>Mr. [**Known lastname **] is an 87 yo male with a history of diastolic CHF (EF
65% 1/10), AFib not on coumadin, mild AS, stage IV CKD, and HTN,
who presented from acute rehab after falling at his nursing
home.</t>
  </si>
  <si>
    <t>50371-history-of-present-illness-0-1</t>
  </si>
  <si>
    <t xml:space="preserve"> Yesterday he had been feeling well, walking with PT
(using a walker) and feeling well. Today he was reaching onto a
shelf for batteries when he turned too quickly and twisted his
left foot under him, falling on his left side and left arm.</t>
  </si>
  <si>
    <t>50371-history-of-present-illness-0-2</t>
  </si>
  <si>
    <t>He
was sent from rehab to the ED.</t>
  </si>
  <si>
    <t>50371-history-of-present-illness-0-3</t>
  </si>
  <si>
    <t xml:space="preserve"> On exam, his hip was externally
rotated and shortened.</t>
  </si>
  <si>
    <t>50371-history-of-present-illness-0-4</t>
  </si>
  <si>
    <t xml:space="preserve"> He had no other complaints and denied
loss of consciousness or hitting his head on the fall.</t>
  </si>
  <si>
    <t>50371-history-of-present-illness-0-5</t>
  </si>
  <si>
    <t xml:space="preserve"> Hct was
29.6 at rehab, Na 142, K 4.0, BUN 51, Creat 2.1, WBC 6.8, Plt
215.</t>
  </si>
  <si>
    <t>50371-history-of-present-illness-1-0</t>
  </si>
  <si>
    <t xml:space="preserve">
In the ED, triage vs were: T 96.3 P 60 BP 107/62 R 16 O2 sat 96%
on RA, but he was then found to have systolic BP of 83-90s on
exam.</t>
  </si>
  <si>
    <t>50371-history-of-present-illness-1-1</t>
  </si>
  <si>
    <t>He had good peripheral pulses.</t>
  </si>
  <si>
    <t>50371-history-of-present-illness-1-2</t>
  </si>
  <si>
    <t xml:space="preserve"> He was evaluated for
trauma and plain films of the left hip and femur were completed,
showing multiple comminuted fractures for which the patient
would need a THR.</t>
  </si>
  <si>
    <t>50371-history-of-present-illness-1-3</t>
  </si>
  <si>
    <t xml:space="preserve"> CT C-spine showed no fracture or
malalignment, and moderate multilevel degenerative change on
preliminary read.</t>
  </si>
  <si>
    <t>50371-history-of-present-illness-1-4</t>
  </si>
  <si>
    <t>CT head without contrast showed no fracture or
hemorrhage (preliminary read).</t>
  </si>
  <si>
    <t>50371-history-of-present-illness-2-0</t>
  </si>
  <si>
    <t xml:space="preserve">
The patient was given 1L IVF and fentanyl 100 mcg for pain.</t>
  </si>
  <si>
    <t>50371-history-of-present-illness-2-1</t>
  </si>
  <si>
    <t>His
SBPs persisted in the 80s/90s.</t>
  </si>
  <si>
    <t>50371-history-of-present-illness-2-2</t>
  </si>
  <si>
    <t>His Hct was found to be 24, down
[**4-3**] points.</t>
  </si>
  <si>
    <t>50371-history-of-present-illness-2-3</t>
  </si>
  <si>
    <t>CT ab/pelvis was performed in the setting of the Hct
drop, showing left hip intertrochanteric fracture, a large
retroperitoneal mass likely from left adrenal gland (non-urgent
MR recommended for further evaluation), and no retroperitoneal
hematoma on preliminary read.</t>
  </si>
  <si>
    <t>50371-history-of-present-illness-2-4</t>
  </si>
  <si>
    <t>He was found to be guaiac
negative.</t>
  </si>
  <si>
    <t>50371-history-of-present-illness-2-5</t>
  </si>
  <si>
    <t>He continued with HR in 60s and systolics in 90s,
received an additional 1L IVF (and a second liter was begun
prior to transfer), and was typed and crossed for 2 units pRBC.</t>
  </si>
  <si>
    <t>50371-history-of-present-illness-2-6</t>
  </si>
  <si>
    <t xml:space="preserve">
CXR showed a retrocardiac opacity and he was given levofloxacin
750 mg for empiric pneumonia coverage after a single blood
culture was drawn.</t>
  </si>
  <si>
    <t>50371-history-of-present-illness-2-7</t>
  </si>
  <si>
    <t>A Foley was placed.</t>
  </si>
  <si>
    <t>50371-history-of-present-illness-2-8</t>
  </si>
  <si>
    <t>Transfer vitals in the ED
were HR 64, RR19 100% on 4L (desatted after NS to low 90s),
88/48.</t>
  </si>
  <si>
    <t>50371-history-of-present-illness-3-0</t>
  </si>
  <si>
    <t xml:space="preserve">
The patient was admitted to the MICU, where initial vitals were
HR 69 BP 102/63-120/75, RR 32-20, SpO2 100% on 1L NC.</t>
  </si>
  <si>
    <t>50371-history-of-present-illness-4-0</t>
  </si>
  <si>
    <t xml:space="preserve">
On ROS, the patient denies any LOC, dizziness/lightheadedness,
recent diarrhea (though had diarrhea in prior admission).</t>
  </si>
  <si>
    <t>50371-history-of-present-illness-4-1</t>
  </si>
  <si>
    <t>+cough
with small amounts of yellowish sputum but not in past few days.</t>
  </si>
  <si>
    <t>50371-history-of-present-illness-4-2</t>
  </si>
  <si>
    <t xml:space="preserve">
No fevers.</t>
  </si>
  <si>
    <t>50371-past-medical-history-0-0</t>
  </si>
  <si>
    <t>-Congestive heart failure with preserved LVEF (65% 1/10) --&gt; per
DCS from [**2-8**], thought to have left HF leading to right HF
without primary pulm HTN
-Chronic Atrial fibrillation, not on warfarin given recent UGIB
([**2-8**])
-Pulmonary artery hypertension (30mmHg + RA [**11-6**])
-Mild MR, moderate TR, mild AI, mild AS (peak 25 mmHg [**11-6**])
-Mild ascending aortic dilatation (3.7 cm)
-Left ventricular hypertrophy
-Prostate enlargement (followed by Dr. [**Last Name (STitle) **] [**Last Name (STitle) 79**])
-Hypertension
-Hypercholesterolemia
-Severe essential tremor, since [**2076**] (WWII)
-Venous stasis, followed by Dr.</t>
  </si>
  <si>
    <t>50371-past-medical-history-0-1</t>
  </si>
  <si>
    <t>[**Last Name (STitle) **]
[**Name (STitle) 104985**] hernia repair
-Anemia, multifactorial (chronic illness, CKD, recent GIB)
-Hemorrhoid repair
-History of MRSA cellulitis ([**2-7**])
-Chronic Renal Failure [**1-31**] poor forward flow from CHF: Stage IV
with eGFR of 24 ml/min (MDRD).</t>
  </si>
  <si>
    <t>50371-past-medical-history-0-2</t>
  </si>
  <si>
    <t>50371-past-medical-history-0-3</t>
  </si>
  <si>
    <t>Recommend to check
PTH every 3 months with target of 70-110.</t>
  </si>
  <si>
    <t>50371-past-medical-history-0-4</t>
  </si>
  <si>
    <t xml:space="preserve">
-Left foot abscess s/p I&amp;D
-Multiple episodes of C.</t>
  </si>
  <si>
    <t>50371-past-medical-history-0-5</t>
  </si>
  <si>
    <t>50371-past-medical-history-1-0</t>
  </si>
  <si>
    <t>50371-past-medical-history-2-0</t>
  </si>
  <si>
    <t xml:space="preserve">
[**2141-1-31**] to [**2141-2-15**]
-- also for CHF exacerbation, given lasix ggt and metolazone
-- supratherapeutic INR on admission, complicated by epistaxis
and melena (GI followed but endoscopy was deferred)
-- C diff colitis treated with ?</t>
  </si>
  <si>
    <t>50371-past-medical-history-2-1</t>
  </si>
  <si>
    <t>50371-past-medical-history-3-0</t>
  </si>
  <si>
    <t>50371-past-medical-history-4-0</t>
  </si>
  <si>
    <t xml:space="preserve">
[**2141-3-17**] to [**2141-3-31**]
-- Sent in by rehab for sleepiness, low Hct, weight gain, cough.</t>
  </si>
  <si>
    <t>50371-past-medical-history-4-1</t>
  </si>
  <si>
    <t xml:space="preserve">
-- C.</t>
  </si>
  <si>
    <t>50371-past-medical-history-4-2</t>
  </si>
  <si>
    <t>Diff colitis
-- GIB (Guaiac positive, had been on coumadin until [**Month (only) 956**]
when had presumed UGIB requiring 1U pRBC); transfused for Hct
23.5 (but near baseline of 24)
-- Hypotension to the 70s systolic (baseline 90-100s)
-- CHF
-- UTI
-- Acute on chronic kidney disease
-- Pancytopenia: found to be HIT antibody positive but serotonin
assay negative so not likely HIT; nonetheless heparin products
were avoided.</t>
  </si>
  <si>
    <t>50371-past-medical-history-4-3</t>
  </si>
  <si>
    <t>Pancytopenia improved over hospital course;
thought to be infection related.</t>
  </si>
  <si>
    <t>50371-past-medical-history-4-4</t>
  </si>
  <si>
    <t xml:space="preserve">
-- Increased AP and GGT with elevated lipase and an abnormality
on ultrasound suggestive of a pancreatic mass.</t>
  </si>
  <si>
    <t>50371-past-medical-history-4-5</t>
  </si>
  <si>
    <t>GI was consulted
and recommended an outpatient MRCP.</t>
  </si>
  <si>
    <t>50371-social-history-0-0</t>
  </si>
  <si>
    <t>Usually lives with wife, married for &gt;50yrs, currently at [**Hospital 100**]
Rehab.</t>
  </si>
  <si>
    <t>50371-social-history-0-1</t>
  </si>
  <si>
    <t>50371-social-history-0-2</t>
  </si>
  <si>
    <t>50371-social-history-0-3</t>
  </si>
  <si>
    <t>Retired, formerly
worked manufacturing and distributing batteries.</t>
  </si>
  <si>
    <t>50371-social-history-0-4</t>
  </si>
  <si>
    <t>He smoked
cigars for 2-3 years and quit &gt;45 years ago.</t>
  </si>
  <si>
    <t>50371-social-history-0-5</t>
  </si>
  <si>
    <t>He has not smoked
cigarettes.</t>
  </si>
  <si>
    <t>50371-social-history-0-6</t>
  </si>
  <si>
    <t>50371-social-history-0-7</t>
  </si>
  <si>
    <t>Denies
IV, illicit, or herbal drug use.</t>
  </si>
  <si>
    <t>50371-family-history-0-0</t>
  </si>
  <si>
    <t>50371-family-history-0-1</t>
  </si>
  <si>
    <t>Father (73 years; "heart" disease);
Mother (48 years; stomach cancer).</t>
  </si>
  <si>
    <t>50371-family-history-0-2</t>
  </si>
  <si>
    <t>He has 2 siblings (80- breast
cancer, brother with ? abdominal cancer).</t>
  </si>
  <si>
    <t>50371-family-history-0-3</t>
  </si>
  <si>
    <t>He has 3 children (55,
53, 49 years; all well).</t>
  </si>
  <si>
    <t>50371-family-history-0-4</t>
  </si>
  <si>
    <t>A son [**Doctor Last Name **] has atrial fibrillation.</t>
  </si>
  <si>
    <t>50371-physical-examination-0-0</t>
  </si>
  <si>
    <t>T 91.2 (axillary) HR 69 BP 102/63-120/75, RR 32-20, SpO2 100% on
1L NC.</t>
  </si>
  <si>
    <t>50371-physical-examination-0-1</t>
  </si>
  <si>
    <t>Wt 167.</t>
  </si>
  <si>
    <t>50371-physical-examination-0-2</t>
  </si>
  <si>
    <t xml:space="preserve">
General: Alert, oriented, breathing heavily and appears in pain
HEENT: Sclera anicteric, MMM
Neck: supple, JVP 11 cm
Lungs: Clear to auscultation bilaterally anteriorly but
difficult to assess with much transmitted upper airway sounds,
no wheezes, rales, ronchi
CV: Irregularly irregular rhythm, normal rate, distant heart
sounds, no murmurs, rubs, gallops
Abdomen:  soft, non-tender, non-distended, bowel sounds present,
no rebound tenderness or guarding
GU: foley
Ext: cool, 2+ DP pulses bilaterally, no clubbing.</t>
  </si>
  <si>
    <t>50371-physical-examination-0-3</t>
  </si>
  <si>
    <t>[**2-1**]+ pitting
edema bilaterally; lower legs wrapped in ACE bandages.</t>
  </si>
  <si>
    <t>50371-physical-examination-0-4</t>
  </si>
  <si>
    <t>Multiple
small ecchymoses on UE bilaterally.</t>
  </si>
  <si>
    <t>50371-physical-examination-0-5</t>
  </si>
  <si>
    <t>Left leg externally rotated
and shortened, with ecchymosis noted on lateral hip area.</t>
  </si>
  <si>
    <t>50371-physical-examination-1-0</t>
  </si>
  <si>
    <t xml:space="preserve">
On discharge:
VSS, BPs in 80s-100s systolic.</t>
  </si>
  <si>
    <t>50371-physical-examination-1-1</t>
  </si>
  <si>
    <t xml:space="preserve"> Jaundiced with icteric sclera.</t>
  </si>
  <si>
    <t>50371-physical-examination-1-2</t>
  </si>
  <si>
    <t xml:space="preserve">
JVP at earlobe.</t>
  </si>
  <si>
    <t>50371-physical-examination-1-3</t>
  </si>
  <si>
    <t xml:space="preserve"> Lungs clear, irregular rate, LE edema improved,
surgical scar covered.</t>
  </si>
  <si>
    <t>50371-labs-imaging-0-0</t>
  </si>
  <si>
    <t>50371-labs-imaging-1-0</t>
  </si>
  <si>
    <t>50371-labs-imaging-2-0</t>
  </si>
  <si>
    <t>50371-labs-imaging-3-0</t>
  </si>
  <si>
    <t>50371-labs-imaging-4-0</t>
  </si>
  <si>
    <t xml:space="preserve">
Radiologic Studies:
[**4-6**] CT Ab/pelvis w/o contrast: 1.</t>
  </si>
  <si>
    <t>50371-labs-imaging-4-1</t>
  </si>
  <si>
    <t>Left intertrochanteric hip
fracture.</t>
  </si>
  <si>
    <t>50371-labs-imaging-4-2</t>
  </si>
  <si>
    <t>Large left adrenal mass, which is not
characterized on non-contrast examination.</t>
  </si>
  <si>
    <t>50371-labs-imaging-4-3</t>
  </si>
  <si>
    <t>However, the imaging
features are not consistent with an adrenal hematoma.</t>
  </si>
  <si>
    <t>50371-labs-imaging-4-4</t>
  </si>
  <si>
    <t>A
nonurgent adrenal MR recommended for further characterization.</t>
  </si>
  <si>
    <t>50371-labs-imaging-4-5</t>
  </si>
  <si>
    <t>50371-labs-imaging-4-6</t>
  </si>
  <si>
    <t>Atherosclerotic calcification of the
abdominal aorta and its branches.</t>
  </si>
  <si>
    <t>50371-labs-imaging-4-7</t>
  </si>
  <si>
    <t>No evidence of
retroperitoneal hematoma.</t>
  </si>
  <si>
    <t>50371-labs-imaging-4-8</t>
  </si>
  <si>
    <t>50371-labs-imaging-5-0</t>
  </si>
  <si>
    <t xml:space="preserve">
[**4-6**] Plain film hip - LEFT HIP, TWO VIEWS: There is a comminuted
and impacted intertrochanteric
fracture of the left femur with superior displacement of the
fracture
fragments and varus angulation of the femoral shaft.</t>
  </si>
  <si>
    <t>50371-labs-imaging-5-1</t>
  </si>
  <si>
    <t>The femoral
head remains
seated within the acetabulum.</t>
  </si>
  <si>
    <t>50371-labs-imaging-5-2</t>
  </si>
  <si>
    <t>The SI joints and right hip joint
remain
preserved.</t>
  </si>
  <si>
    <t>50371-labs-imaging-5-3</t>
  </si>
  <si>
    <t>There is no pubic symphysis diastasis.</t>
  </si>
  <si>
    <t>50371-labs-imaging-5-4</t>
  </si>
  <si>
    <t>The distal
left femur and
proximal tibia appear unremarkable without fracture or
malalignment.</t>
  </si>
  <si>
    <t>50371-labs-imaging-5-5</t>
  </si>
  <si>
    <t>A focal
sclerotic lesion projecting over the right acetabulum is
unchanged since at
least [**2139**].</t>
  </si>
  <si>
    <t>50371-labs-imaging-5-6</t>
  </si>
  <si>
    <t>Incidental note is made of vascular calcifications.</t>
  </si>
  <si>
    <t>50371-labs-imaging-6-0</t>
  </si>
  <si>
    <t xml:space="preserve">
IMPRESSION: Comminuted and impacted intertrochanteric fracture
of the left
femur.</t>
  </si>
  <si>
    <t>50371-labs-imaging-7-0</t>
  </si>
  <si>
    <t xml:space="preserve">
[**4-6**] CXR - CHEST, SINGLE VIEW: Evaluation is significantly
limited by patient rotation.</t>
  </si>
  <si>
    <t>50371-labs-imaging-7-1</t>
  </si>
  <si>
    <t xml:space="preserve">
Within that limitation, there is stable mild cardiomegaly with
likely tortuous
descending aorta.</t>
  </si>
  <si>
    <t>50371-labs-imaging-7-2</t>
  </si>
  <si>
    <t>Increased retrocardiac opacity likely
represents
atelectasis in the left lung base.</t>
  </si>
  <si>
    <t>50371-labs-imaging-7-3</t>
  </si>
  <si>
    <t>A small left pleural effusion
likely
persists.</t>
  </si>
  <si>
    <t>50371-labs-imaging-7-4</t>
  </si>
  <si>
    <t>The right lung appears clear.</t>
  </si>
  <si>
    <t>50371-labs-imaging-7-5</t>
  </si>
  <si>
    <t>There is no pneumothorax
or
pulmonary edema.</t>
  </si>
  <si>
    <t>50371-labs-imaging-7-6</t>
  </si>
  <si>
    <t>No acute displaced fracture is identified.</t>
  </si>
  <si>
    <t>50371-labs-imaging-8-0</t>
  </si>
  <si>
    <t xml:space="preserve">
IMPRESSION: Limited study demonstrates stable cardiomegaly with
likely
persistent left pleural effusion with basilar atelectasis.</t>
  </si>
  <si>
    <t>50371-labs-imaging-8-1</t>
  </si>
  <si>
    <t xml:space="preserve">
Concurrent
underlying infection cannot be excluded.</t>
  </si>
  <si>
    <t>50371-labs-imaging-8-2</t>
  </si>
  <si>
    <t>If clinically
indicated, repeat
study may be obtained with PA and lateral views and optimized
technique.</t>
  </si>
  <si>
    <t>50371-labs-imaging-9-0</t>
  </si>
  <si>
    <t xml:space="preserve">
[**4-6**] CT C-spine w/o contrast - 1.</t>
  </si>
  <si>
    <t>50371-labs-imaging-9-1</t>
  </si>
  <si>
    <t>50371-labs-imaging-9-2</t>
  </si>
  <si>
    <t>Multilevel
degenerative change.</t>
  </si>
  <si>
    <t>50371-labs-imaging-9-3</t>
  </si>
  <si>
    <t>Grade I anterolisthesis of C7 on T1 and
T1 on T2, presumably degenerative in nature.</t>
  </si>
  <si>
    <t>50371-labs-imaging-10-0</t>
  </si>
  <si>
    <t xml:space="preserve">
[**4-6**] CT head w/o contrast - There is no hemorrhage, edema, mass
effect, shift of midline structures, or evidence of major
vascular territorial infarction.</t>
  </si>
  <si>
    <t>50371-labs-imaging-10-1</t>
  </si>
  <si>
    <t>50371-labs-imaging-10-2</t>
  </si>
  <si>
    <t xml:space="preserve">
There is prominence of ventricles and sulci consistent with
age-related parenchymal involutional change.</t>
  </si>
  <si>
    <t>50371-labs-imaging-10-3</t>
  </si>
  <si>
    <t>There is
periventricular hypodensity consistent with chronic small vessel
ischemic change.</t>
  </si>
  <si>
    <t>50371-labs-imaging-10-4</t>
  </si>
  <si>
    <t>There is a subcentimeter right frontal sinus
osteoma (2:16).</t>
  </si>
  <si>
    <t>50371-labs-imaging-11-0</t>
  </si>
  <si>
    <t xml:space="preserve">
STUDY: Left humerus two views [**2141-4-8**].</t>
  </si>
  <si>
    <t>50371-labs-imaging-12-0</t>
  </si>
  <si>
    <t xml:space="preserve">
HISTORY: 87-year-old man with mechanical fall, now with shoulder
pain.</t>
  </si>
  <si>
    <t>50371-labs-imaging-12-1</t>
  </si>
  <si>
    <t xml:space="preserve">
Evaluate for fracture.</t>
  </si>
  <si>
    <t>50371-labs-imaging-13-0</t>
  </si>
  <si>
    <t xml:space="preserve">
FINDINGS: Two views of the left humerus demonstrate no fractures
or
dislocations.</t>
  </si>
  <si>
    <t>50371-labs-imaging-13-1</t>
  </si>
  <si>
    <t>Left shoulder and elbow joints are grossly intact
as well.</t>
  </si>
  <si>
    <t>50371-labs-imaging-13-2</t>
  </si>
  <si>
    <t>The
visualized left lung apex is clear.</t>
  </si>
  <si>
    <t>50371-labs-imaging-14-0</t>
  </si>
  <si>
    <t xml:space="preserve">
[**4-7**] CXR: Left lower lobe atelectasis or consolidation.</t>
  </si>
  <si>
    <t>50371-labs-imaging-14-1</t>
  </si>
  <si>
    <t xml:space="preserve">
Persistent
cardiomegaly and moderate left effusion.</t>
  </si>
  <si>
    <t>50371-labs-imaging-15-0</t>
  </si>
  <si>
    <t xml:space="preserve">
[**4-8**] CXR: There is cardiomegaly which is stable when compared to
the prior
study from [**2141-4-7**].</t>
  </si>
  <si>
    <t>50371-labs-imaging-15-1</t>
  </si>
  <si>
    <t>There is a left retrocardiac opacity,
which is
likely due to atelectasis or consolidation.</t>
  </si>
  <si>
    <t>50371-labs-imaging-15-2</t>
  </si>
  <si>
    <t>There is also a
small left-sided pleural effusion.</t>
  </si>
  <si>
    <t>50371-labs-imaging-15-3</t>
  </si>
  <si>
    <t>There are no signs for overt
pulmonary edema.</t>
  </si>
  <si>
    <t>50371-labs-imaging-15-4</t>
  </si>
  <si>
    <t>The right lung is grossly clear.</t>
  </si>
  <si>
    <t>50371-labs-imaging-15-5</t>
  </si>
  <si>
    <t>There is a
small right-sided pleural effusion that has developed in the
interim.</t>
  </si>
  <si>
    <t>50371-labs-imaging-16-0</t>
  </si>
  <si>
    <t xml:space="preserve">
[**2141-4-8**] Humerus AP and lat: Two views of the left humerus
demonstrate no fractures or dislocations.</t>
  </si>
  <si>
    <t>50371-labs-imaging-16-1</t>
  </si>
  <si>
    <t>Left shoulder and
elbow joints are grossly intact as well.</t>
  </si>
  <si>
    <t>50371-labs-imaging-16-2</t>
  </si>
  <si>
    <t>The visualized left
lung apex is clear.</t>
  </si>
  <si>
    <t>50371-labs-imaging-17-0</t>
  </si>
  <si>
    <t xml:space="preserve">
[**2141-4-9**]: renal US
1.</t>
  </si>
  <si>
    <t>50371-labs-imaging-17-1</t>
  </si>
  <si>
    <t>No evidence of hydronephrosis.</t>
  </si>
  <si>
    <t>50371-labs-imaging-17-2</t>
  </si>
  <si>
    <t>Left adrenal mass.</t>
  </si>
  <si>
    <t>50371-labs-imaging-17-3</t>
  </si>
  <si>
    <t>Recommend MRI for further evaluation.</t>
  </si>
  <si>
    <t>50371-labs-imaging-18-0</t>
  </si>
  <si>
    <t xml:space="preserve">
[**2141-4-12**] liver and gallbladder US
1.</t>
  </si>
  <si>
    <t>50371-labs-imaging-18-1</t>
  </si>
  <si>
    <t>Cholelithiasis with gallbladder sludge and mild gallbladder
wall
thickening as well as pericholecystic fluid.</t>
  </si>
  <si>
    <t>50371-labs-imaging-18-2</t>
  </si>
  <si>
    <t>All of these
findings were seen
on the prior CT from [**2141-4-6**].</t>
  </si>
  <si>
    <t>50371-labs-imaging-18-3</t>
  </si>
  <si>
    <t>The lack of son[**Name (NI) 493**] [**Name2 (NI) 515**]
sign suggests the GB findings as detailed are chronic.</t>
  </si>
  <si>
    <t>50371-labs-imaging-18-4</t>
  </si>
  <si>
    <t>If
needed, a HIDA scan may be performed to confirm.</t>
  </si>
  <si>
    <t>50371-labs-imaging-18-5</t>
  </si>
  <si>
    <t>Echogenic right kidney compatible with chronic medical renal
disease.</t>
  </si>
  <si>
    <t>50371-labs-imaging-19-0</t>
  </si>
  <si>
    <t>50371-labs-imaging-20-0</t>
  </si>
  <si>
    <t>CMV: p</t>
  </si>
  <si>
    <t>50371-hospital-course-0-0</t>
  </si>
  <si>
    <t>hospital-course</t>
  </si>
  <si>
    <t>Mr. [**Known lastname **] is an 87 yo male with a history of diastolic CHF (EF
65% 1/10), AFib not on coumadin, mild AS, stage IV CKD, and HTN,
who presents from acute rehab after falling at his nursing home
and was found to have a left intertrochanteric fracture
initially admitted to the MICU for hypotension, fracture
repaired, floor course complicated by renal failure, persistent
hypotension and hyperbilirubinemia.</t>
  </si>
  <si>
    <t>50371-hospital-course-1-0</t>
  </si>
  <si>
    <t xml:space="preserve">
# HYPOTENSION/ACUTE BLEED/HEMATURIA.</t>
  </si>
  <si>
    <t>50371-hospital-course-1-1</t>
  </si>
  <si>
    <t>Baseline bp per [**3-31**]
discharge summary is sbp 90s-100.</t>
  </si>
  <si>
    <t>50371-hospital-course-1-2</t>
  </si>
  <si>
    <t>Patient found to have sbp in
80s in ED, improved to 100s with IVF.</t>
  </si>
  <si>
    <t>50371-hospital-course-1-3</t>
  </si>
  <si>
    <t>Ddx = septic shock (given
hypothermia, but this is pt??????s baseline per wife and chart and he
has no WBC), no evidence of bleed, vasovagal in setting of
severe pain, cardiogenic in setting of severe CHF, adrenal
insufficiency (cortisol normal).</t>
  </si>
  <si>
    <t>50371-hospital-course-1-4</t>
  </si>
  <si>
    <t>Most likely due to combination
of dehydration +/- acute bleed in setting of poor cardiac
function.</t>
  </si>
  <si>
    <t>50371-hospital-course-1-5</t>
  </si>
  <si>
    <t xml:space="preserve"> Infx w/u was negative and pt pressures stabilized
with fluid and blood products.</t>
  </si>
  <si>
    <t>50371-hospital-course-1-6</t>
  </si>
  <si>
    <t xml:space="preserve"> Aspirin was initially held out
of concern for bleed but was restarted on dc.</t>
  </si>
  <si>
    <t>50371-hospital-course-2-0</t>
  </si>
  <si>
    <t xml:space="preserve">
# LEFT HIP FRACTURE:  s/p ORIF with TFN.</t>
  </si>
  <si>
    <t>50371-hospital-course-2-1</t>
  </si>
  <si>
    <t xml:space="preserve"> Pt recovered well with
adequate pain control on oxycodone.</t>
  </si>
  <si>
    <t>50371-hospital-course-2-2</t>
  </si>
  <si>
    <t xml:space="preserve"> He was started on
enoxaparin which will be continued through [**2141-5-9**].</t>
  </si>
  <si>
    <t>50371-hospital-course-2-3</t>
  </si>
  <si>
    <t xml:space="preserve"> Pt to f/u
with ortho 2 wks after dc.</t>
  </si>
  <si>
    <t>50371-hospital-course-3-0</t>
  </si>
  <si>
    <t xml:space="preserve">
# CKD - stage IV, likely due to hypotension, ATN.</t>
  </si>
  <si>
    <t>50371-hospital-course-3-1</t>
  </si>
  <si>
    <t>UOP minimal
during the hospitalization.</t>
  </si>
  <si>
    <t>50371-hospital-course-3-2</t>
  </si>
  <si>
    <t xml:space="preserve"> Creatinine baseline 2.0, elevated
to high of 4 during this admission and decreased to 3.5 on dc.</t>
  </si>
  <si>
    <t>50371-hospital-course-3-3</t>
  </si>
  <si>
    <t xml:space="preserve">
Pt seen by renal, no urgent indications for dialysis and pt does
not wish to undergo dialysis.</t>
  </si>
  <si>
    <t>50371-hospital-course-3-4</t>
  </si>
  <si>
    <t xml:space="preserve"> Diuretics were held, he was
provided with gentle hydration.</t>
  </si>
  <si>
    <t>50371-hospital-course-3-5</t>
  </si>
  <si>
    <t xml:space="preserve"> Pt will require frequent
monitoring of lytes while in rehab.</t>
  </si>
  <si>
    <t>50371-hospital-course-4-0</t>
  </si>
  <si>
    <t xml:space="preserve">
# HYPERBILIRUBINEMIA: direct&gt;indirect with elevated alk phos,
however no evidence of obstruction on US.</t>
  </si>
  <si>
    <t>50371-hospital-course-4-1</t>
  </si>
  <si>
    <t xml:space="preserve"> Pt was seen by liver
consult team who thought that it may be effect of vancomycin,
however recommended continuing the medication for tx of cdiff.</t>
  </si>
  <si>
    <t>50371-hospital-course-4-2</t>
  </si>
  <si>
    <t xml:space="preserve">
F/u liver tests ordered, including autoimmune serologies,
hepatitis serologies, iron studies, which will requrie f/u on
discharge.</t>
  </si>
  <si>
    <t>50371-hospital-course-4-3</t>
  </si>
  <si>
    <t xml:space="preserve"> Pt has scheduled follow up with liver clinic on
discharge.</t>
  </si>
  <si>
    <t>50371-hospital-course-5-0</t>
  </si>
  <si>
    <t xml:space="preserve">
# LEFT ARM/SHOULDER PAIN:  Patient may have injured LUE during
fall ?????? he landed on his left side, but is unable to recall
whether he had pain in his arm at that time.</t>
  </si>
  <si>
    <t>50371-hospital-course-5-1</t>
  </si>
  <si>
    <t>Limited
internal/external rotation of L shoulder on exam.</t>
  </si>
  <si>
    <t>50371-hospital-course-5-2</t>
  </si>
  <si>
    <t>50371-hospital-course-6-0</t>
  </si>
  <si>
    <t xml:space="preserve">
# CHF - endstage, pt followed by Dr. [**Last Name (STitle) 696**] who saw him while
in the hospital.</t>
  </si>
  <si>
    <t>50371-hospital-course-6-1</t>
  </si>
  <si>
    <t>Difficult to titrate meds in setting of CKD,
however no evidence of volume overload while on the medicine
floor.</t>
  </si>
  <si>
    <t>50371-hospital-course-6-2</t>
  </si>
  <si>
    <t xml:space="preserve"> His diuretics were held while in the hospital and on
discharge in the setting of hypotension and renal failure,
however may need to be restarted on discharge.</t>
  </si>
  <si>
    <t>50371-hospital-course-6-3</t>
  </si>
  <si>
    <t xml:space="preserve"> His BBlocker was
continued while in the hospital, however often was held due to
hypotension.</t>
  </si>
  <si>
    <t>50371-hospital-course-6-4</t>
  </si>
  <si>
    <t xml:space="preserve"> Aspirin was restarted on dc, statin held in the
setting of liver disease.</t>
  </si>
  <si>
    <t>50371-hospital-course-7-0</t>
  </si>
  <si>
    <t>50371-hospital-course-8-0</t>
  </si>
  <si>
    <t xml:space="preserve">
# RETROPERITONEAL MASS: Adrenal mass seen on CT this admission
(8x6.2 cm).</t>
  </si>
  <si>
    <t>50371-hospital-course-8-1</t>
  </si>
  <si>
    <t>Non-urgent adrenal MRI recommended by radiology for
further characterization.</t>
  </si>
  <si>
    <t>50371-hospital-course-8-2</t>
  </si>
  <si>
    <t>Not evident on prior MRI [**2-7**], but
"Large but poorly assessed hypoechoic area (4 cm) in the region
of the left upper pole, for which differential considerations
include an adrenal or renal mass, or a renal cyst" seen on
abdominal ultrasound [**1-8**].</t>
  </si>
  <si>
    <t>50371-hospital-course-8-3</t>
  </si>
  <si>
    <t>Cortisol wnl.</t>
  </si>
  <si>
    <t>50371-hospital-course-8-4</t>
  </si>
  <si>
    <t>Pt will require
non-urgent MRI as an outpt.</t>
  </si>
  <si>
    <t>50371-hospital-course-9-0</t>
  </si>
  <si>
    <t xml:space="preserve">
# POSSIBLE PNEUMONIA.</t>
  </si>
  <si>
    <t>50371-hospital-course-9-1</t>
  </si>
  <si>
    <t>Initial CXR concerning for retrocardiac
opacity.</t>
  </si>
  <si>
    <t>50371-hospital-course-9-2</t>
  </si>
  <si>
    <t>Pt received levofloxacin in ED.</t>
  </si>
  <si>
    <t>50371-hospital-course-9-3</t>
  </si>
  <si>
    <t>No WBC, no respiratory
symptoms, therefore further abx were held and pt remained stable
with no further respiratory complaints.</t>
  </si>
  <si>
    <t>50371-hospital-course-9-4</t>
  </si>
  <si>
    <t xml:space="preserve"> Legionella was
negative.</t>
  </si>
  <si>
    <t>50371-hospital-course-9-5</t>
  </si>
  <si>
    <t xml:space="preserve"> He was treated symptomatically with nebs.</t>
  </si>
  <si>
    <t>50371-hospital-course-10-0</t>
  </si>
  <si>
    <t xml:space="preserve">
# THROMBOCYTOPENIA.</t>
  </si>
  <si>
    <t>50371-hospital-course-10-1</t>
  </si>
  <si>
    <t>Had pancytopenia at prior admission,
normalized during admission.</t>
  </si>
  <si>
    <t>50371-hospital-course-10-2</t>
  </si>
  <si>
    <t>HIT ruled out, but heparin products
avoided because initial GP4 antibody positive (Serotonin assay
negative).</t>
  </si>
  <si>
    <t>50371-hospital-course-10-3</t>
  </si>
  <si>
    <t>DDx dilutional (most likely) vs consumptive vs
chronic disease.</t>
  </si>
  <si>
    <t>50371-hospital-course-11-0</t>
  </si>
  <si>
    <t xml:space="preserve">
# RECURRENT C.</t>
  </si>
  <si>
    <t>50371-hospital-course-11-1</t>
  </si>
  <si>
    <t>DIFF INFECTION.</t>
  </si>
  <si>
    <t>50371-hospital-course-11-2</t>
  </si>
  <si>
    <t>On PO Vanco taper.</t>
  </si>
  <si>
    <t>50371-hospital-course-11-3</t>
  </si>
  <si>
    <t>No diarrhea
currently.</t>
  </si>
  <si>
    <t>50371-hospital-course-11-4</t>
  </si>
  <si>
    <t xml:space="preserve"> Vanco was continued, liver consulted in setting of
hyperbili but agreed with continuation.</t>
  </si>
  <si>
    <t>50371-hospital-course-12-0</t>
  </si>
  <si>
    <t xml:space="preserve">
# Atrial Fibrillation.</t>
  </si>
  <si>
    <t>50371-hospital-course-12-1</t>
  </si>
  <si>
    <t>Initially held ASA in setting of low Hct;
not on Coumadin due to GIB, aspirin restarted on DC and
metoprolol continued.</t>
  </si>
  <si>
    <t>50371-hospital-course-13-0</t>
  </si>
  <si>
    <t xml:space="preserve">
# CHRONIC ANEMIA.</t>
  </si>
  <si>
    <t>50371-hospital-course-13-1</t>
  </si>
  <si>
    <t>Baseline Hct 30; likely secondary to
CKD/chronic disease, improved and stabilized after transfusions.</t>
  </si>
  <si>
    <t>50371-hospital-course-14-0</t>
  </si>
  <si>
    <t xml:space="preserve">
# CHRONIC VENOUS STASIS: tx'd with wound care while inpatient.</t>
  </si>
  <si>
    <t>50371-hospital-course-15-0</t>
  </si>
  <si>
    <t xml:space="preserve">
# NASAL CONGESTION: saline, flonase
.</t>
  </si>
  <si>
    <t>50371-code-status-0-0</t>
  </si>
  <si>
    <t>DNR/D</t>
  </si>
  <si>
    <t>50371-medication-history-0-0</t>
  </si>
  <si>
    <t>-Vicodin 5/500 2 tabs qd
-Pantoprazole 40 mg Tablet qd
-Vancomycin 125 mg PO Q6H; taper as follows:
     [**Date range (1) 10275**] 125mg Q6H;
     [**Date range (1) 86878**] 125mg Q12H;
     [**Date range (1) 68651**] 125mg daily;
     [**Date range (1) 46556**] 125mg; every other day
     [**Date range (1) 96735**] 125mg; every third day; then stop.</t>
  </si>
  <si>
    <t>50371-medication-history-0-1</t>
  </si>
  <si>
    <t xml:space="preserve">
-Ativan 0.125 mg tid prn
-Ammonium Lactate 12% Lotion Topical [**Hospital1 **]
-Ipratropium Bromide 0.5 mg Neb Inhalation Q6H PRN SOB/Wheezing.</t>
  </si>
  <si>
    <t>50371-medication-history-1-0</t>
  </si>
  <si>
    <t xml:space="preserve">
-Torsemide 40 mg PO BID (if weight &gt; 160lbs, increase to 80mg in
the morning and 40mg at night; if weight &lt; 145lbs, decrease
torsemide to 40mg daily)
-Spironolactone 25 mg Tablet PO DAILY
-Metoprolol Tartrate 12.5 mg PO BID
-Simvastatin 40 mg PO qpm
-Ergocalciferol (Vitamin D2) 5,000 unit po weekly
-Bisacodyl suppository 10 mg qd prn
-Senna qd prn
-Aspirin 81 mg po qd
-Acetaminophen 325 mg 1-2 Tablets PO Q4H prn pain / fever.</t>
  </si>
  <si>
    <t>50371-medication-history-1-1</t>
  </si>
  <si>
    <t>-Tums [**Hospital1 **]
-Cadexomer iodine topical gel q3d topical
-Dextromethorphan-Guaifenesin 30 mg q12hr p</t>
  </si>
  <si>
    <t>50371-discharge-medications-0-0</t>
  </si>
  <si>
    <t>discharge-medications</t>
  </si>
  <si>
    <t>Vancomycin 125 mg Capsule Sig: One (1) Capsule PO as
directed: [**Date range (1) 86878**] 125mg Q12H;
[**Date range (1) 68651**] 125mg daily;
[**Date range (1) 46556**] 125mg; every other day
[**Date range (1) 96735**] 125mg; every third day; then stop.</t>
  </si>
  <si>
    <t>50371-discharge-medications-1-0</t>
  </si>
  <si>
    <t>Pantoprazole 40 mg Tablet, Delayed Release (E.C.) Sig: One
(1) Tablet, Delayed Release (E.C.) PO once a day.</t>
  </si>
  <si>
    <t>50371-discharge-medications-1-1</t>
  </si>
  <si>
    <t>Ativan 0.5 mg Tablet Sig: [**12-31**] Tablet PO three times a day as
needed for anxiety.</t>
  </si>
  <si>
    <t>50371-discharge-medications-1-2</t>
  </si>
  <si>
    <t>Ammonium Lactate 12 % Cream Topical
5.</t>
  </si>
  <si>
    <t>50371-discharge-medications-1-3</t>
  </si>
  <si>
    <t>Ipratropium Bromide 0.02 % Solution Sig: One (1)  Inhalation
Q6H (every 6 hours) as needed for SOB/wheeze.</t>
  </si>
  <si>
    <t>50371-discharge-medications-1-4</t>
  </si>
  <si>
    <t>Metoprolol Tartrate 25 mg Tablet Sig: 0.5 Tablet PO BID (2
times a day).</t>
  </si>
  <si>
    <t>50371-discharge-medications-1-5</t>
  </si>
  <si>
    <t>Ergocalciferol (Vitamin D2)  Oral
8.</t>
  </si>
  <si>
    <t>50371-discharge-medications-1-6</t>
  </si>
  <si>
    <t>Bisacodyl 10 mg Suppository Sig: One (1) Suppository Rectal
DAILY (Daily).</t>
  </si>
  <si>
    <t>50371-discharge-medications-1-7</t>
  </si>
  <si>
    <t>Senna 8.6 mg Tablet Sig: One (1) Tablet PO BID (2 times a
day).</t>
  </si>
  <si>
    <t>50371-discharge-medications-1-8</t>
  </si>
  <si>
    <t>50371-discharge-medications-1-9</t>
  </si>
  <si>
    <t>Acetaminophen 325 mg Tablet Sig: Two (2) Tablet PO Q6H
(every 6 hours) as needed for pain, fever.</t>
  </si>
  <si>
    <t>50371-discharge-medications-1-10</t>
  </si>
  <si>
    <t>Calcium Carbonate 500 mg Tablet, Chewable Sig: One (1)
Tablet, Chewable PO twice a day.</t>
  </si>
  <si>
    <t>50371-discharge-medications-1-11</t>
  </si>
  <si>
    <t>Cadexomer Iodine  Topical
14.</t>
  </si>
  <si>
    <t>50371-discharge-medications-1-12</t>
  </si>
  <si>
    <t>Dextromethorphan-Guaifenesin 10-100 mg/5 mL Syrup Sig: Five
(5) ML PO Q12H (every 12 hours) as needed for cough.</t>
  </si>
  <si>
    <t>50371-discharge-medications-1-13</t>
  </si>
  <si>
    <t>Calcium Acetate 667 mg Capsule Sig: One (1) Capsule PO TID
W/MEALS (3 TIMES A DAY WITH MEALS).</t>
  </si>
  <si>
    <t>50371-discharge-medications-1-14</t>
  </si>
  <si>
    <t>Polyethylene Glycol 3350 17 gram/dose Powder Sig: One (1)
PO DAILY (Daily) as needed for constipation.</t>
  </si>
  <si>
    <t>50371-discharge-medications-1-15</t>
  </si>
  <si>
    <t>Oxycodone 5 mg Tablet Sig: One (1) Tablet PO Q4H (every 4
hours) as needed for pain.</t>
  </si>
  <si>
    <t>50371-discharge-medications-1-16</t>
  </si>
  <si>
    <t>Sodium Chloride 0.65 % Aerosol, Spray Sig: [**12-31**] Sprays Nasal
TID (3 times a day) as needed for congestion.</t>
  </si>
  <si>
    <t>50371-discharge-medications-1-17</t>
  </si>
  <si>
    <t>Fluticasone 50 mcg/Actuation Spray, Suspension Sig: One (1)
Spray Nasal DAILY (Daily).</t>
  </si>
  <si>
    <t>50371-discharge-medications-1-18</t>
  </si>
  <si>
    <t>Enoxaparin 30 mg/0.3 mL Syringe Sig: One (1)  Subcutaneous
Q24H (every 24 hours) for 1 months: last day [**2141-5-9**].</t>
  </si>
  <si>
    <t>50371-discharge-disposition-0-0</t>
  </si>
  <si>
    <t>discharge-disposition</t>
  </si>
  <si>
    <t>Extended C</t>
  </si>
  <si>
    <t>50371-facility-0-0</t>
  </si>
  <si>
    <t>facility</t>
  </si>
  <si>
    <t>Newbridge on the [**Doctor Last Name **] - [</t>
  </si>
  <si>
    <t>50371-discharge-diagnosis-0-0</t>
  </si>
  <si>
    <t>discharge-diagnosis</t>
  </si>
  <si>
    <t>50371-discharge-diagnosis-1-0</t>
  </si>
  <si>
    <t>Secondary: hypotension, renal failure, h</t>
  </si>
  <si>
    <t>50371-discharge-condition-0-0</t>
  </si>
  <si>
    <t>discharge-condition</t>
  </si>
  <si>
    <t>Mental Status: Clear and coherent.</t>
  </si>
  <si>
    <t>50371-discharge-condition-0-1</t>
  </si>
  <si>
    <t xml:space="preserve">
Level of Consciousness: Alert and interactive.</t>
  </si>
  <si>
    <t>50371-discharge-condition-0-2</t>
  </si>
  <si>
    <t xml:space="preserve">
Activity Status: Out of Bed with assistance to chair or
wheelchair.</t>
  </si>
  <si>
    <t>50371-discharge-instructions-0-0</t>
  </si>
  <si>
    <t>discharge-instructions</t>
  </si>
  <si>
    <t>You were admitted for a hip fracture and treated for hypotension
and renal failure while in the hospital.</t>
  </si>
  <si>
    <t>50371-discharge-instructions-0-1</t>
  </si>
  <si>
    <t xml:space="preserve"> Additionally, your
heart failure was managed and a work-up was initiated to
determine the cause of your elevated bilirubin.</t>
  </si>
  <si>
    <t>50371-discharge-instructions-1-0</t>
  </si>
  <si>
    <t>50371-discharge-instructions-2-0</t>
  </si>
  <si>
    <t xml:space="preserve">
Weigh yourself every morning, [**Name8 (MD) 138**] MD if weight goes up more
than 3 lbs.</t>
  </si>
  <si>
    <t>50371-discharge-instructions-3-0</t>
  </si>
  <si>
    <t xml:space="preserve">
Followup Instructions:
We are working on a follow up appointment with Dr. [**Last Name (STitle) 696**] in
Cardiology within 4-8 days.</t>
  </si>
  <si>
    <t>50371-discharge-instructions-3-1</t>
  </si>
  <si>
    <t>The office will contact you with an
appointment.</t>
  </si>
  <si>
    <t>50371-discharge-instructions-3-2</t>
  </si>
  <si>
    <t>If you have not heard or have any questions please
call [**Telephone/Fax (1) 62**].</t>
  </si>
  <si>
    <t>50371-discharge-instructions-4-0</t>
  </si>
  <si>
    <t>50371-discharge-instructions-5-0</t>
  </si>
  <si>
    <t>50371-discharge-instructions-6-0</t>
  </si>
  <si>
    <t xml:space="preserve">
Department: ORTHOPEDICS
When: TUESDAY [**2141-4-25**] at 2:45 PM
With: [**Known firstname **] [**Last Name (NamePattern1) 2235**], MD [**Telephone/Fax (1) 1228**]
Building: [**Hospital6 29**] [**Location (un) 551**]
Campus: EAST     Best Parking: [**Hospital Ward Name 23**] Garage
</t>
  </si>
  <si>
    <t>532865-allergies-0-0</t>
  </si>
  <si>
    <t>532865-last-dose-of-antibiotics-0-0</t>
  </si>
  <si>
    <t>532865-other-medications-0-0</t>
  </si>
  <si>
    <t>532865-past-medical-history-0-0</t>
  </si>
  <si>
    <t>532865-review-of-systems-0-0</t>
  </si>
  <si>
    <t>532865-flowsheet-data-vitals-0-0</t>
  </si>
  <si>
    <t>as of  [**2141-4-9**] 07:35 AM
   Vital signs
   Hemodynamic monitoring
   Fluid balance
                                                                  24 hours
                                                               Since [**42**] AM
   Tmax: 36.6
C (97.9
   Tcurrent: 35.9
C (96.6
   HR: 82 (80 - 104) bpm
   BP: 107/70(79) {94/15(37) - 143/72(100)} mmHg
   RR: 21 (9 - 23) insp/min
   SpO2: 96%
   Heart rhythm: AF (Atrial Fibrillation)
                  Total In:
                                                                  2,042 mL
                                                                    150 mL
   PO:
                                                                    165 mL
                                                                    150 mL
   TF:
   IVF:
                                                                  1,527 mL
   Blood products:
                                                                    350 mL
   Total out:
                                                                    307 mL
                                                                    110 mL
   Urine:
                                                                    307 mL
                                                                    110 mL
   NG:
   Stool:
   Drains:
   Balance:
                                                                  1,735 mL
                                                                     40 mL
   Respiratory support
   O2 Delivery Device: Nasal cannula
   SpO2: 96%
   ABG: ///24/</t>
  </si>
  <si>
    <t>532865-physical-examination-0-0</t>
  </si>
  <si>
    <t>532865-physical-examination-0-1</t>
  </si>
  <si>
    <t>532865-labs-imaging-0-0</t>
  </si>
  <si>
    <t>532865-assessment-and-plan-0-0</t>
  </si>
  <si>
    <t>532865-code-status-0-0</t>
  </si>
  <si>
    <t>532410-chief-complaint-0-0</t>
  </si>
  <si>
    <t>532410-history-of-present-illness-0-0</t>
  </si>
  <si>
    <t>532410-history-of-present-illness-0-1</t>
  </si>
  <si>
    <t>532410-history-of-present-illness-0-2</t>
  </si>
  <si>
    <t>532410-history-of-present-illness-0-3</t>
  </si>
  <si>
    <t>532410-history-of-present-illness-0-4</t>
  </si>
  <si>
    <t>532410-history-of-present-illness-0-5</t>
  </si>
  <si>
    <t>532410-history-of-present-illness-0-6</t>
  </si>
  <si>
    <t>532410-history-of-present-illness-1-0</t>
  </si>
  <si>
    <t>532410-history-of-present-illness-1-1</t>
  </si>
  <si>
    <t>532410-history-of-present-illness-1-2</t>
  </si>
  <si>
    <t>532410-history-of-present-illness-1-3</t>
  </si>
  <si>
    <t>532410-history-of-present-illness-1-4</t>
  </si>
  <si>
    <t>532410-history-of-present-illness-2-0</t>
  </si>
  <si>
    <t>532410-history-of-present-illness-2-1</t>
  </si>
  <si>
    <t>532410-history-of-present-illness-2-2</t>
  </si>
  <si>
    <t>532410-history-of-present-illness-2-3</t>
  </si>
  <si>
    <t>532410-history-of-present-illness-2-4</t>
  </si>
  <si>
    <t>532410-history-of-present-illness-2-5</t>
  </si>
  <si>
    <t>532410-history-of-present-illness-2-6</t>
  </si>
  <si>
    <t>532410-history-of-present-illness-2-7</t>
  </si>
  <si>
    <t>532410-history-of-present-illness-2-8</t>
  </si>
  <si>
    <t>532410-history-of-present-illness-3-0</t>
  </si>
  <si>
    <t>532410-history-of-present-illness-4-0</t>
  </si>
  <si>
    <t>532410-history-of-present-illness-4-1</t>
  </si>
  <si>
    <t>532410-history-of-present-illness-4-2</t>
  </si>
  <si>
    <t>532410-allergies-0-0</t>
  </si>
  <si>
    <t>532410-other-medications-0-0</t>
  </si>
  <si>
    <t>532410-other-medications-0-1</t>
  </si>
  <si>
    <t>532410-other-medications-0-2</t>
  </si>
  <si>
    <t>532410-other-medications-0-3</t>
  </si>
  <si>
    <t>532410-past-medical-history-0-0</t>
  </si>
  <si>
    <t>532410-past-medical-history-0-1</t>
  </si>
  <si>
    <t>532410-past-medical-history-0-2</t>
  </si>
  <si>
    <t>532410-past-medical-history-0-3</t>
  </si>
  <si>
    <t>532410-past-medical-history-0-4</t>
  </si>
  <si>
    <t>532410-past-medical-history-0-5</t>
  </si>
  <si>
    <t>532410-past-medical-history-1-0</t>
  </si>
  <si>
    <t>532410-past-medical-history-2-0</t>
  </si>
  <si>
    <t>532410-past-medical-history-2-1</t>
  </si>
  <si>
    <t>532410-past-medical-history-3-0</t>
  </si>
  <si>
    <t>532410-past-medical-history-4-0</t>
  </si>
  <si>
    <t>532410-past-medical-history-4-1</t>
  </si>
  <si>
    <t>532410-past-medical-history-4-2</t>
  </si>
  <si>
    <t>532410-past-medical-history-4-3</t>
  </si>
  <si>
    <t>532410-past-medical-history-4-4</t>
  </si>
  <si>
    <t>532410-past-medical-history-4-5</t>
  </si>
  <si>
    <t>532410-past-medical-history-4-6</t>
  </si>
  <si>
    <t>532410-family-history-0-0</t>
  </si>
  <si>
    <t>532410-family-history-0-1</t>
  </si>
  <si>
    <t>532410-family-history-0-2</t>
  </si>
  <si>
    <t>532410-family-history-0-3</t>
  </si>
  <si>
    <t>532410-family-history-0-4</t>
  </si>
  <si>
    <t>532410-social-history-0-0</t>
  </si>
  <si>
    <t>532410-social-history-0-1</t>
  </si>
  <si>
    <t>532410-social-history-0-2</t>
  </si>
  <si>
    <t>532410-social-history-0-3</t>
  </si>
  <si>
    <t>532410-social-history-0-4</t>
  </si>
  <si>
    <t>532410-social-history-0-5</t>
  </si>
  <si>
    <t>532410-social-history-0-6</t>
  </si>
  <si>
    <t>532410-social-history-0-7</t>
  </si>
  <si>
    <t>532410-flowsheet-data-vitals-0-0</t>
  </si>
  <si>
    <t>532410-physical-examination-0-0</t>
  </si>
  <si>
    <t>532410-physical-examination-0-1</t>
  </si>
  <si>
    <t>532410-physical-examination-0-2</t>
  </si>
  <si>
    <t>532410-physical-examination-0-3</t>
  </si>
  <si>
    <t>532410-labs-imaging-0-0</t>
  </si>
  <si>
    <t>532410-labs-imaging-0-1</t>
  </si>
  <si>
    <t>532410-labs-imaging-0-2</t>
  </si>
  <si>
    <t>532410-labs-imaging-0-3</t>
  </si>
  <si>
    <t>532410-labs-imaging-0-4</t>
  </si>
  <si>
    <t>532410-labs-imaging-0-5</t>
  </si>
  <si>
    <t>532410-labs-imaging-0-6</t>
  </si>
  <si>
    <t>532410-labs-imaging-0-7</t>
  </si>
  <si>
    <t>532410-labs-imaging-0-8</t>
  </si>
  <si>
    <t>532410-labs-imaging-1-0</t>
  </si>
  <si>
    <t>532410-labs-imaging-2-0</t>
  </si>
  <si>
    <t>532410-labs-imaging-3-0</t>
  </si>
  <si>
    <t>532410-labs-imaging-4-0</t>
  </si>
  <si>
    <t>532410-labs-imaging-4-1</t>
  </si>
  <si>
    <t>532410-labs-imaging-4-2</t>
  </si>
  <si>
    <t>532410-labs-imaging-4-3</t>
  </si>
  <si>
    <t>532410-labs-imaging-5-0</t>
  </si>
  <si>
    <t>532410-labs-imaging-5-1</t>
  </si>
  <si>
    <t>532410-labs-imaging-5-2</t>
  </si>
  <si>
    <t>532410-labs-imaging-5-3</t>
  </si>
  <si>
    <t>532410-labs-imaging-5-4</t>
  </si>
  <si>
    <t>532410-labs-imaging-6-0</t>
  </si>
  <si>
    <t>532410-labs-imaging-6-1</t>
  </si>
  <si>
    <t>532410-labs-imaging-6-2</t>
  </si>
  <si>
    <t>532410-labs-imaging-6-3</t>
  </si>
  <si>
    <t>532410-assessment-and-plan-0-0</t>
  </si>
  <si>
    <t>532410-communication-0-0</t>
  </si>
  <si>
    <t>532410-code-status-0-0</t>
  </si>
  <si>
    <t>532410-disposition-0-0</t>
  </si>
  <si>
    <t>532405-chief-complaint-0-0</t>
  </si>
  <si>
    <t>532405-history-of-present-illness-0-0</t>
  </si>
  <si>
    <t>532405-history-of-present-illness-0-1</t>
  </si>
  <si>
    <t>532405-history-of-present-illness-0-2</t>
  </si>
  <si>
    <t>532405-history-of-present-illness-0-3</t>
  </si>
  <si>
    <t>532405-history-of-present-illness-0-4</t>
  </si>
  <si>
    <t>532405-history-of-present-illness-0-5</t>
  </si>
  <si>
    <t>532405-history-of-present-illness-0-6</t>
  </si>
  <si>
    <t>532405-history-of-present-illness-1-0</t>
  </si>
  <si>
    <t>532405-history-of-present-illness-1-1</t>
  </si>
  <si>
    <t>532405-history-of-present-illness-1-2</t>
  </si>
  <si>
    <t>532405-history-of-present-illness-1-3</t>
  </si>
  <si>
    <t>532405-history-of-present-illness-1-4</t>
  </si>
  <si>
    <t>532405-history-of-present-illness-2-0</t>
  </si>
  <si>
    <t>532405-history-of-present-illness-2-1</t>
  </si>
  <si>
    <t>532405-history-of-present-illness-2-2</t>
  </si>
  <si>
    <t>532405-history-of-present-illness-2-3</t>
  </si>
  <si>
    <t>532405-history-of-present-illness-2-4</t>
  </si>
  <si>
    <t>532405-history-of-present-illness-2-5</t>
  </si>
  <si>
    <t>532405-history-of-present-illness-2-6</t>
  </si>
  <si>
    <t>532405-history-of-present-illness-2-7</t>
  </si>
  <si>
    <t>532405-history-of-present-illness-2-8</t>
  </si>
  <si>
    <t>532405-history-of-present-illness-3-0</t>
  </si>
  <si>
    <t>532405-history-of-present-illness-4-0</t>
  </si>
  <si>
    <t>532405-history-of-present-illness-4-1</t>
  </si>
  <si>
    <t>532405-history-of-present-illness-4-2</t>
  </si>
  <si>
    <t>532405-allergies-0-0</t>
  </si>
  <si>
    <t>532405-other-medications-0-0</t>
  </si>
  <si>
    <t>532405-other-medications-0-1</t>
  </si>
  <si>
    <t>532405-other-medications-0-2</t>
  </si>
  <si>
    <t>532405-other-medications-0-3</t>
  </si>
  <si>
    <t>532405-past-medical-history-0-0</t>
  </si>
  <si>
    <t>532405-past-medical-history-0-1</t>
  </si>
  <si>
    <t>532405-past-medical-history-0-2</t>
  </si>
  <si>
    <t>532405-past-medical-history-0-3</t>
  </si>
  <si>
    <t>532405-past-medical-history-0-4</t>
  </si>
  <si>
    <t>532405-past-medical-history-0-5</t>
  </si>
  <si>
    <t>532405-past-medical-history-1-0</t>
  </si>
  <si>
    <t>532405-past-medical-history-2-0</t>
  </si>
  <si>
    <t>532405-past-medical-history-2-1</t>
  </si>
  <si>
    <t>532405-past-medical-history-3-0</t>
  </si>
  <si>
    <t>532405-past-medical-history-4-0</t>
  </si>
  <si>
    <t>532405-past-medical-history-4-1</t>
  </si>
  <si>
    <t>532405-past-medical-history-4-2</t>
  </si>
  <si>
    <t>532405-past-medical-history-4-3</t>
  </si>
  <si>
    <t>532405-past-medical-history-4-4</t>
  </si>
  <si>
    <t>532405-past-medical-history-4-5</t>
  </si>
  <si>
    <t>532405-past-medical-history-4-6</t>
  </si>
  <si>
    <t>532405-family-history-0-0</t>
  </si>
  <si>
    <t>532405-family-history-0-1</t>
  </si>
  <si>
    <t>532405-family-history-0-2</t>
  </si>
  <si>
    <t>532405-family-history-0-3</t>
  </si>
  <si>
    <t>532405-family-history-0-4</t>
  </si>
  <si>
    <t>532405-social-history-0-0</t>
  </si>
  <si>
    <t>532405-social-history-0-1</t>
  </si>
  <si>
    <t>532405-social-history-0-2</t>
  </si>
  <si>
    <t>532405-social-history-0-3</t>
  </si>
  <si>
    <t>532405-social-history-0-4</t>
  </si>
  <si>
    <t>532405-social-history-0-5</t>
  </si>
  <si>
    <t>532405-social-history-0-6</t>
  </si>
  <si>
    <t>532405-social-history-0-7</t>
  </si>
  <si>
    <t>532405-flowsheet-data-vitals-0-0</t>
  </si>
  <si>
    <t>532405-physical-examination-0-0</t>
  </si>
  <si>
    <t>532405-physical-examination-0-1</t>
  </si>
  <si>
    <t>532405-physical-examination-0-2</t>
  </si>
  <si>
    <t>532405-physical-examination-0-3</t>
  </si>
  <si>
    <t>532405-labs-imaging-0-0</t>
  </si>
  <si>
    <t>532405-labs-imaging-0-1</t>
  </si>
  <si>
    <t>532405-labs-imaging-0-2</t>
  </si>
  <si>
    <t>532405-labs-imaging-0-3</t>
  </si>
  <si>
    <t>532405-labs-imaging-0-4</t>
  </si>
  <si>
    <t>532405-labs-imaging-0-5</t>
  </si>
  <si>
    <t>532405-labs-imaging-0-6</t>
  </si>
  <si>
    <t>532405-labs-imaging-0-7</t>
  </si>
  <si>
    <t>532405-labs-imaging-0-8</t>
  </si>
  <si>
    <t>532405-labs-imaging-1-0</t>
  </si>
  <si>
    <t>532405-labs-imaging-2-0</t>
  </si>
  <si>
    <t>532405-labs-imaging-3-0</t>
  </si>
  <si>
    <t>532405-labs-imaging-4-0</t>
  </si>
  <si>
    <t>532405-labs-imaging-4-1</t>
  </si>
  <si>
    <t>532405-labs-imaging-4-2</t>
  </si>
  <si>
    <t>532405-labs-imaging-4-3</t>
  </si>
  <si>
    <t>532405-labs-imaging-5-0</t>
  </si>
  <si>
    <t>532405-labs-imaging-5-1</t>
  </si>
  <si>
    <t>532405-labs-imaging-5-2</t>
  </si>
  <si>
    <t>532405-labs-imaging-5-3</t>
  </si>
  <si>
    <t>532405-labs-imaging-5-4</t>
  </si>
  <si>
    <t>532405-labs-imaging-6-0</t>
  </si>
  <si>
    <t>532405-labs-imaging-6-1</t>
  </si>
  <si>
    <t>532405-labs-imaging-6-2</t>
  </si>
  <si>
    <t>532405-labs-imaging-6-3</t>
  </si>
  <si>
    <t>532405-assessment-and-plan-0-0</t>
  </si>
  <si>
    <t>532405-communication-0-0</t>
  </si>
  <si>
    <t>532405-code-status-0-0</t>
  </si>
  <si>
    <t>DNR/DNI (discussed with patient and wife) but willing to be
   Full Code for O</t>
  </si>
  <si>
    <t>532405-disposition-0-0</t>
  </si>
  <si>
    <t>532422-addendum-0-0</t>
  </si>
  <si>
    <t>addendum</t>
  </si>
  <si>
    <t>saw and examined the patient and was physically present with the ICU
   team for the key portions of the services provided.</t>
  </si>
  <si>
    <t>532422-addendum-0-1</t>
  </si>
  <si>
    <t>I agree with the
   resident note, including the assessment and plan.</t>
  </si>
  <si>
    <t>532422-addendum-0-2</t>
  </si>
  <si>
    <t>I would emphasize and
   add the following points: 87M dCHF, a-fib (no coumadin), HTN, CRI on
   vanco taper for recurrent c diff d/cd from [**Hospital Unit Name 1**] [**3-31**] p/w L IT fx after
   mechanical fall at [**Hospital 328**] rehab.</t>
  </si>
  <si>
    <t>532422-addendum-0-3</t>
  </si>
  <si>
    <t>Denied LOC, CP, SOB.</t>
  </si>
  <si>
    <t>532422-addendum-0-4</t>
  </si>
  <si>
    <t>Seen by ortho in
   ED with THR recommended.</t>
  </si>
  <si>
    <t>532422-addendum-0-5</t>
  </si>
  <si>
    <t>Ed course also notable for hypotension to sys
   80/90s.</t>
  </si>
  <si>
    <t>532422-addendum-0-6</t>
  </si>
  <si>
    <t>Lab abnormalities with  Hct of 24 (bl 30) and acute on CRI.</t>
  </si>
  <si>
    <t>532422-addendum-0-7</t>
  </si>
  <si>
    <t xml:space="preserve">
   Had abd/pelvic CT which showed no RP bleed, but identified [**Doctor Last Name **] adrenal
   mass.</t>
  </si>
  <si>
    <t>532422-addendum-0-8</t>
  </si>
  <si>
    <t xml:space="preserve"> Rectal was heme neg.</t>
  </si>
  <si>
    <t>532422-addendum-0-9</t>
  </si>
  <si>
    <t xml:space="preserve"> CXR with ? RC infiltrate --&gt; for which he
   was given levoflox.</t>
  </si>
  <si>
    <t>532422-addendum-0-10</t>
  </si>
  <si>
    <t xml:space="preserve"> Admitted to ICU for further management.</t>
  </si>
  <si>
    <t>532422-addendum-0-11</t>
  </si>
  <si>
    <t xml:space="preserve">
   Adrenal insuffieiency is less likely though now with ?</t>
  </si>
  <si>
    <t>532422-addendum-0-12</t>
  </si>
  <si>
    <t>adrenal mass
   seen on CT.</t>
  </si>
  <si>
    <t>532422-addendum-0-13</t>
  </si>
  <si>
    <t>Pt is also hypothermic (stable per prior records) but is
   without localizing infectious symptoms or leukocytosis.</t>
  </si>
  <si>
    <t>532422-addendum-0-14</t>
  </si>
  <si>
    <t xml:space="preserve"> His worsening
   anemia is likely multifactorial from ESRD,  dilutional from IVFs,
   though concern remains for possible bleed from hip injury or GI
   tract.</t>
  </si>
  <si>
    <t>532422-addendum-0-15</t>
  </si>
  <si>
    <t>No obvious hematoma on CT and heme neg by rectal.</t>
  </si>
  <si>
    <t>532422-addendum-0-16</t>
  </si>
  <si>
    <t xml:space="preserve"> Agree with
   plan to manage anemia/hypotension w/ PRBC transfusion, follow serial
   hct, consider starting epogen.</t>
  </si>
  <si>
    <t>532422-addendum-0-17</t>
  </si>
  <si>
    <t>If continued hct drop or hemodynamic
   change would repeat CT. Will manage hip fx with pain control, NPO for
   possible THR tomorrow, pending cardiac clearance and family
   consent.</t>
  </si>
  <si>
    <t>532422-addendum-0-18</t>
  </si>
  <si>
    <t>Will give low dose BB pre-operatively as BP tolerates.</t>
  </si>
  <si>
    <t>532422-addendum-0-19</t>
  </si>
  <si>
    <t xml:space="preserve">  Have
   a low suspicion for pna or other acute infection.</t>
  </si>
  <si>
    <t>532422-addendum-0-20</t>
  </si>
  <si>
    <t xml:space="preserve"> Will hold on
   additional antbnx with low threshold to add in setting of decline.</t>
  </si>
  <si>
    <t>532422-addendum-0-21</t>
  </si>
  <si>
    <t xml:space="preserve">
   Wills send surveillance cx and continue PO vanco for known c diff.</t>
  </si>
  <si>
    <t>532422-addendum-0-22</t>
  </si>
  <si>
    <t xml:space="preserve">
   Acute on CRI is likely prerenal from dehydration and hypotension.</t>
  </si>
  <si>
    <t>532422-addendum-0-23</t>
  </si>
  <si>
    <t xml:space="preserve"> Will
   send urine lytes, follow UOP, renally dose meds and hold diuresis at
   this time.</t>
  </si>
  <si>
    <t>532422-addendum-0-24</t>
  </si>
  <si>
    <t xml:space="preserve"> Given hx of hypothermia and ? adrenally mass, will eval for
   adrenal insuff with random cortisol level.</t>
  </si>
  <si>
    <t>532422-addendum-0-25</t>
  </si>
  <si>
    <t xml:space="preserve">  Remainder of plan as
   outlined in resident note.</t>
  </si>
  <si>
    <t>532422-addendum-0-26</t>
  </si>
  <si>
    <t xml:space="preserve">
   Patient is critically ill
   Total time: 60 min
</t>
  </si>
  <si>
    <t>532698-24-hour-events-0-0</t>
  </si>
  <si>
    <t>532698-24-hour-events-0-1</t>
  </si>
  <si>
    <t>532698-24-hour-events-0-2</t>
  </si>
  <si>
    <t>532698-24-hour-events-0-3</t>
  </si>
  <si>
    <t>532698-allergies-0-0</t>
  </si>
  <si>
    <t>532698-last-dose-of-antibiotics-0-0</t>
  </si>
  <si>
    <t>532698-other-medications-0-0</t>
  </si>
  <si>
    <t>532698-flowsheet-data-vitals-0-0</t>
  </si>
  <si>
    <t>532698-physical-examination-0-0</t>
  </si>
  <si>
    <t>532698-labs-imaging-0-0</t>
  </si>
  <si>
    <t>532698-labs-imaging-0-1</t>
  </si>
  <si>
    <t>532698-labs-imaging-0-2</t>
  </si>
  <si>
    <t>532698-labs-imaging-0-3</t>
  </si>
  <si>
    <t>532698-labs-imaging-0-4</t>
  </si>
  <si>
    <t>532698-labs-imaging-0-5</t>
  </si>
  <si>
    <t>532698-labs-imaging-0-6</t>
  </si>
  <si>
    <t>532698-labs-imaging-0-7</t>
  </si>
  <si>
    <t>532698-labs-imaging-0-8</t>
  </si>
  <si>
    <t>532698-assessment-and-plan-0-0</t>
  </si>
  <si>
    <t>532698-code-status-0-0</t>
  </si>
  <si>
    <t>532530-24-hour-events-0-0</t>
  </si>
  <si>
    <t>532530-24-hour-events-0-1</t>
  </si>
  <si>
    <t>532530-allergies-0-0</t>
  </si>
  <si>
    <t>532530-other-medications-0-0</t>
  </si>
  <si>
    <t>532530-past-medical-history-0-0</t>
  </si>
  <si>
    <t>532530-review-of-systems-0-0</t>
  </si>
  <si>
    <t>532530-flowsheet-data-vitals-0-0</t>
  </si>
  <si>
    <t>532530-physical-examination-0-0</t>
  </si>
  <si>
    <t>532530-physical-examination-0-1</t>
  </si>
  <si>
    <t>532530-physical-examination-0-2</t>
  </si>
  <si>
    <t>532530-physical-examination-0-3</t>
  </si>
  <si>
    <t>532530-physical-examination-0-4</t>
  </si>
  <si>
    <t>532530-labs-imaging-0-0</t>
  </si>
  <si>
    <t>532530-assessment-and-plan-0-0</t>
  </si>
  <si>
    <t>Disposition:</t>
  </si>
  <si>
    <t>532530-communication-0-0</t>
  </si>
  <si>
    <t>532530-code-status-0-0</t>
  </si>
  <si>
    <t>532530-disposition-0-0</t>
  </si>
  <si>
    <t>532530-addendum-0-0</t>
  </si>
  <si>
    <t>I saw and examined the patient, and was physically present with the ICU
   team for the key portions of the services provided.</t>
  </si>
  <si>
    <t>532530-addendum-0-1</t>
  </si>
  <si>
    <t>I agree with the
   note above, including the assessment and plan.</t>
  </si>
  <si>
    <t>532530-addendum-0-2</t>
  </si>
  <si>
    <t>I would emphasize and
   add the following points: 87M dCHF, CKD, AF, mild AS, recurrent c.</t>
  </si>
  <si>
    <t>532530-addendum-0-3</t>
  </si>
  <si>
    <t xml:space="preserve">
   diff / MRSA + p/w mechanical fall and L hip fx.</t>
  </si>
  <si>
    <t>532530-addendum-0-4</t>
  </si>
  <si>
    <t>Hypotensive in ED with
   drop in HCT and bump in creatinine - admitted to MICU overnight for
   preop optimization, xfused 2 units PRBCs.</t>
  </si>
  <si>
    <t>532530-addendum-0-5</t>
  </si>
  <si>
    <t xml:space="preserve">
   Exam notable for Tm 92.9 BP 120/76 HR 72AF RR 75 with sat 99 on RA.</t>
  </si>
  <si>
    <t>532530-addendum-0-6</t>
  </si>
  <si>
    <t xml:space="preserve">
   Frail man, NAD&gt; CTA B.</t>
  </si>
  <si>
    <t>532530-addendum-0-7</t>
  </si>
  <si>
    <t>RRR s1s2.</t>
  </si>
  <si>
    <t>532530-addendum-0-8</t>
  </si>
  <si>
    <t>Soft +BS.</t>
  </si>
  <si>
    <t>532530-addendum-0-9</t>
  </si>
  <si>
    <t>Venous stasis changes, 3+
   edema.</t>
  </si>
  <si>
    <t>532530-addendum-0-10</t>
  </si>
  <si>
    <t>Labs notable for WBC 6K, HCT 29, K+ 5.7, Cr 2.4 from 2.7.</t>
  </si>
  <si>
    <t>532530-addendum-0-11</t>
  </si>
  <si>
    <t>CXR
   with , EKG AF, RB3.</t>
  </si>
  <si>
    <t>532530-addendum-0-12</t>
  </si>
  <si>
    <t xml:space="preserve">
   Agree with plan to manage likely hypovolemia / blood loss anemia
   c/b hypotension with fluid / blood transfusion for SBP &gt;100, UOP &gt;30cc,
   HCT &gt;25, BBS, HCT q8.</t>
  </si>
  <si>
    <t>532530-addendum-0-13</t>
  </si>
  <si>
    <t>Blood loss anemia likely [**1-31**] bleeding into hip,
   ?adrenal bleed based on CT findings.</t>
  </si>
  <si>
    <t>532530-addendum-0-14</t>
  </si>
  <si>
    <t>Looks euvolemic on exam, no CP.</t>
  </si>
  <si>
    <t>532530-addendum-0-15</t>
  </si>
  <si>
    <t xml:space="preserve">
   Hyperkalemia - EKG benign, will recheck, PR kayexalate, torsemide, IV
   calcium repletion.</t>
  </si>
  <si>
    <t>532530-addendum-0-16</t>
  </si>
  <si>
    <t>Hip fx - will clear via cards, continue BBL, ortho
   following, PNBTs (no heparin), early mobilization.</t>
  </si>
  <si>
    <t>532530-addendum-0-17</t>
  </si>
  <si>
    <t>ARF on CRI - RD
   meds, follow with volume resuscitation.</t>
  </si>
  <si>
    <t>532530-addendum-0-18</t>
  </si>
  <si>
    <t>LLL atelectasis - CPT, early
   mobilization, IS, hold abx as no e/o pneumonia.</t>
  </si>
  <si>
    <t>532530-addendum-0-19</t>
  </si>
  <si>
    <t>C.</t>
  </si>
  <si>
    <t>532530-addendum-0-20</t>
  </si>
  <si>
    <t>diff - vanco taper.</t>
  </si>
  <si>
    <t>532530-addendum-0-21</t>
  </si>
  <si>
    <t xml:space="preserve">
   Adrenal mass will need outpt MRI for evaluation.</t>
  </si>
  <si>
    <t>532530-addendum-0-22</t>
  </si>
  <si>
    <t>Remainder of plan as
   outlined above.</t>
  </si>
  <si>
    <t>532530-addendum-0-23</t>
  </si>
  <si>
    <t>Patient is critically ill
   Total time: 50 m</t>
  </si>
  <si>
    <t>532656-24-hour-events-0-0</t>
  </si>
  <si>
    <t>OR SENT - At [**2141-4-7**] 02:00 PM
 INVASIVE VENTILATION - START [**2141-4-7**] 04:55 PM
 INVASIVE VENTILATION - STOP [**2141-4-7**] 05:18 PM
 OR RECEIVED - At [**2141-4-7**] 06:00 PM
   /[**9-8**]:
   - Went to OR (ok'd per cards) for ORIF hip fracture with TFN (=
   trochanter femoral nail?) on the left
   - Given 1 unit pRBC for brief SBP 70s on neo (weaned off).</t>
  </si>
  <si>
    <t>532656-24-hour-events-0-1</t>
  </si>
  <si>
    <t>532656-24-hour-events-0-2</t>
  </si>
  <si>
    <t>532656-allergies-0-0</t>
  </si>
  <si>
    <t>532656-last-dose-of-antibiotics-0-0</t>
  </si>
  <si>
    <t>532656-other-medications-0-0</t>
  </si>
  <si>
    <t>532656-flowsheet-data-vitals-0-0</t>
  </si>
  <si>
    <t>532656-physical-examination-0-0</t>
  </si>
  <si>
    <t>532656-labs-imaging-0-0</t>
  </si>
  <si>
    <t>532656-labs-imaging-0-1</t>
  </si>
  <si>
    <t>532656-labs-imaging-0-2</t>
  </si>
  <si>
    <t>532656-labs-imaging-0-3</t>
  </si>
  <si>
    <t>532656-labs-imaging-0-4</t>
  </si>
  <si>
    <t>532656-labs-imaging-0-5</t>
  </si>
  <si>
    <t>532656-labs-imaging-0-6</t>
  </si>
  <si>
    <t>532656-labs-imaging-0-7</t>
  </si>
  <si>
    <t>532656-labs-imaging-0-8</t>
  </si>
  <si>
    <t>532656-assessment-and-plan-0-0</t>
  </si>
  <si>
    <t>532656-code-status-0-0</t>
  </si>
  <si>
    <t>532895-chief-complaint-0-0</t>
  </si>
  <si>
    <t>hypotension, renal failure, s/p O</t>
  </si>
  <si>
    <t>532895-critical-care-attending-addendum-0-0</t>
  </si>
  <si>
    <t>critical-care-attending-addendum</t>
  </si>
  <si>
    <t>I saw and examined the patient, and was physically present with the ICU
   Resident for key portions of the services provided.</t>
  </si>
  <si>
    <t>532895-critical-care-attending-addendum-0-1</t>
  </si>
  <si>
    <t xml:space="preserve"> I agree with his /
   her note above, including assessment and plan.</t>
  </si>
  <si>
    <t>532895-24-hour-events-0-0</t>
  </si>
  <si>
    <t>-poor urine output overnight
   -ivf boluses
   -unit pRBC
   -shoulder film negative for fx/dislocation
   History obtained from [**Hospital 15**] Medical r</t>
  </si>
  <si>
    <t>532895-allergies-0-0</t>
  </si>
  <si>
    <t>532895-last-dose-of-antibiotics-0-0</t>
  </si>
  <si>
    <t>532895-other-medications-0-0</t>
  </si>
  <si>
    <t>Morphine Sulfate - [**2141-4-9**] 08:00 AM
   Other medications:</t>
  </si>
  <si>
    <t>532895-past-medical-history-0-0</t>
  </si>
  <si>
    <t>PMH, SH, FH and ROS are unchanged from Admission except where noted
   above and b</t>
  </si>
  <si>
    <t>532895-flowsheet-data-vitals-0-0</t>
  </si>
  <si>
    <t>as of  [**2141-4-9**] 11:26 AM
   Vital signs
   Hemodynamic monitoring
   Fluid balance
                                                                  24 hours
                                                               Since [**42**] AM
   Tmax: 36.6
C (97.9
   Tcurrent: 36.2
C (97.1
   HR: 76 (76 - 104) bpm
   BP: 143/60(72) {94/15(37) - 143/82(100)} mmHg
   RR: 19 (9 - 23) insp/min
   SpO2: 96%
   Heart rhythm: AF (Atrial Fibrillation)
             Total In:
                                                                  2,055 mL
                                                                    561 mL
   PO:
                                                                    165 mL
                                                                    200 mL
   TF:
   IVF:
                                                                  1,540 mL
                                                                    361 mL
   Blood products:
                                                                    350 mL
   Total out:
                                                                    307 mL
                                                                    210 mL
   Urine:
                                                                    307 mL
                                                                    210 mL
   NG:
   Stool:
   Drains:
   Balance:
                                                                  1,748 mL
                                                                    351 mL
   Respiratory support
   O2 Delivery Device: Nasal cannula
   SpO2: 96%
   ABG: ///24/</t>
  </si>
  <si>
    <t>532895-physical-examination-0-0</t>
  </si>
  <si>
    <t>General Appearance: Thin
   Head, Ears, Nose, Throat: Normocephalic
   Cardiovascular: (S1: Normal), (S2: Normal)
   Peripheral Vascular: (Right radial pulse: Not assessed), (Left radial
   pulse: Not assessed), (Right DP pulse: Not assessed), (Left DP pulse:
   Not assessed)
   Respiratory / Chest: (Expansion: Symmetric), (Breath Sounds: Clear : )
   Abdominal: Soft, Non-tender, Bowel sounds present
   Skin:  Warm
   Neurologic: Attentive, Follows simple commands, Responds to: Verbal
   stimuli, Oriented (to): x3, Movement: Purposeful, Tone: Not a</t>
  </si>
  <si>
    <t>532895-assessment-and-plan-0-0</t>
  </si>
  <si>
    <t>532895-code-status-0-0</t>
  </si>
  <si>
    <t>532700-critical-care-attending-addendum-0-0</t>
  </si>
  <si>
    <t>532700-critical-care-attending-addendum-0-1</t>
  </si>
  <si>
    <t>532700-24-hour-events-0-0</t>
  </si>
  <si>
    <t>OR - ORIF
 INVASIVE VENTILATION - STOP [**2141-4-7**] 05:18 PM
 Neo weaned off
Low urine output
   History obtained from [**Hospital 15**] Medical r</t>
  </si>
  <si>
    <t>532700-allergies-0-0</t>
  </si>
  <si>
    <t>532700-last-dose-of-antibiotics-0-0</t>
  </si>
  <si>
    <t>532700-other-medications-0-0</t>
  </si>
  <si>
    <t>Enoxaparin (Lovenox) - [**2141-4-7**] 10:00 PM
   Furosemide (Lasix) - [**2141-4-7**] 10:50 PM
   Morphine Sulfate - [**2141-4-8**] 08:00 AM
   Other medications:</t>
  </si>
  <si>
    <t>532700-past-medical-history-0-0</t>
  </si>
  <si>
    <t>PMH, SH, FH and ROS are unchanged from Admission except where n</t>
  </si>
  <si>
    <t>532700-flowsheet-data-vitals-0-0</t>
  </si>
  <si>
    <t>as of  [**2141-4-8**] 12:02 PM
   Vital signs
   Hemodynamic monitoring
   Fluid balance
                                                                  24 hours
                                                               Since [**42**] AM
   Tmax: 36.2
C (97.2
   Tcurrent: 36.2
C (97.1
   HR: 88 (68 - 116) bpm
   BP: 104/49(61) {96/27(44) - 132/121(124)} mmHg
   RR: 14 (11 - 21) insp/min
   SpO2: 100%
   Heart rhythm: AF (Atrial Fibrillation)
             Total In:
                                                                  1,990 mL
                                                                    226 mL
   PO:
             60 mL
   TF:
   IVF:
                                                                    940 mL
                                                                    166 mL
   Blood products:
                                                                  1,050 mL
   Total out:
                                                                  1,100 mL
                                                                    110 mL
   Urine:
                                                                  1,000 mL
                                                                    110 mL
   NG:
   Stool:
   Drains:
   Balance:
                                                                    890 mL
                                                                    116 mL
   Respiratory support
   O2 Delivery Device: Nasal cannula
   Ventilator mode: Standby
   Vt (Spontaneous): 515 (515 - 515) mL
   PS : 5 cmH2O
   RR (Spontaneous): 13
   PEEP: 5 cmH2O
   FiO2: 50%
   PIP: 10 cmH2O
   SpO2: 100%
   ABG: 7.35/44/73.[**Numeric Identifier 218**]/25/-1
   Ve: 6.3 L/min
   PaO2 / FiO2: 1</t>
  </si>
  <si>
    <t>532700-physical-examination-0-0</t>
  </si>
  <si>
    <t>General Appearance: Thin
   Head, Ears, Nose, Throat: Normocephalic
   Cardiovascular: (S1: Normal), (S2: Normal), (Murmur: Systolic)
   Peripheral Vascular: (Right radial pulse: Not assessed), (Left radial
   pulse: Not assessed), (Right DP pulse: Not assessed), (Left DP pulse:
   Not assessed)
   Respiratory / Chest: (Breath Sounds: Clear : )
   Abdominal: Soft, Non-tender, Bowel sounds present
   Extremities: LE neurovascularly intact
   Musculoskeletal: sig tenderness over Lt shoulder with sig discomfort on
   passive abduction shoulder joint
   Skin:  Not assessed
   Neurologic: Attentive, Follows simple commands, Responds to: Verbal
   stimuli, Movement: Purposeful, Tone: Not assessed, sig e</t>
  </si>
  <si>
    <t>532700-assessment-and-plan-0-0</t>
  </si>
  <si>
    <t>532700-code-status-0-0</t>
  </si>
  <si>
    <t>532700-disposition-0-0</t>
  </si>
  <si>
    <t>:I</t>
  </si>
  <si>
    <t>532407-chief-complaint-0-0</t>
  </si>
  <si>
    <t>532407-history-of-present-illness-0-0</t>
  </si>
  <si>
    <t>532407-history-of-present-illness-0-1</t>
  </si>
  <si>
    <t>532407-history-of-present-illness-0-2</t>
  </si>
  <si>
    <t>532407-history-of-present-illness-0-3</t>
  </si>
  <si>
    <t>532407-history-of-present-illness-0-4</t>
  </si>
  <si>
    <t>532407-history-of-present-illness-0-5</t>
  </si>
  <si>
    <t>532407-history-of-present-illness-0-6</t>
  </si>
  <si>
    <t>532407-history-of-present-illness-1-0</t>
  </si>
  <si>
    <t>532407-history-of-present-illness-1-1</t>
  </si>
  <si>
    <t>532407-history-of-present-illness-1-2</t>
  </si>
  <si>
    <t>532407-history-of-present-illness-1-3</t>
  </si>
  <si>
    <t>532407-history-of-present-illness-1-4</t>
  </si>
  <si>
    <t>532407-history-of-present-illness-2-0</t>
  </si>
  <si>
    <t>532407-history-of-present-illness-2-1</t>
  </si>
  <si>
    <t>532407-history-of-present-illness-2-2</t>
  </si>
  <si>
    <t>532407-history-of-present-illness-2-3</t>
  </si>
  <si>
    <t>532407-history-of-present-illness-2-4</t>
  </si>
  <si>
    <t>532407-history-of-present-illness-2-5</t>
  </si>
  <si>
    <t>532407-history-of-present-illness-2-6</t>
  </si>
  <si>
    <t>532407-history-of-present-illness-2-7</t>
  </si>
  <si>
    <t>532407-history-of-present-illness-2-8</t>
  </si>
  <si>
    <t>532407-history-of-present-illness-3-0</t>
  </si>
  <si>
    <t>532407-history-of-present-illness-4-0</t>
  </si>
  <si>
    <t>532407-history-of-present-illness-4-1</t>
  </si>
  <si>
    <t>532407-history-of-present-illness-4-2</t>
  </si>
  <si>
    <t>532407-allergies-0-0</t>
  </si>
  <si>
    <t>532407-other-medications-0-0</t>
  </si>
  <si>
    <t>532407-other-medications-0-1</t>
  </si>
  <si>
    <t>532407-other-medications-0-2</t>
  </si>
  <si>
    <t>532407-other-medications-0-3</t>
  </si>
  <si>
    <t>532407-past-medical-history-0-0</t>
  </si>
  <si>
    <t>532407-past-medical-history-0-1</t>
  </si>
  <si>
    <t>532407-past-medical-history-0-2</t>
  </si>
  <si>
    <t>532407-past-medical-history-0-3</t>
  </si>
  <si>
    <t>532407-past-medical-history-0-4</t>
  </si>
  <si>
    <t>532407-past-medical-history-0-5</t>
  </si>
  <si>
    <t>532407-past-medical-history-1-0</t>
  </si>
  <si>
    <t>532407-past-medical-history-2-0</t>
  </si>
  <si>
    <t>532407-past-medical-history-2-1</t>
  </si>
  <si>
    <t>532407-past-medical-history-3-0</t>
  </si>
  <si>
    <t>532407-past-medical-history-4-0</t>
  </si>
  <si>
    <t>532407-past-medical-history-4-1</t>
  </si>
  <si>
    <t>532407-past-medical-history-4-2</t>
  </si>
  <si>
    <t>532407-past-medical-history-4-3</t>
  </si>
  <si>
    <t>532407-past-medical-history-4-4</t>
  </si>
  <si>
    <t>532407-past-medical-history-4-5</t>
  </si>
  <si>
    <t>532407-past-medical-history-4-6</t>
  </si>
  <si>
    <t>532407-family-history-0-0</t>
  </si>
  <si>
    <t>532407-family-history-0-1</t>
  </si>
  <si>
    <t>532407-family-history-0-2</t>
  </si>
  <si>
    <t>532407-family-history-0-3</t>
  </si>
  <si>
    <t>532407-family-history-0-4</t>
  </si>
  <si>
    <t>532407-social-history-0-0</t>
  </si>
  <si>
    <t>532407-social-history-0-1</t>
  </si>
  <si>
    <t>532407-social-history-0-2</t>
  </si>
  <si>
    <t>532407-social-history-0-3</t>
  </si>
  <si>
    <t>532407-social-history-0-4</t>
  </si>
  <si>
    <t>532407-social-history-0-5</t>
  </si>
  <si>
    <t>532407-social-history-0-6</t>
  </si>
  <si>
    <t>532407-social-history-0-7</t>
  </si>
  <si>
    <t>532407-flowsheet-data-vitals-0-0</t>
  </si>
  <si>
    <t>532407-physical-examination-0-0</t>
  </si>
  <si>
    <t>532407-physical-examination-0-1</t>
  </si>
  <si>
    <t>532407-physical-examination-0-2</t>
  </si>
  <si>
    <t>532407-physical-examination-0-3</t>
  </si>
  <si>
    <t>532407-labs-imaging-0-0</t>
  </si>
  <si>
    <t>532407-labs-imaging-0-1</t>
  </si>
  <si>
    <t>532407-labs-imaging-0-2</t>
  </si>
  <si>
    <t>532407-labs-imaging-0-3</t>
  </si>
  <si>
    <t>532407-labs-imaging-0-4</t>
  </si>
  <si>
    <t>532407-labs-imaging-0-5</t>
  </si>
  <si>
    <t>532407-labs-imaging-0-6</t>
  </si>
  <si>
    <t>532407-labs-imaging-0-7</t>
  </si>
  <si>
    <t>532407-labs-imaging-0-8</t>
  </si>
  <si>
    <t>532407-labs-imaging-1-0</t>
  </si>
  <si>
    <t>532407-labs-imaging-2-0</t>
  </si>
  <si>
    <t>532407-labs-imaging-3-0</t>
  </si>
  <si>
    <t>532407-labs-imaging-4-0</t>
  </si>
  <si>
    <t>532407-labs-imaging-4-1</t>
  </si>
  <si>
    <t>532407-labs-imaging-4-2</t>
  </si>
  <si>
    <t>532407-labs-imaging-4-3</t>
  </si>
  <si>
    <t>532407-labs-imaging-5-0</t>
  </si>
  <si>
    <t>532407-labs-imaging-5-1</t>
  </si>
  <si>
    <t>532407-labs-imaging-5-2</t>
  </si>
  <si>
    <t>532407-labs-imaging-5-3</t>
  </si>
  <si>
    <t>532407-labs-imaging-5-4</t>
  </si>
  <si>
    <t>532407-labs-imaging-6-0</t>
  </si>
  <si>
    <t>532407-labs-imaging-6-1</t>
  </si>
  <si>
    <t>532407-labs-imaging-6-2</t>
  </si>
  <si>
    <t>532407-labs-imaging-6-3</t>
  </si>
  <si>
    <t>532407-assessment-and-plan-0-0</t>
  </si>
  <si>
    <t>532407-communication-0-0</t>
  </si>
  <si>
    <t>532407-code-status-0-0</t>
  </si>
  <si>
    <t>532407-disposition-0-0</t>
  </si>
  <si>
    <t>9313-history-of-present-illness-0-0</t>
  </si>
  <si>
    <t>The patient is a 61-year-old
woman who was transferred to [**Hospital1 **] [**First Name8 (NamePattern2) 767**]
[**Last Name (Titles) **] for cardiac catheterization.</t>
  </si>
  <si>
    <t>9313-history-of-present-illness-0-1</t>
  </si>
  <si>
    <t xml:space="preserve"> She was admitted to
[**Hospital **] Hospital on [**12-8**] with substernal chest pain
which was relieved with Nitroglycerin.</t>
  </si>
  <si>
    <t>9313-history-of-present-illness-0-2</t>
  </si>
  <si>
    <t xml:space="preserve"> Her work-up was
negative for myocardial infarction; however, she had a
positive stress test showing mild inferior and posterior
hypokinesis and was transferred to [**Hospital1 **] for
further care.</t>
  </si>
  <si>
    <t>9313-past-medical-history-0-0</t>
  </si>
  <si>
    <t>Peripheral vascular disease with
multiple bypass grafts to lower extremities, right renal
artery bypass, hypertension, question of seizure disorder,
question of tobacco use in the past.</t>
  </si>
  <si>
    <t>9313-allergies-0-0</t>
  </si>
  <si>
    <t>SULFAS.</t>
  </si>
  <si>
    <t>9313-physical-examination-0-0</t>
  </si>
  <si>
    <t>Vital signs:  The patient was
afebrile, pulse 78, pressure 180/80.</t>
  </si>
  <si>
    <t>9313-physical-examination-0-1</t>
  </si>
  <si>
    <t xml:space="preserve"> Heart:  Regular, rate
and rhythm.</t>
  </si>
  <si>
    <t>9313-physical-examination-0-2</t>
  </si>
  <si>
    <t xml:space="preserve"> S1 and S2.</t>
  </si>
  <si>
    <t>9313-physical-examination-0-3</t>
  </si>
  <si>
    <t xml:space="preserve"> Lungs:  Positive rhonchi
bilaterally.</t>
  </si>
  <si>
    <t>9313-physical-examination-0-4</t>
  </si>
  <si>
    <t xml:space="preserve"> Extremities:  There were 2+ pedal pulses
bilaterally.</t>
  </si>
  <si>
    <t>9313-labs-imaging-0-0</t>
  </si>
  <si>
    <t>White count 8.4, hematocrit 31, platelet
count 222,000; sodium 139, potassium 3.6, chloride 104,
bicarb 22, BUN 20, creatinine 0.8; dilantin level 6.8.</t>
  </si>
  <si>
    <t>9313-labs-imaging-1-0</t>
  </si>
  <si>
    <t xml:space="preserve">
CARDIAC CATHETERIZATION:  1.</t>
  </si>
  <si>
    <t>9313-labs-imaging-1-1</t>
  </si>
  <si>
    <t xml:space="preserve"> Resting hemodynamics showed
severely elevated left-sided filling pressures with LVEDP of
40 mmHg.</t>
  </si>
  <si>
    <t>9313-labs-imaging-1-2</t>
  </si>
  <si>
    <t xml:space="preserve"> There was tachycardia and systemic hypertension
that responds to beta-blocker and nitrate therapy.</t>
  </si>
  <si>
    <t>9313-labs-imaging-1-3</t>
  </si>
  <si>
    <t xml:space="preserve"> Left
ventriculography showed reduced systolic function with an
ejection fraction of 40%.</t>
  </si>
  <si>
    <t>9313-labs-imaging-1-4</t>
  </si>
  <si>
    <t xml:space="preserve"> There was anterolateral apical and
inferoapical hypokinesis.</t>
  </si>
  <si>
    <t>9313-labs-imaging-1-5</t>
  </si>
  <si>
    <t xml:space="preserve"> There was no mitral regurgitation.</t>
  </si>
  <si>
    <t>9313-labs-imaging-1-6</t>
  </si>
  <si>
    <t xml:space="preserve"> Coronary arteriography showed a right dominant system
with three-vessel disease.</t>
  </si>
  <si>
    <t>9313-labs-imaging-1-7</t>
  </si>
  <si>
    <t xml:space="preserve"> Left main was very short.</t>
  </si>
  <si>
    <t>9313-labs-imaging-1-8</t>
  </si>
  <si>
    <t xml:space="preserve"> Left
anterior descending and circumflex were calcified.</t>
  </si>
  <si>
    <t>9313-labs-imaging-1-9</t>
  </si>
  <si>
    <t xml:space="preserve"> There was
a long 80% mid left anterior descending stenosis involving
the origin of the second septal branch.</t>
  </si>
  <si>
    <t>9313-labs-imaging-1-10</t>
  </si>
  <si>
    <t xml:space="preserve"> There was a focal
60% stenosis in the distal vessel.</t>
  </si>
  <si>
    <t>9313-labs-imaging-1-11</t>
  </si>
  <si>
    <t xml:space="preserve"> The ..............</t>
  </si>
  <si>
    <t>9313-labs-imaging-1-12</t>
  </si>
  <si>
    <t xml:space="preserve">
circumflex was normal.</t>
  </si>
  <si>
    <t>9313-labs-imaging-1-13</t>
  </si>
  <si>
    <t xml:space="preserve"> There was a large branching first
marginal.</t>
  </si>
  <si>
    <t>9313-labs-imaging-1-14</t>
  </si>
  <si>
    <t xml:space="preserve"> The lower pole had 90% stenosis with a preserved
distal vessel.</t>
  </si>
  <si>
    <t>9313-labs-imaging-1-15</t>
  </si>
  <si>
    <t xml:space="preserve"> The right coronary artery was totally
occluded proximally.</t>
  </si>
  <si>
    <t>9313-labs-imaging-1-16</t>
  </si>
  <si>
    <t xml:space="preserve"> The distal vessel was filled via
left-sided collaterals.</t>
  </si>
  <si>
    <t>9313-hospital-course-0-0</t>
  </si>
  <si>
    <t>The patient was transferred from [**Location (un) **] to
[**Hospital1 **] for cardiac catheterization after a
positive stress test.</t>
  </si>
  <si>
    <t>9313-hospital-course-0-1</t>
  </si>
  <si>
    <t xml:space="preserve"> Cardiac catheterization report is as
summarized above.</t>
  </si>
  <si>
    <t>9313-hospital-course-0-2</t>
  </si>
  <si>
    <t xml:space="preserve"> In brief, the patient has three-vessel
coronary artery disease with moderate systolic ventricular
dysfunction and severe diastolic ventricular dysfunction.</t>
  </si>
  <si>
    <t>9313-hospital-course-0-3</t>
  </si>
  <si>
    <t xml:space="preserve">
Given these results, a coronary artery bypass was suggested
to her as the best treatment modality.</t>
  </si>
  <si>
    <t>9313-hospital-course-0-4</t>
  </si>
  <si>
    <t xml:space="preserve"> After the risks and
benefits of the procedure were explained, the patient agreed
to coronary artery bypass.</t>
  </si>
  <si>
    <t>9313-hospital-course-1-0</t>
  </si>
  <si>
    <t>9313-hospital-course-2-0</t>
  </si>
  <si>
    <t>9313-hospital-course-2-1</t>
  </si>
  <si>
    <t xml:space="preserve"> LIMA to left anterior descending.</t>
  </si>
  <si>
    <t>9313-hospital-course-2-2</t>
  </si>
  <si>
    <t xml:space="preserve"> Saphenous vein graft to DRCA.</t>
  </si>
  <si>
    <t>9313-hospital-course-2-3</t>
  </si>
  <si>
    <t xml:space="preserve"> Saphenous vein graft to OM2.</t>
  </si>
  <si>
    <t>9313-hospital-course-3-0</t>
  </si>
  <si>
    <t xml:space="preserve">
After her operation, the patient was transferred to the
Cardiothoracic Intensive Care Unit for her postoperative
care.</t>
  </si>
  <si>
    <t>9313-hospital-course-3-1</t>
  </si>
  <si>
    <t xml:space="preserve"> Her postoperative course in the Intensive Care Unit
was unremarkable, and she was transferred to the floor on
postoperative day #1.</t>
  </si>
  <si>
    <t>9313-hospital-course-4-0</t>
  </si>
  <si>
    <t xml:space="preserve">
Her course after the operation was significant for
left-sided, especially left leg, perceived weakness which in
the beginning prevented the patient from doing physical
therapy.</t>
  </si>
  <si>
    <t>9313-hospital-course-4-1</t>
  </si>
  <si>
    <t xml:space="preserve"> On exam, she had 4+ strength in her lower
extremities bilaterally.</t>
  </si>
  <si>
    <t>9313-hospital-course-4-2</t>
  </si>
  <si>
    <t xml:space="preserve"> There was a subtle weakness on the
left side; however, motor and sensory function was completely
intact.</t>
  </si>
  <si>
    <t>9313-hospital-course-4-3</t>
  </si>
  <si>
    <t xml:space="preserve"> Over the proceeding days, she actually had improved
her function and was able to ambulate and requires further
physical therapy to regain full strength.</t>
  </si>
  <si>
    <t>9313-hospital-course-5-0</t>
  </si>
  <si>
    <t xml:space="preserve">
She is being transferred to rehabilitation for further
physical therapy.</t>
  </si>
  <si>
    <t>9313-discharge-instructions-0-0</t>
  </si>
  <si>
    <t>Dr.</t>
  </si>
  <si>
    <t>9313-discharge-instructions-0-1</t>
  </si>
  <si>
    <t>[**Last Name (STitle) 1290**] within one month.</t>
  </si>
  <si>
    <t>9313-discharge-instructions-0-2</t>
  </si>
  <si>
    <t xml:space="preserve"> Primary care
physician within two weeks.</t>
  </si>
  <si>
    <t>9313-discharge-condition-0-0</t>
  </si>
  <si>
    <t>Good.</t>
  </si>
  <si>
    <t>9313-discharge-medications-0-0</t>
  </si>
  <si>
    <t>Lopressor 25 mg p.o.</t>
  </si>
  <si>
    <t>9313-discharge-medications-0-1</t>
  </si>
  <si>
    <t>b.i.d.,
Captopril 25 mg p.o.</t>
  </si>
  <si>
    <t>9313-discharge-medications-0-2</t>
  </si>
  <si>
    <t>t.i.d., Dilantin 100 mg p.o.</t>
  </si>
  <si>
    <t>9313-discharge-medications-0-3</t>
  </si>
  <si>
    <t>b.i.d.,
Zantac 150 mg p.o.</t>
  </si>
  <si>
    <t>9313-discharge-medications-0-4</t>
  </si>
  <si>
    <t>b.i.d., Aspirin 81 mg p.o.</t>
  </si>
  <si>
    <t>9313-discharge-medications-0-5</t>
  </si>
  <si>
    <t>q.d., Lasix 20
mg p.o.</t>
  </si>
  <si>
    <t>9313-discharge-medications-0-6</t>
  </si>
  <si>
    <t>q.d.</t>
  </si>
  <si>
    <t>9313-discharge-medications-0-7</t>
  </si>
  <si>
    <t>x 7 days, Potassium Chloride 20 mEq p.o.</t>
  </si>
  <si>
    <t>9313-discharge-medications-0-8</t>
  </si>
  <si>
    <t>9313-discharge-medications-0-9</t>
  </si>
  <si>
    <t>x
7 days, Colace 100 mg p.o.</t>
  </si>
  <si>
    <t>9313-discharge-medications-0-10</t>
  </si>
  <si>
    <t>b.i.d., Dilaudid 2 mg p.o.</t>
  </si>
  <si>
    <t>9313-discharge-medications-0-11</t>
  </si>
  <si>
    <t>every 6
hours p.r.n., Ibuprofen 600 mg every 6 hours p.r.n.</t>
  </si>
  <si>
    <t>9313-discharge-diagnosis-0-0</t>
  </si>
  <si>
    <t xml:space="preserve"> CORONARY ARTERY BYPASS GRAFT.</t>
  </si>
  <si>
    <t>9313-addendum-0-0</t>
  </si>
  <si>
    <t>The patient preoperatively was on
Zestril and Hytrin.</t>
  </si>
  <si>
    <t>9313-addendum-0-1</t>
  </si>
  <si>
    <t xml:space="preserve"> She has not been restarted on Hytrin and
has been put on Captopril instead of Zestril.</t>
  </si>
  <si>
    <t>9313-addendum-0-2</t>
  </si>
  <si>
    <t xml:space="preserve"> These changes
could further be evaluated by primary care physician and
changed as needed.</t>
  </si>
  <si>
    <t>738495-reason-0-0</t>
  </si>
  <si>
    <t>Radiology</t>
  </si>
  <si>
    <t>reason</t>
  </si>
  <si>
    <t>r/o c</t>
  </si>
  <si>
    <t>738495-medical-condition-0-0</t>
  </si>
  <si>
    <t>medical-condition</t>
  </si>
  <si>
    <t>61 year old woman with  CAD, carotid  bruit,bad PVD.</t>
  </si>
  <si>
    <t>738495-medical-condition-0-1</t>
  </si>
  <si>
    <t>for CABG [</t>
  </si>
  <si>
    <t>738495-indication-0-0</t>
  </si>
  <si>
    <t>indication</t>
  </si>
  <si>
    <t>61 year old female with PVD, status post multiple bypass
 surgeries, presents with a carotid bruit for pre-op evaluation prior to CABG.</t>
  </si>
  <si>
    <t>738495-comparison-0-0</t>
  </si>
  <si>
    <t>comparison</t>
  </si>
  <si>
    <t>None.</t>
  </si>
  <si>
    <t>738495-technique-0-0</t>
  </si>
  <si>
    <t>technique</t>
  </si>
  <si>
    <t>Bilateral carotid duplex ultrasound.</t>
  </si>
  <si>
    <t>738495-findings-0-0</t>
  </si>
  <si>
    <t>findings</t>
  </si>
  <si>
    <t>Examination of the right system reveals significant areas of plaque
 at the carotid bifurcation, and smaller atheromas of the internal and external
 carotid arteries.</t>
  </si>
  <si>
    <t>738495-findings-0-1</t>
  </si>
  <si>
    <t xml:space="preserve"> The maximum peak systolic velocity in the right internal
 carotid artery measures 131 cm/sec, consistent with stenosis between 40-59%.</t>
  </si>
  <si>
    <t>738495-findings-0-2</t>
  </si>
  <si>
    <t xml:space="preserve">
 High peak systolic velocities in the right external carotid artery are
 indicative of stenotic disease, as well.</t>
  </si>
  <si>
    <t>738495-findings-0-3</t>
  </si>
  <si>
    <t xml:space="preserve"> There are normal velocities in the
 right common carotid.</t>
  </si>
  <si>
    <t>738495-findings-1-0</t>
  </si>
  <si>
    <t xml:space="preserve">
 Examination of the left system reveals significant areas of plaque at the
 carotid bifurcation and in the internal carotid artery.</t>
  </si>
  <si>
    <t>738495-findings-1-1</t>
  </si>
  <si>
    <t xml:space="preserve"> The largest peak
 systolic velocity in the left internal carotid artery measures 330 cm/sec,
 consistent with very severe stenosis of between 80 and 99%.</t>
  </si>
  <si>
    <t>738495-findings-1-2</t>
  </si>
  <si>
    <t xml:space="preserve"> Elevated peak
 systolic velocities in the left external carotid artery also indicate stenotic
 disease.</t>
  </si>
  <si>
    <t>738495-findings-1-3</t>
  </si>
  <si>
    <t xml:space="preserve"> There are normal velocities in the left common carotid.</t>
  </si>
  <si>
    <t>738495-findings-2-0</t>
  </si>
  <si>
    <t xml:space="preserve">
 Flow in the bilateral vertebral arteries is antegrade.</t>
  </si>
  <si>
    <t>738495-impression-0-0</t>
  </si>
  <si>
    <t>impression</t>
  </si>
  <si>
    <t>Very severe stenosis of the left internal carotid artery.</t>
  </si>
  <si>
    <t>738495-impression-1-0</t>
  </si>
  <si>
    <t>Moderate stenosis of the right internal carotid artery.</t>
  </si>
  <si>
    <t>738495-impression-2-0</t>
  </si>
  <si>
    <t>Significant stenosis involving the bilateral external carotid arteries.</t>
  </si>
  <si>
    <t>738493-reason-0-0</t>
  </si>
  <si>
    <t>r/ochf,i</t>
  </si>
  <si>
    <t>738493-medical-condition-0-0</t>
  </si>
  <si>
    <t>61 year old woman with cad,pvd for c</t>
  </si>
  <si>
    <t>738493-indication-0-0</t>
  </si>
  <si>
    <t>61 y/o woman with CAD and PVD, requiring preoperative evaluation.</t>
  </si>
  <si>
    <t>738493-comparison-0-0</t>
  </si>
  <si>
    <t>PA and lateral chest radiographs dated [**2184-4-7**].</t>
  </si>
  <si>
    <t>738493-findings-0-0</t>
  </si>
  <si>
    <t>There is fairly marked left ventricular enlargement.</t>
  </si>
  <si>
    <t>738493-findings-0-1</t>
  </si>
  <si>
    <t xml:space="preserve"> There is
 minimal, if any, upper zone vascular redistribution.</t>
  </si>
  <si>
    <t>738493-findings-0-2</t>
  </si>
  <si>
    <t xml:space="preserve"> The lungs are clear.</t>
  </si>
  <si>
    <t>738493-findings-0-3</t>
  </si>
  <si>
    <t>The
 mediastinal and hilar contours are within normal limits.</t>
  </si>
  <si>
    <t>738493-findings-0-4</t>
  </si>
  <si>
    <t xml:space="preserve"> The soft tissue and
 osseous structures are unremarkable.</t>
  </si>
  <si>
    <t>738493-findings-0-5</t>
  </si>
  <si>
    <t>There is a small amount of left lung base
 atelectasis.</t>
  </si>
  <si>
    <t>738493-impression-0-0</t>
  </si>
  <si>
    <t>Possible slight left ventricular decompensation with some minimal
 patchy left lower lobe atelectasis.</t>
  </si>
  <si>
    <t>738493-image-type-0-0</t>
  </si>
  <si>
    <t>image-type</t>
  </si>
  <si>
    <t>[**2184-12-15**]:</t>
  </si>
  <si>
    <t>99217-patient-test-information-0-0</t>
  </si>
  <si>
    <t>Echo</t>
  </si>
  <si>
    <t>patient-test-information</t>
  </si>
  <si>
    <t>Indication: Coronary artery disease.</t>
  </si>
  <si>
    <t>99217-patient-test-information-0-1</t>
  </si>
  <si>
    <t>H/O cardiac surgery.</t>
  </si>
  <si>
    <t>99217-patient-test-information-0-2</t>
  </si>
  <si>
    <t>Left ventricular function.</t>
  </si>
  <si>
    <t>99217-patient-test-information-0-3</t>
  </si>
  <si>
    <t>Height: (in) 68
Weight (lb): 140
BSA (m2): 1.76 m2
BP (mm Hg): 141/53
HR (bpm): 72
Status: Inpatient
Date/Time: [**2132-9-23**] at 10:53
Test: Portable TTE (Complete)
Doppler: Full Doppler and color Doppler
Contrast: None
Technical Quality: S</t>
  </si>
  <si>
    <t>99217-findings-0-0</t>
  </si>
  <si>
    <t>LEFT ATRIUM: Mild LA enlargement.</t>
  </si>
  <si>
    <t>99217-findings-1-0</t>
  </si>
  <si>
    <t xml:space="preserve">
RIGHT ATRIUM/INTERATRIAL SEPTUM: Mildly dilated RA.</t>
  </si>
  <si>
    <t>99217-findings-2-0</t>
  </si>
  <si>
    <t xml:space="preserve">
LEFT VENTRICLE: Normal LV wall thickness.</t>
  </si>
  <si>
    <t>99217-findings-2-1</t>
  </si>
  <si>
    <t>Normal LV cavity size.</t>
  </si>
  <si>
    <t>99217-findings-2-2</t>
  </si>
  <si>
    <t>Mildly
depressed LVEF.</t>
  </si>
  <si>
    <t>99217-findings-2-3</t>
  </si>
  <si>
    <t>TDI E/e' &gt;15, suggesting PCWP&gt;18mmHg.</t>
  </si>
  <si>
    <t>99217-findings-2-4</t>
  </si>
  <si>
    <t>Doppler parameters are
most consistent with c/w Grade II (moderate) LV diastolic dysfunction.</t>
  </si>
  <si>
    <t>99217-findings-2-5</t>
  </si>
  <si>
    <t>No
resting LVOT gradient.</t>
  </si>
  <si>
    <t>99217-findings-3-0</t>
  </si>
  <si>
    <t>ortic arch diameter. Focal calcifications in aortic
arch.
AORTIC VALVE: Three aortic valve leaflets. Moderately thickened aortic valve
leaflets. Mild AS (area</t>
  </si>
  <si>
    <t>99217-findings-4-0</t>
  </si>
  <si>
    <t xml:space="preserve">.2-1.9cm2). Trace AR.
MITRAL VALVE: Mildly thickened mitral </t>
  </si>
  <si>
    <t>99217-findings-5-0</t>
  </si>
  <si>
    <t xml:space="preserve">
AORTA: Normal aortic diameter at the sinus level.</t>
  </si>
  <si>
    <t>99217-findings-5-1</t>
  </si>
  <si>
    <t>Focal calcifications in
aortic root.</t>
  </si>
  <si>
    <t>99217-findings-5-2</t>
  </si>
  <si>
    <t>Normal ascending aorta diameter.</t>
  </si>
  <si>
    <t>99217-findings-5-3</t>
  </si>
  <si>
    <t>Focal calcifications in
ascending aorta.</t>
  </si>
  <si>
    <t>99217-findings-5-4</t>
  </si>
  <si>
    <t>Normal aortic arch diameter.</t>
  </si>
  <si>
    <t>99217-findings-5-5</t>
  </si>
  <si>
    <t>Focal calcifications in aortic
arch.</t>
  </si>
  <si>
    <t>99217-findings-6-0</t>
  </si>
  <si>
    <t xml:space="preserve">
AORTIC VALVE: Three aortic valve leaflets.</t>
  </si>
  <si>
    <t>99217-findings-6-1</t>
  </si>
  <si>
    <t>Moderately thickened aortic valve
leaflets.</t>
  </si>
  <si>
    <t>99217-findings-6-2</t>
  </si>
  <si>
    <t>Mild AS (area 1.2-1.9cm2).</t>
  </si>
  <si>
    <t>99217-findings-6-3</t>
  </si>
  <si>
    <t>Trace AR.</t>
  </si>
  <si>
    <t>99217-findings-7-0</t>
  </si>
  <si>
    <t xml:space="preserve">
MITRAL VALVE: Mildly thickened mitral valve leaflets.</t>
  </si>
  <si>
    <t>99217-findings-7-1</t>
  </si>
  <si>
    <t>No MVP.</t>
  </si>
  <si>
    <t>99217-findings-7-2</t>
  </si>
  <si>
    <t>Moderate mitral
annular calcification.</t>
  </si>
  <si>
    <t>99217-findings-7-3</t>
  </si>
  <si>
    <t>Mild thickening of mitral valve chordae.</t>
  </si>
  <si>
    <t>99217-findings-7-4</t>
  </si>
  <si>
    <t>Calcified tips
of papillary muscles.</t>
  </si>
  <si>
    <t>99217-findings-7-5</t>
  </si>
  <si>
    <t>Mild (1+) MR. [Due to acoustic shadowing, the severity
of MR may be significantly UNDERestimated.]</t>
  </si>
  <si>
    <t>99217-findings-7-6</t>
  </si>
  <si>
    <t>Prolonged (&gt;250ms) transmitral
E-wave decel time.</t>
  </si>
  <si>
    <t>99217-findings-7-7</t>
  </si>
  <si>
    <t>LV inflow pattern c/w impaired relaxation.</t>
  </si>
  <si>
    <t>99217-findings-8-0</t>
  </si>
  <si>
    <t xml:space="preserve">
TRICUSPID VALVE: Mildly thickened tricuspid valve leaflets.</t>
  </si>
  <si>
    <t>99217-findings-8-1</t>
  </si>
  <si>
    <t>Normal tricuspid
valve supporting structures.</t>
  </si>
  <si>
    <t>99217-findings-8-2</t>
  </si>
  <si>
    <t>No TS.</t>
  </si>
  <si>
    <t>99217-findings-8-3</t>
  </si>
  <si>
    <t>Physiologic TR.</t>
  </si>
  <si>
    <t>99217-findings-8-4</t>
  </si>
  <si>
    <t>Mild PA systolic
hypertension.</t>
  </si>
  <si>
    <t>99217-findings-9-0</t>
  </si>
  <si>
    <t xml:space="preserve">
PULMONIC VALVE/PULMONARY ARTERY: Normal pulmonic valve leaflet.</t>
  </si>
  <si>
    <t>99217-findings-9-1</t>
  </si>
  <si>
    <t>No PS.</t>
  </si>
  <si>
    <t>99217-findings-9-2</t>
  </si>
  <si>
    <t xml:space="preserve">
Physiologic PR.</t>
  </si>
  <si>
    <t>99217-findings-9-3</t>
  </si>
  <si>
    <t>Normal main PA.</t>
  </si>
  <si>
    <t>99217-findings-9-4</t>
  </si>
  <si>
    <t>99217-findings-10-0</t>
  </si>
  <si>
    <t>99217-findings-11-0</t>
  </si>
  <si>
    <t xml:space="preserve">
GENERAL COMMENTS: Suboptimal image quality - poor echo windows.</t>
  </si>
  <si>
    <t>99217-conclusions-0-0</t>
  </si>
  <si>
    <t>conclusions</t>
  </si>
  <si>
    <t>The left atrium is mildly dilated.</t>
  </si>
  <si>
    <t>99217-conclusions-0-1</t>
  </si>
  <si>
    <t>Left ventricular wall thicknesses are
normal.</t>
  </si>
  <si>
    <t>99217-conclusions-0-2</t>
  </si>
  <si>
    <t>The left ventricular cavity size is normal.</t>
  </si>
  <si>
    <t>99217-conclusions-0-3</t>
  </si>
  <si>
    <t>Overall left ventricular
systolic function is mildly depressed (LVEF= 40-50 %) secondary to hypokinesis
of the inferior and posterior walls.</t>
  </si>
  <si>
    <t>99217-conclusions-0-4</t>
  </si>
  <si>
    <t>Tissue Doppler imaging suggests an
increased left ventricular filling pressure (PCWP&gt;18mmHg).</t>
  </si>
  <si>
    <t>99217-conclusions-0-5</t>
  </si>
  <si>
    <t>Doppler parameters
are most consistent with Grade II (moderate) left ventricular diastolic
dysfunction.</t>
  </si>
  <si>
    <t>99217-conclusions-0-6</t>
  </si>
  <si>
    <t>Right ventricular chamber size and free wall motion are normal.</t>
  </si>
  <si>
    <t>99217-conclusions-0-7</t>
  </si>
  <si>
    <t xml:space="preserve">
There are focal calcifications in the aortic arch.</t>
  </si>
  <si>
    <t>99217-conclusions-0-8</t>
  </si>
  <si>
    <t>There are three aortic
valve leaflets.</t>
  </si>
  <si>
    <t>99217-conclusions-0-9</t>
  </si>
  <si>
    <t>The aortic valve leaflets are moderately thickened.</t>
  </si>
  <si>
    <t>99217-conclusions-0-10</t>
  </si>
  <si>
    <t>There is
mild aortic valve stenosis (valve area 1.2-1.9cm2).</t>
  </si>
  <si>
    <t>99217-conclusions-0-11</t>
  </si>
  <si>
    <t>Trace aortic regurgitation
is seen.</t>
  </si>
  <si>
    <t>99217-conclusions-0-12</t>
  </si>
  <si>
    <t>The mitral valve leaflets are mildly thickened.</t>
  </si>
  <si>
    <t>99217-conclusions-0-13</t>
  </si>
  <si>
    <t>There is no mitral
valve prolapse.</t>
  </si>
  <si>
    <t>99217-conclusions-0-14</t>
  </si>
  <si>
    <t>Mild (1+) mitral regurgitation is seen. [Due to acoustic
shadowing, the severity of mitral regurgitation may be significantly
UNDERestimated.]</t>
  </si>
  <si>
    <t>99217-conclusions-0-15</t>
  </si>
  <si>
    <t>The left ventricular inflow pattern suggests impaired
relaxation.</t>
  </si>
  <si>
    <t>99217-conclusions-0-16</t>
  </si>
  <si>
    <t>The tricuspid valve leaflets are mildly thickened.</t>
  </si>
  <si>
    <t>99217-conclusions-0-17</t>
  </si>
  <si>
    <t>There is mild
pulmonary artery systolic hypertension.</t>
  </si>
  <si>
    <t>99217-conclusions-0-18</t>
  </si>
  <si>
    <t>There is no pericardial effusion.</t>
  </si>
  <si>
    <t>99217-comparison-0-0</t>
  </si>
  <si>
    <t xml:space="preserve">
Compared with the findings of the prior study (images reviewed) of [**2131-2-13**], inferior and posterior hypokinesis is now present.</t>
  </si>
  <si>
    <t>47346-allergies-0-0</t>
  </si>
  <si>
    <t>Vicodin / Percocet / Darvocet A500 / Oxycodone / V</t>
  </si>
  <si>
    <t>47346-chief-complaint-0-0</t>
  </si>
  <si>
    <t>Fractured right hip (two-part intertrochanteric fracture)</t>
  </si>
  <si>
    <t>47346-major-surgical-or-invasive-procedure-0-0</t>
  </si>
  <si>
    <t>Operative repair of right two-part intertrochanteric
hip fracture with dynamic hip screw, with procedure complicated
by  intraoperative cardiac arrhythmia and post-surgical upper
extremity weakness which appears to be r</t>
  </si>
  <si>
    <t>47346-history-of-present-illness-0-0</t>
  </si>
  <si>
    <t>The patient is a 82 y/o Man with a history CAD (s/p CABG in
[**2122**]), PVD, AAA s/p repair in [**2123**], ESRD on HD, severe spinal
and lumbar stenosis, transferred to medicine after ORIF of a
right hip fracture, complicated by intraoperative cardiac
arrhythmia and post-surgical upper extremity weakness which
appears to be resolving.</t>
  </si>
  <si>
    <t>47346-history-of-present-illness-1-0</t>
  </si>
  <si>
    <t xml:space="preserve">
Mr. [**Known lastname 656**] was in in usual state of health until Monday ([**9-22**])
morning when, while in his motorized wheelchair at home, he
attempted to reach for a watch that he had dropped on the ground
and fell out of his chair.</t>
  </si>
  <si>
    <t>47346-history-of-present-illness-1-1</t>
  </si>
  <si>
    <t>He denies any loss of consciousness
during the fall and was able to get back into the chair.</t>
  </si>
  <si>
    <t>47346-history-of-present-illness-1-2</t>
  </si>
  <si>
    <t>He
began to develop worsening pain in his right leg several hours
later, and presented to [**Hospital3 417**] hospital for evaluation
where a CT scan demonstrated a right intratrochanteric fracture.</t>
  </si>
  <si>
    <t>47346-history-of-present-illness-1-3</t>
  </si>
  <si>
    <t xml:space="preserve">
He was transferred to the [**Hospital1 18**] for ORIF that day.</t>
  </si>
  <si>
    <t>47346-history-of-present-illness-2-0</t>
  </si>
  <si>
    <t xml:space="preserve">
During positioning on the OR table on [**9-22**] he had NSVT for ~3
beats (no strip available), followed by monomorphic sustained VT
with hypotension (SBP of ~40) during preparation of the
operation site.</t>
  </si>
  <si>
    <t>47346-history-of-present-illness-2-1</t>
  </si>
  <si>
    <t>He received 1x300 Joule shock with return to
sinus rhythym, followed shortly by recurrence of SMVT, was
shocked again with 1x300 joules and again returned to sinus
rhythm.</t>
  </si>
  <si>
    <t>47346-history-of-present-illness-2-2</t>
  </si>
  <si>
    <t>The operation was aborted and he was transferred to CCU
for further management.</t>
  </si>
  <si>
    <t>47346-history-of-present-illness-3-0</t>
  </si>
  <si>
    <t xml:space="preserve">
In the CCU, post-op electrolytes were drawn and were normal,and
he was started on amiodarone.</t>
  </si>
  <si>
    <t>47346-history-of-present-illness-3-1</t>
  </si>
  <si>
    <t>An echocardiogram showed new
posterior and inferior wall abnormalities compared to a previous
echo ([**2131-2-13**]), with a LEVF of 40-50%.</t>
  </si>
  <si>
    <t>47346-history-of-present-illness-3-2</t>
  </si>
  <si>
    <t xml:space="preserve"> EKG did not show any
evidence of new infarct.</t>
  </si>
  <si>
    <t>47346-history-of-present-illness-3-3</t>
  </si>
  <si>
    <t xml:space="preserve"> He was cleared for surgery the
following day when no new arrhythmias developed.</t>
  </si>
  <si>
    <t>47346-history-of-present-illness-4-0</t>
  </si>
  <si>
    <t xml:space="preserve">
On [**9-23**] he successfully underwent ORIF but experienced
postoperative weakness.</t>
  </si>
  <si>
    <t>47346-history-of-present-illness-4-1</t>
  </si>
  <si>
    <t>Per OMR and patient, his weakness was
diffuse in both the upper and lower extremities, but was most
prominent in his deltoids bilaterally (1+/5 L deltoid strength,
0/5 R deltoid strength).</t>
  </si>
  <si>
    <t>47346-history-of-present-illness-4-2</t>
  </si>
  <si>
    <t>Neurosurgery was consulted, and noted
subjective and objective improvement in muscular strength
compared to previous neurological exam, but with persistent
diffuse weakness.</t>
  </si>
  <si>
    <t>47346-history-of-present-illness-4-3</t>
  </si>
  <si>
    <t>He was placed in a C-spine collar and received
CT C-spine per neurosurgery recommendations which showed
substantial narrowing of spinal canal which could represent old
stenosis but would be potentially worrisome for acute cord
impingement.</t>
  </si>
  <si>
    <t>47346-history-of-present-illness-4-4</t>
  </si>
  <si>
    <t>During this time, patient's neuro exam gradually
resolved with improved L arm strength, then R arm strength,
ultimately with improvement to what patient states is his
baseline.</t>
  </si>
  <si>
    <t>47346-past-medical-history-0-0</t>
  </si>
  <si>
    <t>1)CAD
-s/p 3-vessel CABG in [**2122**] (LIMA-LAD, SVG-RCA-occluded,
SVG-OM1/OM3 occluded)
-s/p NSTEMI in [**2-3**] (DES in L main)
2)ESRD
-LUE AVF, HD MWF
-Per patient, has congenital left kidney hypoplasia
3)AAA
-s/p repair ([**2123**])
4)PVD
-s/p aortobililiac graft in [**2123**]
-s/p left CEA in [**2123**] ([**2132-5-22**] US showed right ICA 70-79%
stenosis, left ICA 1-39% stenosis)
5)Ischemic colitis
-Admitted [**2132-3-9**] for bloody diarrhea, uneventful hospital
course
6)Spinal stenosis
-s/p discectomy and arthrodesis at C5-C6 and C6-C7 [**2130-12-4**]
-Baseline impairment in walking (uses motoroized wheelchair or
walker)
7)Right renal tumor, suspicious for RCC, undergoing watchful
waiting, followed by Dr.</t>
  </si>
  <si>
    <t>47346-past-medical-history-0-1</t>
  </si>
  <si>
    <t>[**Last Name (STitle) 3748**]
8)Prostate cancer
-s/p brachytherapy in [**2122**]
9)Abdominal wall abscess in [**5-5**], s/p I&amp;D, cultures grew
Actinomyces
10)Cholangitis
-s/p CCK in [**2130-3-21**]
11)Bullous pemphigoid (diagnosed in [**7-/2132**])
-Dermatologist is Dr.</t>
  </si>
  <si>
    <t>47346-past-medical-history-0-2</t>
  </si>
  <si>
    <t>[**First Name8 (NamePattern2) 402**] [**Last Name (NamePattern1) **]
12)s/p Cataract surgery on l</t>
  </si>
  <si>
    <t>47346-social-history-0-0</t>
  </si>
  <si>
    <t>Lives alone at [**Location (un) 33866**] [**Hospital3 400**] Residency.</t>
  </si>
  <si>
    <t>47346-social-history-0-1</t>
  </si>
  <si>
    <t>He
previously worked as a district manager for Metropolitan life.</t>
  </si>
  <si>
    <t>47346-social-history-0-2</t>
  </si>
  <si>
    <t xml:space="preserve">
60 pack-year smoking history, quit 10 years ago.</t>
  </si>
  <si>
    <t>47346-social-history-0-3</t>
  </si>
  <si>
    <t>Occasional
social alcohol use.</t>
  </si>
  <si>
    <t>47346-family-history-0-0</t>
  </si>
  <si>
    <t>One daughter (53) and son (57), both in good health.</t>
  </si>
  <si>
    <t>47346-family-history-0-1</t>
  </si>
  <si>
    <t>One sister
with diverticulitis.</t>
  </si>
  <si>
    <t>47346-physical-examination-0-0</t>
  </si>
  <si>
    <t>47346-physical-examination-1-0</t>
  </si>
  <si>
    <t xml:space="preserve">
General: Very pleasant man, appeared stated age in no apparent
distress.</t>
  </si>
  <si>
    <t>47346-physical-examination-1-1</t>
  </si>
  <si>
    <t>Lying in bed with C-spine collar.</t>
  </si>
  <si>
    <t>47346-physical-examination-1-2</t>
  </si>
  <si>
    <t xml:space="preserve">
HEENT: Thyromegaly and lymphadenopathy could not be assessed due
to C-spine collar.</t>
  </si>
  <si>
    <t>47346-physical-examination-1-3</t>
  </si>
  <si>
    <t xml:space="preserve"> Sclera anicteric, MMM.</t>
  </si>
  <si>
    <t>47346-physical-examination-1-4</t>
  </si>
  <si>
    <t xml:space="preserve">
Chest: Lungs CTAB, no crackles, rhonchi, wheezing.</t>
  </si>
  <si>
    <t>47346-physical-examination-1-5</t>
  </si>
  <si>
    <t xml:space="preserve">
Cardiac: Regular rate and rhythym, nl S1 and S2.</t>
  </si>
  <si>
    <t>47346-physical-examination-1-6</t>
  </si>
  <si>
    <t>Grade III/VI
systolic murmur heard best at right sternal border at 2nd
intercostal space.</t>
  </si>
  <si>
    <t>47346-physical-examination-1-7</t>
  </si>
  <si>
    <t xml:space="preserve">
Abdomen: Large midline scars from sternotomy and AAA repair
visible.</t>
  </si>
  <si>
    <t>47346-physical-examination-1-8</t>
  </si>
  <si>
    <t>Normal bowel sounds/
Back: Not assessed due condition.</t>
  </si>
  <si>
    <t>47346-physical-examination-1-9</t>
  </si>
  <si>
    <t xml:space="preserve">
Ext: No cyanosis, clubbing.</t>
  </si>
  <si>
    <t>47346-physical-examination-1-10</t>
  </si>
  <si>
    <t>1+ pitting edema in LE bilaterally.</t>
  </si>
  <si>
    <t>47346-physical-examination-1-11</t>
  </si>
  <si>
    <t xml:space="preserve">
Skin: Multiple bruises throughout hands.</t>
  </si>
  <si>
    <t>47346-physical-examination-1-12</t>
  </si>
  <si>
    <t>Several bandages
(including on right deltoid and left forearm) covering ruptured
blisters from bullous pemphigoid, several other lesions visible.</t>
  </si>
  <si>
    <t>47346-physical-examination-1-13</t>
  </si>
  <si>
    <t xml:space="preserve">
Neuro:
   Mental status: Alert and oriented x3, 30/30 on mini-mental
status.</t>
  </si>
  <si>
    <t>47346-physical-examination-1-14</t>
  </si>
  <si>
    <t xml:space="preserve">
   Cranial Nerves: II-XII intact, could not assess SCM (C-spine
collar).</t>
  </si>
  <si>
    <t>47346-physical-examination-1-15</t>
  </si>
  <si>
    <t>Left [**Doctor First Name 2281**] symmetric, likely [**12-31**] catarac surgery.</t>
  </si>
  <si>
    <t>47346-physical-examination-1-16</t>
  </si>
  <si>
    <t>Mild
facial asymmetry (lip droop) which patient states he has had
since a child.</t>
  </si>
  <si>
    <t>47346-physical-examination-1-17</t>
  </si>
  <si>
    <t xml:space="preserve">
   Sensory: Intact to light touch throughout, and to
proprioception.</t>
  </si>
  <si>
    <t>47346-physical-examination-1-18</t>
  </si>
  <si>
    <t xml:space="preserve">
   Motor: Normal bulk and tone.</t>
  </si>
  <si>
    <t>47346-physical-examination-1-19</t>
  </si>
  <si>
    <t>Diffuse weakness present
throughout, especially in UE extensors and IPs.</t>
  </si>
  <si>
    <t>47346-physical-examination-1-20</t>
  </si>
  <si>
    <t xml:space="preserve">
    Delt Bic Tri  WrE FinEx IP Quad ham DF  PF
L  5    4+  4    4    4      3   4   4  4+  5
R  4+   4+  4    4+   4      3   4   4  4+  5
   Gait: Not assessed due to clinical condition.</t>
  </si>
  <si>
    <t>47346-labs-imaging-0-0</t>
  </si>
  <si>
    <t>ADMISSION LABS:
===============
[**2132-9-21**] 09:00PM   WBC-14.1* RBC-4.22* HGB-14.0 HCT-44.5#
MCV-106*# MCH-33.3* MCHC-31.6 RDW-16.7*
[**2132-9-21**] 09:00PM   NEUTS-84.1* LYMPHS-9.4* MONOS-3.6 EOS-2.2
BASOS-0.7
[**2132-9-21**] 09:00PM   PLT COUNT-207
[**2132-9-21**] 09:00PM   PT-13.9* PTT-30.2 INR(PT)-1.2*
[**2132-9-21**] 09:00PM   ASA-NEG ETHANOL-NEG ACETMNPHN-NEG
bnzodzpn-NEG barbitrt-NEG tricyclic-NEG
[**2132-9-21**] 09:00PM   ALT(SGPT)-28 AST(SGOT)-48* LD(LDH)-337* ALK
PHOS-173* TOT BILI-0.3
[**2132-9-21**] 09:00PM   CALCIUM-8.8 PHOSPHATE-10.2*# MAGNESIUM-2.4
[**2132-9-21**] 09:00PM   GLUCOSE-128* UREA N-91* CREAT-9.0*#
SODIUM-137 POTASSIUM-5.0 CHLORIDE-92* TOTAL CO2-24 ANION GAP-26*</t>
  </si>
  <si>
    <t>47346-labs-imaging-0-1</t>
  </si>
  <si>
    <t>47346-labs-imaging-1-0</t>
  </si>
  <si>
    <t>47346-labs-imaging-1-1</t>
  </si>
  <si>
    <t>PTT-34.3 INR(PT)-1.4*
[**2132-9-23**] 04:29AM BLOOD PT-14.2* PTT-34.6 INR(PT)-1.2*</t>
  </si>
  <si>
    <t>47346-labs-imaging-1-2</t>
  </si>
  <si>
    <t>47346-labs-imaging-2-0</t>
  </si>
  <si>
    <t>47346-labs-imaging-3-0</t>
  </si>
  <si>
    <t>47346-labs-imaging-3-1</t>
  </si>
  <si>
    <t>Faint lucency at the right hip suggesting intertrochanteric
fracture.</t>
  </si>
  <si>
    <t>47346-labs-imaging-3-2</t>
  </si>
  <si>
    <t>Extensive degenerative change.</t>
  </si>
  <si>
    <t>47346-labs-imaging-3-3</t>
  </si>
  <si>
    <t>Atherosclerotic disease.</t>
  </si>
  <si>
    <t>47346-labs-imaging-3-4</t>
  </si>
  <si>
    <t xml:space="preserve">
The study and the report were reviewed by the staff radiologist.</t>
  </si>
  <si>
    <t>47346-labs-imaging-4-0</t>
  </si>
  <si>
    <t>47346-labs-imaging-5-0</t>
  </si>
  <si>
    <t>47346-labs-imaging-5-1</t>
  </si>
  <si>
    <t>A bone fragment in the
posterolateral canal
on the right at T2 is likely chronic in etiology, although not
unambiguously characterized in this study.</t>
  </si>
  <si>
    <t>47346-labs-imaging-6-0</t>
  </si>
  <si>
    <t>Florid degenerative changes predispose this patient to spinal
cord trauma with minor injury.</t>
  </si>
  <si>
    <t>47346-labs-imaging-6-1</t>
  </si>
  <si>
    <t>Recommend MR for further
evaluation.</t>
  </si>
  <si>
    <t>47346-labs-imaging-7-0</t>
  </si>
  <si>
    <t>47346-labs-imaging-8-0</t>
  </si>
  <si>
    <t>47346-hospital-course-0-0</t>
  </si>
  <si>
    <t># Hip fracture - patient intially presented to [**Hospital3 417**]
hospital where a right two-part intratrochanteric fracture was
demonstrated by CT on [**9-22**], and transferred to [**Hospital1 18**] for ORIF.</t>
  </si>
  <si>
    <t>47346-hospital-course-0-1</t>
  </si>
  <si>
    <t xml:space="preserve">
The surgery was aborted to cardiac arrhytmias discussed below,
but completed on [**9-23**] with placement of a dynamic hip screw.</t>
  </si>
  <si>
    <t>47346-hospital-course-0-2</t>
  </si>
  <si>
    <t xml:space="preserve">
Per orthopedics, the right hip can now bear weight as tolerated.</t>
  </si>
  <si>
    <t>47346-hospital-course-0-3</t>
  </si>
  <si>
    <t xml:space="preserve">
Patient should receive anticoagulation for 4 weeks with a target
INR of 1.5-2.0, and followup at the orthopedic in 2 weeks.</t>
  </si>
  <si>
    <t>47346-hospital-course-1-0</t>
  </si>
  <si>
    <t xml:space="preserve">
# Pulseless VT - occurred in OR; likely in the setting of being
immediately post-HD and anesthesia induction.</t>
  </si>
  <si>
    <t>47346-hospital-course-1-1</t>
  </si>
  <si>
    <t xml:space="preserve"> As the strip was
not preserved, EP felt that a study would not be helpful, as it
cannot be verified that any inducible VT during a study was the
rhythm that the patient had experienced.</t>
  </si>
  <si>
    <t>47346-hospital-course-1-2</t>
  </si>
  <si>
    <t xml:space="preserve"> The patient was kept
on amiodarone during his time in the CCU, but per EP it was felt
that continued therapy was not indicated at this time and so
this was discontinued while the patient was in the unit.</t>
  </si>
  <si>
    <t>47346-hospital-course-1-3</t>
  </si>
  <si>
    <t xml:space="preserve"> The
patient will need evaluation by a cardiologist before any
operations in the future.</t>
  </si>
  <si>
    <t>47346-hospital-course-1-4</t>
  </si>
  <si>
    <t xml:space="preserve"> The patient had PVCs but no other
signs of ectopic activity or abnormal rhythms during his time in
the unit, nor after transfer to the medicine floor.</t>
  </si>
  <si>
    <t>47346-hospital-course-2-0</t>
  </si>
  <si>
    <t xml:space="preserve">
# Neurologic weakness - The patient experienced transient
weakness of his upper extremities, including his deltoids
bilaterally immediately post-operatively after extubation.</t>
  </si>
  <si>
    <t>47346-hospital-course-2-1</t>
  </si>
  <si>
    <t xml:space="preserve"> On
initial exam, the patient had 0-1/5 strength of the deltoids
bilaterally.</t>
  </si>
  <si>
    <t>47346-hospital-course-2-2</t>
  </si>
  <si>
    <t xml:space="preserve"> Given his h/o severe cervical stenosis and recent
h/o intubation/extubation, Ortho/NSGY were consulted.</t>
  </si>
  <si>
    <t>47346-hospital-course-2-3</t>
  </si>
  <si>
    <t xml:space="preserve"> NSGY
recommended CT C-spine and collar placement.</t>
  </si>
  <si>
    <t>47346-hospital-course-2-4</t>
  </si>
  <si>
    <t xml:space="preserve"> The CT c-spine
showed known severe spinal foraminal narrowing but no clear
evidence of acute injury, with MRI showing no bone edema, no
ligamentous damage, but substantial degenerative changes
worsened mildly since previous MRI ([**2130-12-1**]).</t>
  </si>
  <si>
    <t>47346-hospital-course-2-5</t>
  </si>
  <si>
    <t xml:space="preserve"> Over several
hours post-operatively the patient had slow but spontaneous
improvement of symptoms and returned to his baseline strength
(per his report).</t>
  </si>
  <si>
    <t>47346-hospital-course-3-0</t>
  </si>
  <si>
    <t xml:space="preserve">
# CAD - Continued ASA, BB, statin.</t>
  </si>
  <si>
    <t>47346-hospital-course-3-1</t>
  </si>
  <si>
    <t xml:space="preserve"> Patient should not stop ASA
for any minor surgeries in the future as he has a DES -&gt; LMCA.</t>
  </si>
  <si>
    <t>47346-hospital-course-4-0</t>
  </si>
  <si>
    <t xml:space="preserve">
# ESRD - Patient received hemodyalsis at [**Hospital1 18**] on Wednesday and
Friday. Hemodynamically stable throughout stay except for mild
hypotension post dialysis that responded well to fluids.</t>
  </si>
  <si>
    <t>47346-hospital-course-4-1</t>
  </si>
  <si>
    <t>Held
metoprolol prior to HD sessions.</t>
  </si>
  <si>
    <t>47346-hospital-course-4-2</t>
  </si>
  <si>
    <t>Continued on sevelamer and
calcium acetate.</t>
  </si>
  <si>
    <t>47346-hospital-course-5-0</t>
  </si>
  <si>
    <t xml:space="preserve">
#Bullous Pemphigoid - followed by Dermatology while here, with
regular changing of dressings in blistered areas and application
of recommended medications.</t>
  </si>
  <si>
    <t>47346-hospital-course-6-0</t>
  </si>
  <si>
    <t xml:space="preserve">
# Supratherapeutic INR - pt was on coumadin 2 mg daily
post-operative per ortho; however, after 2 doses, INR climbed to
8.6.</t>
  </si>
  <si>
    <t>47346-hospital-course-6-1</t>
  </si>
  <si>
    <t>Held coumadin.</t>
  </si>
  <si>
    <t>47346-hospital-course-6-2</t>
  </si>
  <si>
    <t>Gave vitamin K 2 mg po x 1.</t>
  </si>
  <si>
    <t>47346-hospital-course-6-3</t>
  </si>
  <si>
    <t>Followed INR
daily for goal 1.5-2.</t>
  </si>
  <si>
    <t>47346-hospital-course-6-4</t>
  </si>
  <si>
    <t>Needs coumadin x 4 weeks.</t>
  </si>
  <si>
    <t>47346-hospital-course-7-0</t>
  </si>
  <si>
    <t>TO DO FOR REHAB:
[ ] monitor INR daily (goal is 1.5-2.0 x 4 weeks per
orthopedics), please titrate coumadin as needed
[ ] physical therapy
[ ] occupational therapy
[ ] hemodialysis on Mon, Wed, Friday -- HOLD METOPROLOL PRIOR TO
HEMODIALYSIS SESSIONS
[ ] check CBC and electrolytes daily x 1 week, then three times
a w</t>
  </si>
  <si>
    <t>47346-medication-history-0-0</t>
  </si>
  <si>
    <t>Ezetimibe 10 mg daily
Celexa 20 mg daily
Zocor 80 mg daily
Mirtazapine 15 mg po qhs
Citalopram 10 mg po daily
Simethicone 80 mg po bid
Compazine 10 mg po q8h prn
Imodium 2 mg po q6h prn
ASA 325 mg po daily
Minocycline HcL 100 mg po bid
Calcium Acetate 667 mg - 2 cap tid
Metoprolol 25 mg po bid
Omeprazole 20 mg po daily
Lactobacillus 1 tab po bid
Vitamin B complex with C</t>
  </si>
  <si>
    <t>47346-discharge-medications-0-0</t>
  </si>
  <si>
    <t>Docusate Sodium 100 mg Capsule Sig: One (1) Capsule PO BID (2
times a day).</t>
  </si>
  <si>
    <t>47346-discharge-medications-0-1</t>
  </si>
  <si>
    <t>Senna 8.6 mg Tablet Sig: One (1) Tablet PO BID (2 times a
day) as needed for constipation.</t>
  </si>
  <si>
    <t>47346-discharge-medications-0-2</t>
  </si>
  <si>
    <t>Ezetimibe 10 mg Tablet Sig: One (1) Tablet PO DAILY (Daily).</t>
  </si>
  <si>
    <t>47346-discharge-medications-1-0</t>
  </si>
  <si>
    <t>Citalopram 20 mg Tablet Sig: One (1) Tablet PO DAILY (Daily).</t>
  </si>
  <si>
    <t>47346-discharge-medications-2-0</t>
  </si>
  <si>
    <t>Calcium Acetate 667 mg Capsule Sig: Two (2) Capsule PO TID
W/MEALS (3 TIMES A DAY WITH MEALS).</t>
  </si>
  <si>
    <t>47346-discharge-medications-2-1</t>
  </si>
  <si>
    <t>Multivitamin,Tx-Minerals     Tablet Sig: One (1) Tablet PO
DAILY (Daily).</t>
  </si>
  <si>
    <t>47346-discharge-medications-2-2</t>
  </si>
  <si>
    <t>Omeprazole 20 mg Capsule, Delayed Release(E.C.) Sig: One (1)
Capsule, Delayed Release(E.C.) PO DAILY (Daily).</t>
  </si>
  <si>
    <t>47346-discharge-medications-2-3</t>
  </si>
  <si>
    <t>Minocycline 50 mg Capsule Sig: Two (2) Capsule PO BID (2
times a day).</t>
  </si>
  <si>
    <t>47346-discharge-medications-2-4</t>
  </si>
  <si>
    <t>Mupirocin Calcium 2 % Cream Sig: One (1) Appl Topical [**Hospital1 **] (2
times a day) as needed for on open wounds.</t>
  </si>
  <si>
    <t>47346-discharge-medications-2-5</t>
  </si>
  <si>
    <t>Clobetasol 0.05 % Cream Sig: One (1) Appl Topical [**Hospital1 **] (2
times a day).</t>
  </si>
  <si>
    <t>47346-discharge-medications-2-6</t>
  </si>
  <si>
    <t>Aspirin 325 mg Tablet Sig: One (1) Tablet PO DAILY (Daily).</t>
  </si>
  <si>
    <t>47346-discharge-medications-3-0</t>
  </si>
  <si>
    <t>Simvastatin 40 mg Tablet Sig: Two (2) Tablet PO HS (at
bedtime).</t>
  </si>
  <si>
    <t>47346-discharge-medications-3-1</t>
  </si>
  <si>
    <t>Sevelamer HCl 400 mg Tablet Sig: Two (2) Tablet PO TID
W/MEALS (3 TIMES A DAY WITH MEALS).</t>
  </si>
  <si>
    <t>47346-discharge-medications-3-2</t>
  </si>
  <si>
    <t>47346-discharge-medications-3-3</t>
  </si>
  <si>
    <t>Simethicone 80 mg Tablet, Chewable Sig: One (1) Tablet,
Chewable PO QID (4 times a day) as needed for bloating.</t>
  </si>
  <si>
    <t>47346-discharge-medications-3-4</t>
  </si>
  <si>
    <t>Acetaminophen 500 mg Tablet Sig: Two (2) Tablet PO Q 8H
(Every 8 Hours) as needed for PAIN.</t>
  </si>
  <si>
    <t>47346-discharge-medications-3-5</t>
  </si>
  <si>
    <t>Mirtazapine 15 mg Tablet Sig: One (1) Tablet PO HS (at
bedtime) as needed for Insomnia.</t>
  </si>
  <si>
    <t>47346-discharge-medications-3-6</t>
  </si>
  <si>
    <t>Lactobacillus Acidophilus  Oral
19. Imodium A-D 2 mg Tablet Sig: One (1) Tablet PO every six (6)
hours as needed for diarrhea.</t>
  </si>
  <si>
    <t>47346-discharge-condition-0-0</t>
  </si>
  <si>
    <t>Stable.</t>
  </si>
  <si>
    <t>47346-discharge-condition-0-1</t>
  </si>
  <si>
    <t>On room air.</t>
  </si>
  <si>
    <t>47346-discharge-condition-0-2</t>
  </si>
  <si>
    <t>Tolerating po's.</t>
  </si>
  <si>
    <t>47346-discharge-condition-0-3</t>
  </si>
  <si>
    <t>Ambulating with
assistance.</t>
  </si>
  <si>
    <t>47346-discharge-condition-0-4</t>
  </si>
  <si>
    <t>Afebrile.</t>
  </si>
  <si>
    <t>47346-facility-0-0</t>
  </si>
  <si>
    <t>[**Hospital6 459**] for the Aged - M</t>
  </si>
  <si>
    <t>47346-discharge-diagnosis-0-0</t>
  </si>
  <si>
    <t>Primary diagnosis:
1.</t>
  </si>
  <si>
    <t>47346-discharge-diagnosis-0-1</t>
  </si>
  <si>
    <t>R hip fracture
2.</t>
  </si>
  <si>
    <t>47346-discharge-diagnosis-0-2</t>
  </si>
  <si>
    <t>Ventricular Tachycardia
3.</t>
  </si>
  <si>
    <t>47346-discharge-diagnosis-0-3</t>
  </si>
  <si>
    <t>47346-discharge-diagnosis-1-0</t>
  </si>
  <si>
    <t>47346-discharge-diagnosis-1-1</t>
  </si>
  <si>
    <t>C</t>
  </si>
  <si>
    <t>47346-discharge-instructions-0-0</t>
  </si>
  <si>
    <t>You were admitted to [**Hospital1 18**] from [**Hospital3 417**] Hospital for
surgical repair of a right hip fracture.</t>
  </si>
  <si>
    <t>47346-discharge-instructions-0-1</t>
  </si>
  <si>
    <t xml:space="preserve">
While being prepared for surgery and after anesthesia was
induced, you experienced a cardiac arrhythmia.</t>
  </si>
  <si>
    <t>47346-discharge-instructions-0-2</t>
  </si>
  <si>
    <t>Your heart was
shocked which corrected the arrhythmia, the operation was
aborted, and you were transferred to the cardiac ICU.</t>
  </si>
  <si>
    <t>47346-discharge-instructions-0-3</t>
  </si>
  <si>
    <t>You were
monitored for and after further studies of your heart by
cardiologist you were cleared to go back to the OR.</t>
  </si>
  <si>
    <t>47346-discharge-instructions-0-4</t>
  </si>
  <si>
    <t xml:space="preserve">
You succsefully underwent surgical repair of your right hip the
following day ([**9-23**]), but when you awoke you experienced
weakness, primarily in your upper arms.</t>
  </si>
  <si>
    <t>47346-discharge-instructions-0-5</t>
  </si>
  <si>
    <t>The weakness resolved
spontaneously over the next several hours and returned to your
baseline.</t>
  </si>
  <si>
    <t>47346-discharge-instructions-1-0</t>
  </si>
  <si>
    <t xml:space="preserve">
Please continue your medications as prescribed.</t>
  </si>
  <si>
    <t>47346-discharge-instructions-1-1</t>
  </si>
  <si>
    <t>The following
changes were made: (reconcile compared to home meds)
1.</t>
  </si>
  <si>
    <t>47346-discharge-instructions-1-2</t>
  </si>
  <si>
    <t>Your compazaine was discontinued
2.</t>
  </si>
  <si>
    <t>47346-discharge-instructions-1-3</t>
  </si>
  <si>
    <t>Your metoprolol was decreased from 25 mg po BID daily to 12.5
mg po BID
3.</t>
  </si>
  <si>
    <t>47346-discharge-instructions-1-4</t>
  </si>
  <si>
    <t>Your nephrocap was discontinued
4.</t>
  </si>
  <si>
    <t>47346-discharge-instructions-1-5</t>
  </si>
  <si>
    <t>We started you on Clobetasol 0.05% cream applied topically
5.</t>
  </si>
  <si>
    <t>47346-discharge-instructions-1-6</t>
  </si>
  <si>
    <t>We started you on Mupioricin cream 2% applied topically to
open wounds
6.</t>
  </si>
  <si>
    <t>47346-discharge-instructions-1-7</t>
  </si>
  <si>
    <t>We discontinued your daily remeron, and have made it as
needed
7.</t>
  </si>
  <si>
    <t>47346-discharge-instructions-1-8</t>
  </si>
  <si>
    <t>We starte Acetaminophen 1 gm every 8 hours as needed for pain
8. You are being continued on Celexa(Citalopram) 20mg.</t>
  </si>
  <si>
    <t>47346-discharge-instructions-1-9</t>
  </si>
  <si>
    <t xml:space="preserve">
Please keep all your medical appointments as below.</t>
  </si>
  <si>
    <t>47346-discharge-instructions-2-0</t>
  </si>
  <si>
    <t xml:space="preserve">
If you have any of the following symptoms, please call your
doctor or go to the nearest ER: fever &gt; 101, chest pain,
shortness of breath, nausea / vomiting, abdominal pain, bright
red blood per rectum, blood in urine, or any other concerning
symptoms.</t>
  </si>
  <si>
    <t>47346-discharge-instructions-3-0</t>
  </si>
  <si>
    <t>47346-discharge-instructions-4-0</t>
  </si>
  <si>
    <t>47346-discharge-instructions-5-0</t>
  </si>
  <si>
    <t>47346-discharge-instructions-5-1</t>
  </si>
  <si>
    <t xml:space="preserve">
[**Last Name (STitle) 1057**] [**Name (STitle) **], for continuing outpatient care and monitoring of your
blood INR, which should be kept between 1.5-2.0 for 1 month on
coumadin.</t>
  </si>
  <si>
    <t>47346-discharge-instructions-5-2</t>
  </si>
  <si>
    <t>47346-discharge-instructions-6-0</t>
  </si>
  <si>
    <t>47346-discharge-instructions-6-1</t>
  </si>
  <si>
    <t>Neurosurgery follow-up
With: Dr.</t>
  </si>
  <si>
    <t>47346-discharge-instructions-6-2</t>
  </si>
  <si>
    <t>[**Last Name (STitle) 548**]
Time: Friday [**2134-10-17**]:[**Street Address(2) 100225**]: [**Hospital3 **] Hospital, [**Location (un) 830**], [**Hospital Ward Name 23**]
Building, [**Location (un) 551**], Spine Center
Phone: [</t>
  </si>
  <si>
    <t>495027-critical-care-attending-addendum-0-0</t>
  </si>
  <si>
    <t>On this day I saw, examined and was physically present with the
   resident / fellow for the key portions of the services provided.</t>
  </si>
  <si>
    <t>495027-critical-care-attending-addendum-0-1</t>
  </si>
  <si>
    <t>I
   agree with the above note and plans.</t>
  </si>
  <si>
    <t>495027-critical-care-attending-addendum-0-2</t>
  </si>
  <si>
    <t xml:space="preserve">
   I would add the following remarks:
   History
   unstable wcT seen by anesthes rx mult dccv.</t>
  </si>
  <si>
    <t>495027-critical-care-attending-addendum-0-3</t>
  </si>
  <si>
    <t>no prior clin arrhthmia.</t>
  </si>
  <si>
    <t>495027-critical-care-attending-addendum-0-4</t>
  </si>
  <si>
    <t xml:space="preserve">
   Physical Examination
   vss, alert, clear lungs.</t>
  </si>
  <si>
    <t>495027-critical-care-attending-addendum-0-5</t>
  </si>
  <si>
    <t>ii/vi ej murmur rad to OT A2 heard ot.incr P2
   i/vi llsb, ii/vi apex
   Medical Decision Making
   2 vpb morph on ecg.</t>
  </si>
  <si>
    <t>495027-critical-care-attending-addendum-0-6</t>
  </si>
  <si>
    <t>ca 8, ? free Ca2+, alb
   w/need for hip surgery, cover w/amio and proceed.</t>
  </si>
  <si>
    <t>495027-critical-care-attending-addendum-0-7</t>
  </si>
  <si>
    <t>continue amio at
   least 24 hr post-op, if stable then d/c.</t>
  </si>
  <si>
    <t>495027-critical-care-attending-addendum-0-8</t>
  </si>
  <si>
    <t>discussed w/dr [**Last Name (STitle) **].</t>
  </si>
  <si>
    <t>495027-chief-complaint-0-0</t>
  </si>
  <si>
    <t>Patient is seen for consultation today at the request
   of Dr. [**Last Name (STitle) **].</t>
  </si>
  <si>
    <t>495027-chief-complaint-0-1</t>
  </si>
  <si>
    <t>We are asked to give consultative advice regarding
   evaluation and management of ventricular tachycardia.</t>
  </si>
  <si>
    <t>495027-history-of-present-illness-0-0</t>
  </si>
  <si>
    <t>82 year old male with a history of CAD s/p CABG in [**2122**] (LIMA-LAD,
   SVG-OM1/3, SVG-RCA) s/p NSTEMI [**1-/2131**] with TO SVGs, TO RCA, subtot LCx,
   and 70% LMain s/p DES, diastolic CHF, pulmonary hypertension, mild
   aortic stenosis, peripheral vascular disease s/p aortobifemoral bypass,
   AAA s/p repair, ESRD on HD, h/o GI bleeding, prostate cancer, and
   possible renal cell cancer who was admitted to the medicine service on
   [**9-21**] with a right hip fracture after falling out of his wheelchair.</t>
  </si>
  <si>
    <t>495027-history-of-present-illness-0-1</t>
  </si>
  <si>
    <t xml:space="preserve">
   The patient was dialyzed yesterday morning and then went to the OR for
   hip fracture repair, where he was noted to have brief runs of NSVT.</t>
  </si>
  <si>
    <t>495027-history-of-present-illness-0-2</t>
  </si>
  <si>
    <t xml:space="preserve">
   During arterial line placement prior to the operation, he developed
   sustained monomorphic VT (?200 bpm) and hypotension with SBP 40s.</t>
  </si>
  <si>
    <t>495027-history-of-present-illness-0-3</t>
  </si>
  <si>
    <t xml:space="preserve"> He
   was shocked once back into sinus rhythm but then developed two
   additional episodes of unstable sustained monomorphic VT both
   successfully shocked.</t>
  </si>
  <si>
    <t>495027-history-of-present-illness-0-4</t>
  </si>
  <si>
    <t xml:space="preserve"> Unfortunately the strips are not available for
   review.</t>
  </si>
  <si>
    <t>495027-history-of-present-illness-0-5</t>
  </si>
  <si>
    <t xml:space="preserve"> He was transferred to the CCU where he was loaded with IV
   amiodarone and has had no further recurrences.</t>
  </si>
  <si>
    <t>495027-history-of-present-illness-0-6</t>
  </si>
  <si>
    <t xml:space="preserve"> We are consulted for
   evaluation and management of his ventricular tachycardia.</t>
  </si>
  <si>
    <t>495027-history-of-present-illness-0-7</t>
  </si>
  <si>
    <t xml:space="preserve">
   Currently the patient denies chest pain, shortness of breath,
   palpitations, or lightheadedness.</t>
  </si>
  <si>
    <t>495027-allergies-0-0</t>
  </si>
  <si>
    <t>Vicodin (Rash) / Percocet (Rash) / Darvocet (Rash) /
   Oxycodone (Rash) / Vancomycin (Hypotension)</t>
  </si>
  <si>
    <t>495027-medication-history-0-0</t>
  </si>
  <si>
    <t>Ezetimibe 10 mg daily
   Celexa 20 mg daily
   Zocor 80 mg daily
   Mirtazapine 15 mg po qhs
   Citalopram 10 mg po daily
   Simethicone 80 mg po bid
   Compazine 10 mg po q8h prn
   Imodium 2 mg po q6h prn
   ASA 325 mg po daily
   Minocycline HcL 100 mg po bid
   Calcium Acetate 667 mg - 2 cap tid
   Metoprolol 25 mg po bid
   Omeprazole 20 mg po daily
   Lactobacillus 1 tab po bid
   Vitamin B complex with C
   ??</t>
  </si>
  <si>
    <t>495027-medication-history-0-1</t>
  </si>
  <si>
    <t>Plavix 75 mg po daily (not on most recent med list; may have been
   stopped after GI bleed)</t>
  </si>
  <si>
    <t>495027-current-medications-0-0</t>
  </si>
  <si>
    <t>Heparin 5000 UNIT SC TID
   Metoprolol Tartrate 12.5 mg PO BID
   Acetaminophen [**Telephone/Fax (1) 179**] mg PO Q6H:PRN pain
   Minocycline 100 mg PO BID
   Amiodarone 150 mg IV ONCE
   Multivitamins W/minerals 1 TAB PO DAILY
   Amiodarone 1 mg/min IV INFUSION
   Mupirocin Cream 2% 1 Appl TP [**Hospital1 7**]
   Aspirin 325 mg PO DAILY
   Omeprazole 20 mg PO DAILY
   Calcium Acetate 1334 mg PO TID W/MEALS
   Senna 1 TAB PO BID:PRN bm
   Citalopram Hydrobromide 20 mg PO DAILY
   Simvastatin 80 mg PO DAILY
   Clobetasol Propionate 0.05% Cream 1 Appl TP [**Hospital1 7**]
   Docusate Sodium 100 mg PO BID
   Ezetimibe 10 mg PO DAILY
   traZODONE 25 mg PO ONCE M</t>
  </si>
  <si>
    <t>495027-past-medical-history-0-0</t>
  </si>
  <si>
    <t>-CAD, s/p CABG in [**2122**] (LIMA-LAD, SVG-RCA--occluded,
   SVG-OM1/OM3--occluded), s/p NSTEMI (DES in L main) in [**2-3**]
   -AAA, s/p repair in [**2123**]
   -PVD, s/p aortobiiliac graft in [**2123**], s/p L CEA in [**2122**] followed by Dr.</t>
  </si>
  <si>
    <t>495027-past-medical-history-0-1</t>
  </si>
  <si>
    <t xml:space="preserve">
   [**Last Name (STitle) **]
   [**Name (STitle) 6919**] with LUE AVF, on HD MWF
   -Severe cervical and lumbar spinal stenosis with near paraplegia, s/p
   anterior cervical discectomy and arthrodesis at C5-C6 and C6-C7 by Dr.</t>
  </si>
  <si>
    <t>495027-past-medical-history-0-2</t>
  </si>
  <si>
    <t xml:space="preserve">
   [**Last Name (STitle) 1836**] [**12-6**].</t>
  </si>
  <si>
    <t>495027-past-medical-history-0-3</t>
  </si>
  <si>
    <t xml:space="preserve">
   -Abdominal wall abscess, s/p I&amp;D, culture with Actinomyces treated with
   6 month course of ampicillin/penicillin, in [**5-5**]
   -Right renal tumor, suspicious for RCC, undergoing watchful waiting,
   followed by Dr.</t>
  </si>
  <si>
    <t>495027-past-medical-history-0-4</t>
  </si>
  <si>
    <t>[**Last Name (STitle) 337**]
   [**Name (STitle) **]/o prostate cancer s/p brachytherapy
   -h/o choledocholithiasis and cholangitis s/p lap chole [**2130-3-21**]
   -GI bleed
   -Sigmoid diverticulosis
   Cardiac Risk Factors include dyslipidemia, hypertension, tobacco use.</t>
  </si>
  <si>
    <t>495027-past-medical-history-0-5</t>
  </si>
  <si>
    <t xml:space="preserve">
   Cardiac History is significant for CABG in [**2122**] with anatomy as
   follows:  LIMA-LAD, SVG-RCA--occluded, SVG-OM1/OM3--occluded.</t>
  </si>
  <si>
    <t>495027-past-medical-history-0-6</t>
  </si>
  <si>
    <t xml:space="preserve">
   Percutaneous coronary intervention, in [**2130**] with anatomy as follows:
   3-vessel coronary disease, stenting of protected left main ostium with
   3.5x12mm Endeavor stent, occluded SVG grafts, patent LIMA graft (see
   details below).</t>
  </si>
  <si>
    <t>495027-past-medical-history-0-7</t>
  </si>
  <si>
    <t xml:space="preserve">
   Pacemaker/ICD: none.</t>
  </si>
  <si>
    <t>495027-past-medical-history-0-8</t>
  </si>
  <si>
    <t xml:space="preserve">
   Other Past Medical History:  Per above.</t>
  </si>
  <si>
    <t>495027-social-history-0-0</t>
  </si>
  <si>
    <t>Lives at [**Location (un) 11017**] [**Hospital3 **] Residency.</t>
  </si>
  <si>
    <t>495027-social-history-0-1</t>
  </si>
  <si>
    <t xml:space="preserve">
   He was a manager for Metropolitan Life.</t>
  </si>
  <si>
    <t>495027-social-history-0-2</t>
  </si>
  <si>
    <t xml:space="preserve"> Past tobacco, none since [**2120**];
   no alcohol or IVDU.  He is primarily wheelchair bound.</t>
  </si>
  <si>
    <t>495027-family-history-0-0</t>
  </si>
  <si>
    <t>There is no family history of premature coronary
   artery disease or sudden death.</t>
  </si>
  <si>
    <t>495027-review-of-systems-0-0</t>
  </si>
  <si>
    <t xml:space="preserve">
   On review of systems, he denies any prior history of stroke, TIA, deep
   venous thrombosis, pulmonary embolism, bleeding at the time of surgery,
   myalgias, joint pains, cough, hemoptysis, black stools or red stools.</t>
  </si>
  <si>
    <t>495027-review-of-systems-0-1</t>
  </si>
  <si>
    <t xml:space="preserve">
   He denies recent fevers, chills or rigors.</t>
  </si>
  <si>
    <t>495027-review-of-systems-0-2</t>
  </si>
  <si>
    <t>He denies exertional buttock
   or calf pain.</t>
  </si>
  <si>
    <t>495027-review-of-systems-0-3</t>
  </si>
  <si>
    <t xml:space="preserve"> All of the other review of systems were negative.</t>
  </si>
  <si>
    <t>495027-review-of-systems-0-4</t>
  </si>
  <si>
    <t xml:space="preserve">
   Cardiac review of systems is notable for absence of chest pain, dyspnea
   on exertion, paroxysmal nocturnal dyspnea, orthopnea, ankle edema,
   palpitations, syncope or presyncope.</t>
  </si>
  <si>
    <t>495027-physical-examination-0-0</t>
  </si>
  <si>
    <t>Vitals: T: 97.6 degrees Fahrenheit, BP: 141/53 mmHg supine, HR 71 bpm,
   RR 14 bpm, O2: 100 % on 2L NC.</t>
  </si>
  <si>
    <t>495027-physical-examination-0-1</t>
  </si>
  <si>
    <t xml:space="preserve">
   Gen: No apparent distress, lying in bed.</t>
  </si>
  <si>
    <t>495027-physical-examination-0-2</t>
  </si>
  <si>
    <t xml:space="preserve">
   HEENT: No conjunctival pallor.</t>
  </si>
  <si>
    <t>495027-physical-examination-0-3</t>
  </si>
  <si>
    <t>495027-physical-examination-0-4</t>
  </si>
  <si>
    <t>MMM.</t>
  </si>
  <si>
    <t>495027-physical-examination-0-5</t>
  </si>
  <si>
    <t>495027-physical-examination-0-6</t>
  </si>
  <si>
    <t xml:space="preserve">
   NECK: Supple, No LAD.</t>
  </si>
  <si>
    <t>495027-physical-examination-0-7</t>
  </si>
  <si>
    <t>JVP normal.</t>
  </si>
  <si>
    <t>495027-physical-examination-0-8</t>
  </si>
  <si>
    <t>Normal carotid upstroke without
   bruits.</t>
  </si>
  <si>
    <t>495027-physical-examination-0-9</t>
  </si>
  <si>
    <t>No thyromegaly.</t>
  </si>
  <si>
    <t>495027-physical-examination-0-10</t>
  </si>
  <si>
    <t xml:space="preserve">
   CV: PMI in 5th intercostal space, mid clavicular line.</t>
  </si>
  <si>
    <t>495027-physical-examination-0-11</t>
  </si>
  <si>
    <t>RRR.</t>
  </si>
  <si>
    <t>495027-physical-examination-0-12</t>
  </si>
  <si>
    <t>495027-physical-examination-0-13</t>
  </si>
  <si>
    <t xml:space="preserve">
   Systolic murmur across the precordium without radiation.</t>
  </si>
  <si>
    <t>495027-physical-examination-0-14</t>
  </si>
  <si>
    <t>No rubs,
   clicks, or gallops.</t>
  </si>
  <si>
    <t>495027-physical-examination-0-15</t>
  </si>
  <si>
    <t xml:space="preserve">
   LUNGS: CTAB.</t>
  </si>
  <si>
    <t>495027-physical-examination-0-16</t>
  </si>
  <si>
    <t>No wheezes, rales, or rhonchi.</t>
  </si>
  <si>
    <t>495027-physical-examination-0-17</t>
  </si>
  <si>
    <t xml:space="preserve">
   ABD: NABS.</t>
  </si>
  <si>
    <t>495027-physical-examination-0-18</t>
  </si>
  <si>
    <t>495027-physical-examination-0-19</t>
  </si>
  <si>
    <t>495027-physical-examination-0-20</t>
  </si>
  <si>
    <t>Abdominal aorta was not enlarged by
   palpation.</t>
  </si>
  <si>
    <t>495027-physical-examination-0-21</t>
  </si>
  <si>
    <t>495027-physical-examination-0-22</t>
  </si>
  <si>
    <t xml:space="preserve">
   EXT: Cool extremities.</t>
  </si>
  <si>
    <t>495027-physical-examination-0-23</t>
  </si>
  <si>
    <t>Normal capillary refill.</t>
  </si>
  <si>
    <t>495027-physical-examination-0-24</t>
  </si>
  <si>
    <t>NO CCE.</t>
  </si>
  <si>
    <t>495027-physical-examination-0-25</t>
  </si>
  <si>
    <t>Full distal
   pulses bilaterally.</t>
  </si>
  <si>
    <t>495027-physical-examination-0-26</t>
  </si>
  <si>
    <t>No femoral bruits.</t>
  </si>
  <si>
    <t>495027-physical-examination-0-27</t>
  </si>
  <si>
    <t xml:space="preserve">
   SKIN: No rashes/lesions, ecchymoses.</t>
  </si>
  <si>
    <t>495027-physical-examination-0-28</t>
  </si>
  <si>
    <t>495027-physical-examination-0-29</t>
  </si>
  <si>
    <t>CN 2-12 grossly intact.</t>
  </si>
  <si>
    <t>495027-physical-examination-0-30</t>
  </si>
  <si>
    <t>Preserved sensation throughout.</t>
  </si>
  <si>
    <t>495027-physical-examination-0-31</t>
  </si>
  <si>
    <t xml:space="preserve">
   5/5 strength throughout.</t>
  </si>
  <si>
    <t>495027-physical-examination-0-32</t>
  </si>
  <si>
    <t>[**11-30**]+ reflexes, equal BL.</t>
  </si>
  <si>
    <t>495027-physical-examination-0-33</t>
  </si>
  <si>
    <t>Normal coordination.</t>
  </si>
  <si>
    <t>495027-physical-examination-0-34</t>
  </si>
  <si>
    <t xml:space="preserve">
   Gait assessment deferred.</t>
  </si>
  <si>
    <t>495027-physical-examination-0-35</t>
  </si>
  <si>
    <t xml:space="preserve">
   PSYCH: Mood and affect were appropriate.</t>
  </si>
  <si>
    <t>495027-labs-imaging-0-0</t>
  </si>
  <si>
    <t xml:space="preserve">
   EKG demonstrated sinus rhythm 85 bpm with prolonged QT most notable in
   lateral precordial leads, normal PR interval, LAD with Q-waves in III
   and aVf,  LVH and LAA, TWI in I/aVL/V5-6 and &lt;1mm downsloping ST
   depressions.</t>
  </si>
  <si>
    <t>495027-labs-imaging-0-1</t>
  </si>
  <si>
    <t xml:space="preserve"> Compared to prior [**2132-5-15**], the ST-T changes are new but
   otherwise findings are similar.</t>
  </si>
  <si>
    <t>495027-labs-imaging-0-2</t>
  </si>
  <si>
    <t xml:space="preserve">
   TELEMETRY:  Sinus with occasional ventricular couplets.</t>
  </si>
  <si>
    <t>495027-labs-imaging-0-3</t>
  </si>
  <si>
    <t xml:space="preserve">
   2D-ECHOCARDIOGRAM performed on [**2130-12-15**] demonstrated:
   EF &gt; 60%.</t>
  </si>
  <si>
    <t>495027-labs-imaging-0-4</t>
  </si>
  <si>
    <t xml:space="preserve"> The left atrium is elongated.</t>
  </si>
  <si>
    <t>495027-labs-imaging-0-5</t>
  </si>
  <si>
    <t>The estimated right atrial
   pressure is 10-20mmHg.</t>
  </si>
  <si>
    <t>495027-labs-imaging-0-6</t>
  </si>
  <si>
    <t>There is mild symmetric left ventricular
   hypertrophy with normal cavity size.</t>
  </si>
  <si>
    <t>495027-labs-imaging-0-7</t>
  </si>
  <si>
    <t>Tissue Doppler imaging suggests an
   increased left ventricular filling pressure (PCWP&gt;18mmHg).</t>
  </si>
  <si>
    <t>495027-labs-imaging-0-8</t>
  </si>
  <si>
    <t>The right
   ventricular cavity is mildly dilated with normal free wall
   contractility.</t>
  </si>
  <si>
    <t>495027-labs-imaging-0-9</t>
  </si>
  <si>
    <t>The aortic valve leaflets (3) are mildly thickened.</t>
  </si>
  <si>
    <t>495027-labs-imaging-0-10</t>
  </si>
  <si>
    <t xml:space="preserve">
   There is mild aortic valve stenosis (area 1.2-1.9cm2).</t>
  </si>
  <si>
    <t>495027-labs-imaging-0-11</t>
  </si>
  <si>
    <t>No aortic
   regurgitation is seen.</t>
  </si>
  <si>
    <t>495027-labs-imaging-0-12</t>
  </si>
  <si>
    <t>495027-labs-imaging-0-13</t>
  </si>
  <si>
    <t xml:space="preserve">
   Mild (1+) mitral regurgitation is seen. [Due to acoustic shadowing, the
   severity of mitral regurgitation may be significantly UNDERestimated.]
   There is moderate pulmonary artery systolic hypertension.</t>
  </si>
  <si>
    <t>495027-labs-imaging-0-14</t>
  </si>
  <si>
    <t>Mild pulmonic
   regurgitation is seen.</t>
  </si>
  <si>
    <t>495027-labs-imaging-0-15</t>
  </si>
  <si>
    <t>There is a trivial/physiologic pericardial
   effusion.</t>
  </si>
  <si>
    <t>495027-labs-imaging-0-16</t>
  </si>
  <si>
    <t xml:space="preserve"> Compared with the prior study (images reviewed) of [**2130-12-1**],
   minimal aortic stenosis is present.</t>
  </si>
  <si>
    <t>495027-labs-imaging-0-17</t>
  </si>
  <si>
    <t xml:space="preserve">
   ETT performed on [**2130-3-20**] demonstrated:
   The patient exercised for 8 minutes of [**Initials (NamePattern4) **] [**Last Name (NamePattern4) 10270**] protocol (~5 METS) and
   stopped for fatigue.</t>
  </si>
  <si>
    <t>495027-labs-imaging-0-18</t>
  </si>
  <si>
    <t>This represents a fair physical working capacity
   for his age.</t>
  </si>
  <si>
    <t>495027-labs-imaging-0-19</t>
  </si>
  <si>
    <t>No arm, neck, back or chest discomfort was reported by the
   patient throughout the study.</t>
  </si>
  <si>
    <t>495027-labs-imaging-0-20</t>
  </si>
  <si>
    <t>At
   peak exercise, there was 0.5-1 mm horizontal ST segment depression in
   V5-6.</t>
  </si>
  <si>
    <t>495027-labs-imaging-0-21</t>
  </si>
  <si>
    <t>These changes resolved with rest by minute 4 of recovery.</t>
  </si>
  <si>
    <t>495027-labs-imaging-0-22</t>
  </si>
  <si>
    <t>The
   rhythm was sinus with occasional isolated apbs and vpbs.</t>
  </si>
  <si>
    <t>495027-labs-imaging-0-23</t>
  </si>
  <si>
    <t>Resting
   hypertension with a slight increase in systolic BP with exercise.</t>
  </si>
  <si>
    <t>495027-labs-imaging-0-24</t>
  </si>
  <si>
    <t xml:space="preserve">
   IMPRESSION: Borderline ischemic EKG changes in the absence of angina at
   the achieved level of exercise.</t>
  </si>
  <si>
    <t>495027-labs-imaging-0-25</t>
  </si>
  <si>
    <t>Nuclear report demonstrated: 1.</t>
  </si>
  <si>
    <t>495027-labs-imaging-0-26</t>
  </si>
  <si>
    <t xml:space="preserve">
   Predominantly fixed, moderate perfusion defect in the inferior wall,
   which was present but partially reversible on [**2124-3-7**].</t>
  </si>
  <si>
    <t>495027-labs-imaging-0-27</t>
  </si>
  <si>
    <t>Dilatation of
   the left ventricular cavity on both stress and rest images, slightly
   increased since [**2124-3-7**].</t>
  </si>
  <si>
    <t>495027-labs-imaging-0-28</t>
  </si>
  <si>
    <t xml:space="preserve">
   EF 52%.</t>
  </si>
  <si>
    <t>495027-labs-imaging-0-29</t>
  </si>
  <si>
    <t xml:space="preserve">
   CARDIAC CATH performed on [**2131-2-12**] demonstrated:
   1.</t>
  </si>
  <si>
    <t>495027-labs-imaging-0-30</t>
  </si>
  <si>
    <t>Coronary angiography of this right dominant system revealed a 70%
   stenosis at the origin of the LMCA.</t>
  </si>
  <si>
    <t>495027-labs-imaging-0-31</t>
  </si>
  <si>
    <t>The LAD had competitive flow
   distally with a patent LIMA and had a large D1 without critical
   lesions.</t>
  </si>
  <si>
    <t>495027-labs-imaging-0-32</t>
  </si>
  <si>
    <t>The LCX was a non-dominant vessel with a sub-total occlusion
   of the AV groove vessel.</t>
  </si>
  <si>
    <t>495027-labs-imaging-0-33</t>
  </si>
  <si>
    <t>The RCA was the dominant vessel but totally
   occluded proximally.</t>
  </si>
  <si>
    <t>495027-labs-imaging-0-34</t>
  </si>
  <si>
    <t>Arterial conduit arteriography revealed a patent LIMA-LAD, occluded
   SVG-OM1/3 proximally and occluded SVG-RCA proximally.</t>
  </si>
  <si>
    <t>495027-labs-imaging-0-35</t>
  </si>
  <si>
    <t>Resting
   hemodynamics revealed normal systemic arterial pressures with an SBP of
   124 mm Hg and a mildly elevated LVEDP of 24 mm Hg consistent with mild
   diastolic dysfunction.</t>
  </si>
  <si>
    <t>495027-labs-imaging-0-36</t>
  </si>
  <si>
    <t xml:space="preserve"> Stenting of protected left main ostium with 3.5x12mm Endeavor stent
   post-dilated to 3.75.</t>
  </si>
  <si>
    <t>495027-labs-imaging-0-37</t>
  </si>
  <si>
    <t>Final angiography with no complications.</t>
  </si>
  <si>
    <t>495027-labs-imaging-0-38</t>
  </si>
  <si>
    <t xml:space="preserve">
   FINAL DIAGNOSIS:
   1.</t>
  </si>
  <si>
    <t>495027-labs-imaging-0-39</t>
  </si>
  <si>
    <t>Three vessel coronary disease
   2.</t>
  </si>
  <si>
    <t>495027-labs-imaging-0-40</t>
  </si>
  <si>
    <t>Patent LIMA-LAD, occluded SVG-RCA, occluded SVG-OM1/OM3
   3.</t>
  </si>
  <si>
    <t>495027-labs-imaging-0-41</t>
  </si>
  <si>
    <t>Stenting of left main with DES.</t>
  </si>
  <si>
    <t>495027-labs-imaging-0-42</t>
  </si>
  <si>
    <t xml:space="preserve">
   HEMODYNAMICS: none.</t>
  </si>
  <si>
    <t>495027-labs-imaging-0-43</t>
  </si>
  <si>
    <t xml:space="preserve">
   OTHER TESTING:
   LABORATORY DATA:
   142   98     52
   ---|-------|------&lt; 100               9.3 &gt;------&lt; 152
   4.2   30     6.3                            39.3
   Ca 8.0     Mg 2.2     Phos 8.2
   CK 59 -&gt; 58    MB not done
   TnT 0.26 -&gt; 0.28  (baseline TnT 0.15-0.20)
   PTT 34.6     INR 1.2
   CXR ([**2132-9-21**]):  Redemonstration of cardiomegaly and otherwise no acute
   intrathoracic process.</t>
  </si>
  <si>
    <t>495027-labs-imaging-0-44</t>
  </si>
  <si>
    <t xml:space="preserve">
   HIP XRAY ([**2132-9-21**]):
   1.</t>
  </si>
  <si>
    <t>495027-labs-imaging-0-45</t>
  </si>
  <si>
    <t>Faint lucency at the right hip suggesting intertrochanteric
   fracture.</t>
  </si>
  <si>
    <t>495027-labs-imaging-0-46</t>
  </si>
  <si>
    <t>495027-labs-imaging-0-47</t>
  </si>
  <si>
    <t>495027-labs-imaging-0-48</t>
  </si>
  <si>
    <t xml:space="preserve">
   CT HEAD WITHOUT CONTRAST ([**2132-9-21**]):  No acute intracranial process.</t>
  </si>
  <si>
    <t>495027-labs-imaging-0-49</t>
  </si>
  <si>
    <t xml:space="preserve">
   Right frontal lobe hypodensity likely reflects previous infarction, age
   indeterminate, absent comparison studies.</t>
  </si>
  <si>
    <t>495027-assessment-and-plan-0-0</t>
  </si>
  <si>
    <t>82 year old male with a history of CAD s/p CABG in [**2122**] (LIMA-LAD,
   SVG-OM1/3, SVG-RCA) s/p NSTEMI [**1-/2131**] with TO SVGs, TO RCA, subtot LCx,
   and 70% LMain s/p DES, diastolic CHF, pulmonary hypertension, mild
   aortic stenosis, peripheral vascular disease s/p aortobifemoral bypass,
   AAA s/p repair, ESRD on HD, h/o GI bleeding, prostate cancer, and
   possible renal cell cancer presented with hip fracture following
   mechanical fall and developed unstable VT pre-operatively requiring
   multiple shocks.</t>
  </si>
  <si>
    <t>495027-assessment-and-plan-0-1</t>
  </si>
  <si>
    <t xml:space="preserve"> Per anesthesia the VT was monomorphic, however
   unfortunately no strips were printed of the events and therefore the
   primary data is not available for review.</t>
  </si>
  <si>
    <t>495027-assessment-and-plan-0-2</t>
  </si>
  <si>
    <t xml:space="preserve"> Since initiation of
   amiodarone he has had no further sustained ventricular arrhythmias.</t>
  </si>
  <si>
    <t>495027-assessment-and-plan-0-3</t>
  </si>
  <si>
    <t xml:space="preserve">
   Likely the cause of his VT was related to hemodynamic shifts following
   induction of general anesthesia.</t>
  </si>
  <si>
    <t>495027-assessment-and-plan-0-4</t>
  </si>
  <si>
    <t xml:space="preserve"> There is no current evidence of new
   myocardial infarction.</t>
  </si>
  <si>
    <t>495027-assessment-and-plan-0-5</t>
  </si>
  <si>
    <t xml:space="preserve"> Echocardiogram is pending to assess left
   ventricular function, which was preserved in [**2130**].</t>
  </si>
  <si>
    <t>495027-assessment-and-plan-0-6</t>
  </si>
  <si>
    <t xml:space="preserve"> Would not recommend
   ICD at this time, but continue amiodarone for now peri-operatively and
   will discuss further management including utility of EP study with
   attending.</t>
  </si>
  <si>
    <t>495027-assessment-and-plan-0-7</t>
  </si>
  <si>
    <t xml:space="preserve">
   This patient was seen, discussed and evaluated with Dr.</t>
  </si>
  <si>
    <t>495027-assessment-and-plan-0-8</t>
  </si>
  <si>
    <t>[**Last Name (STitle) 5550**].</t>
  </si>
  <si>
    <t>495027-assessment-and-plan-0-9</t>
  </si>
  <si>
    <t xml:space="preserve">
   Please see his note in the inpatient medical record for additional
   comments.</t>
  </si>
  <si>
    <t>522568-chief-complaint-0-0</t>
  </si>
  <si>
    <t>respiratory d</t>
  </si>
  <si>
    <t>522568-addendum-0-0</t>
  </si>
  <si>
    <t>522568-addendum-0-1</t>
  </si>
  <si>
    <t>522568-history-of-present-illness-0-0</t>
  </si>
  <si>
    <t>73 yo women with respiratory distress likely secondary to COPD.</t>
  </si>
  <si>
    <t>522568-history-of-present-illness-0-1</t>
  </si>
  <si>
    <t xml:space="preserve">
   admited from ED with acute desaturation.</t>
  </si>
  <si>
    <t>522568-allergies-0-0</t>
  </si>
  <si>
    <t>Hayfever (Nasal) (Homeopathic Drugs)
   Cough; s</t>
  </si>
  <si>
    <t>522568-other-medications-0-0</t>
  </si>
  <si>
    <t>Other medications:
   heparin
   atrovent/albuterol
   omeprazaole
   medrol 80mg IV q8h
   Fe
   MVI
   simvastatin
   SSI
   prozac
   c</t>
  </si>
  <si>
    <t>522568-past-medical-history-0-0</t>
  </si>
  <si>
    <t>PMH, SH, FH and ROS are unchanged from Admission except where noted
   above and below
   Review of systems is unchanged from admission except as noted b</t>
  </si>
  <si>
    <t>522568-review-of-systems-0-0</t>
  </si>
  <si>
    <t>Cardiovascular: No(t) Chest pain, Tachycardia
   Respiratory: Cough, No(t) Dyspnea, No(t) Wheeze
   Gastrointestinal: No(t) Abdominal pain
   Genitourinary: No(t) Dysuria
   Musculoskeletal: No(t) Joint p</t>
  </si>
  <si>
    <t>522568-flowsheet-data-vitals-0-0</t>
  </si>
  <si>
    <t>Vital signs
   Hemodynamic monitoring
   Fluid balance
                                                                  24 hours
                                                               Since [**55**] AM
   Tmax: 36.9
C (98.4
   Tcurrent: 36
C (96.8
   HR: 60 (57 - 90) bpm
   BP: 167/74(96) {130/58(76) - 167/80(100)} mmHg
   RR: 16 (15 - 24) insp/min
   SpO2: 97%
   Heart rhythm: SR (Sinus Rhythm)
   Height: 24 Inch
             Total In:
                                                                  2,290 mL
                                                                     98 mL
   PO:
                                                                    150 mL
             TF:
   IVF:
                                                                     90 mL
                                                                     98 mL
   Blood products:
   Total out:
                                                                  2,050 mL
                                                                  1,060 mL
   Urine:
                                                                  1,200 mL
                                                                  1,060 mL
   NG:
   Stool:
   Drains:
   Balance:
                                                                    240 mL
                                                                   -962 mL
   Respiratory support
   O2 Delivery Device: Aerosol-cool, Face tent
   SpO2: 97%
   ABG: ///32/</t>
  </si>
  <si>
    <t>522568-physical-examination-0-0</t>
  </si>
  <si>
    <t>General Appearance: Well nourished, No acute distress
   Eyes / Conjunctiva: PERRL
   Head, Ears, Nose, Throat: Normocephalic
   Lymphatic: No(t) Cervical WNL
   Cardiovascular: (S1: Normal), (S2: Normal)
   Peripheral Vascular: (Right radial pulse: Not assessed), (Left radial
   pulse: Not assessed), (Right DP pulse: Present), (Left DP pulse:
   Present)
   Respiratory / Chest: (Breath Sounds: Clear : )
   Abdominal: Soft, Non-tender, Bowel sounds present
   Extremities: Right lower extremity edema: Absent, Left lower extremity
   edema: Trace
   Skin:  Warm, No(t) Rash:
   Neurologic: Attentive, Follows simple commands, Responds to: Verbal
   stimuli, Movement: Not assessed, Tone: Not a</t>
  </si>
  <si>
    <t>522568-assessment-and-plan-0-0</t>
  </si>
  <si>
    <t>Respiratory distress:  COPD exacerbation.</t>
  </si>
  <si>
    <t>522568-assessment-and-plan-0-1</t>
  </si>
  <si>
    <t xml:space="preserve"> continue steroids and nebs.</t>
  </si>
  <si>
    <t>522568-assessment-and-plan-0-2</t>
  </si>
  <si>
    <t xml:space="preserve">
   diastolic CHF:  Seems euvolemic.</t>
  </si>
  <si>
    <t>522568-assessment-and-plan-0-3</t>
  </si>
  <si>
    <t xml:space="preserve"> add HCTZ as she is hypertensive, but
   not in distress.</t>
  </si>
  <si>
    <t>522568-assessment-and-plan-0-4</t>
  </si>
  <si>
    <t xml:space="preserve">
   tachycardia:  SVT this morning broke in its own.</t>
  </si>
  <si>
    <t>522568-assessment-and-plan-0-5</t>
  </si>
  <si>
    <t xml:space="preserve"> Likely due to
   nebulizers and COPD exacerbation atrial hyperactivity.</t>
  </si>
  <si>
    <t>522568-assessment-and-plan-0-6</t>
  </si>
  <si>
    <t>ICU Care
   Nutrition:
   Glycemic Control:
   Lines:
   18 Gauge - [**2153-4-6**] 03:00 PM
   20 Gauge - [**2153-4-6**] 03:00 PM
   Prophylaxis:
   DVT: SQ UF Heparin
   Stress ulcer: PPI
   VAP:
   Comments:
   Communication:  Comments:</t>
  </si>
  <si>
    <t>522568-code-status-0-0</t>
  </si>
  <si>
    <t>522568-disposition-0-0</t>
  </si>
  <si>
    <t>523070-critical-care-attending-addendum-0-0</t>
  </si>
  <si>
    <t>I saw and examined Ms.</t>
  </si>
  <si>
    <t>523070-critical-care-attending-addendum-0-1</t>
  </si>
  <si>
    <t>[**Known lastname 13659**] with the ICU team, whose note from today
   reflects my input.</t>
  </si>
  <si>
    <t>523070-critical-care-attending-addendum-0-2</t>
  </si>
  <si>
    <t xml:space="preserve"> I would add/emphasize that this 73 y/o woman was
   admitted to the ICU last week for respiratory distress and hypoxemia,
   on a background history of emphysema (mild by spirometry, but very low
   DLCO and on home O2).</t>
  </si>
  <si>
    <t>523070-critical-care-attending-addendum-0-3</t>
  </si>
  <si>
    <t xml:space="preserve"> Had knee replacement done recently then subacute
   worsening.</t>
  </si>
  <si>
    <t>523070-critical-care-attending-addendum-0-4</t>
  </si>
  <si>
    <t xml:space="preserve"> Negative CTA on [**3-25**].</t>
  </si>
  <si>
    <t>523070-critical-care-attending-addendum-0-5</t>
  </si>
  <si>
    <t xml:space="preserve"> In the ED, she was initially 90% on
   nasal cannula but had reportedly had episode of severe hypoxemia while
   moving stretchers.</t>
  </si>
  <si>
    <t>523070-critical-care-attending-addendum-0-6</t>
  </si>
  <si>
    <t xml:space="preserve"> She was called out of the ICU on [**4-7**] but developed
   tachycardia felt to be SVT on the floor.</t>
  </si>
  <si>
    <t>523070-critical-care-attending-addendum-0-7</t>
  </si>
  <si>
    <t xml:space="preserve"> It was uncontrolled with
   diltiazem and she returned to the ICU with that and respiratory
   distress.</t>
  </si>
  <si>
    <t>523070-critical-care-attending-addendum-0-8</t>
  </si>
  <si>
    <t xml:space="preserve">
   Prior history, medications, social history, etc.</t>
  </si>
  <si>
    <t>523070-critical-care-attending-addendum-0-9</t>
  </si>
  <si>
    <t>as documented in ICU
   notes
   On exam she is comfortable.</t>
  </si>
  <si>
    <t>523070-critical-care-attending-addendum-0-10</t>
  </si>
  <si>
    <t xml:space="preserve">
   Afebrile.</t>
  </si>
  <si>
    <t>523070-critical-care-attending-addendum-0-11</t>
  </si>
  <si>
    <t xml:space="preserve"> Nasal cannula.</t>
  </si>
  <si>
    <t>523070-critical-care-attending-addendum-0-12</t>
  </si>
  <si>
    <t xml:space="preserve">
   No retractions
   Still with substantive expiratory wheezes
   Regular heart
   Soft abdomen with multiple WHSS
   Knee with well-healed incision
   No edema.</t>
  </si>
  <si>
    <t>523070-critical-care-attending-addendum-0-13</t>
  </si>
  <si>
    <t xml:space="preserve"> Warm skin.</t>
  </si>
  <si>
    <t>523070-critical-care-attending-addendum-0-14</t>
  </si>
  <si>
    <t xml:space="preserve">
   Labs, meds, and imaging reviewed.</t>
  </si>
  <si>
    <t>523070-critical-care-attending-addendum-0-15</t>
  </si>
  <si>
    <t xml:space="preserve">
   Assessment and Plan
   73-year-old woman with respiratory distress, hypoxemia, and
   intermittent SVT.</t>
  </si>
  <si>
    <t>523070-critical-care-attending-addendum-0-16</t>
  </si>
  <si>
    <t xml:space="preserve"> Although the differential diagnosis is broad, acute
   exacerbation of COPD seems most likely.</t>
  </si>
  <si>
    <t>523070-critical-care-attending-addendum-0-17</t>
  </si>
  <si>
    <t xml:space="preserve"> Her episode of intermittent
   hypoxemia could be related to a PFO, as moving from stretcher to
   stretcher usually causes a Valsalva maneuver.</t>
  </si>
  <si>
    <t>523070-critical-care-attending-addendum-0-18</t>
  </si>
  <si>
    <t xml:space="preserve">
   COPD exacerbation
   - steroids
   - bronchodilators.</t>
  </si>
  <si>
    <t>523070-critical-care-attending-addendum-0-19</t>
  </si>
  <si>
    <t xml:space="preserve"> Trial of Xoponex vs.</t>
  </si>
  <si>
    <t>523070-critical-care-attending-addendum-0-20</t>
  </si>
  <si>
    <t>albuterol.</t>
  </si>
  <si>
    <t>523070-critical-care-attending-addendum-0-21</t>
  </si>
  <si>
    <t xml:space="preserve">
   - continue home meds (holding Spiriva while on atrovent nebs)
   - viral studies negative so far
   - we have added on antibiotics given clinical worsening
   - CTA today
   Paroxysmal supraventricular tachycardia
          Suspect this is AVNRT, though Aflutter with 2:1 block also
   in DDx (EAT, AVRT seem less likely)
          Concern that she may develop acute diastolic CHF with this,
   resulting in respiratory distress
          Ask for cardiology
s input on recommendations for rhythm
   management, since this rhythm has resulted in ED visits and ICU
   admissions
   Other issues (diabetes mellitus, anemia, hypertension, etc.) as per Dr.</t>
  </si>
  <si>
    <t>523070-critical-care-attending-addendum-0-22</t>
  </si>
  <si>
    <t xml:space="preserve">
   [**First Name (STitle) 325**]
   She is stable for transfer to floor
</t>
  </si>
  <si>
    <t>523029-24-hour-events-0-0</t>
  </si>
  <si>
    <t>No acute events o</t>
  </si>
  <si>
    <t>523029-allergies-0-0</t>
  </si>
  <si>
    <t>523029-other-medications-0-0</t>
  </si>
  <si>
    <t>Heparin Sodium (Prophylaxis) - [**2153-4-8**] 10:56 PM
   Other medications:</t>
  </si>
  <si>
    <t>523029-flowsheet-data-vitals-0-0</t>
  </si>
  <si>
    <t>Vital signs
   Hemodynamic monitoring
   Fluid balance
                                                                  24 hours
                                                               Since [**55**] AM
   Tmax: 36.4
C (97.6
   Tcurrent: 36.4
C (97.6
   HR: 73 (60 - 138) bpm
   BP: 149/74(92) {128/57(76) - 159/114(122)} mmHg
   RR: 26 (15 - 30) insp/min
   SpO2: 92%
   Heart rhythm: SR (Sinus Rhythm)
   Height: 24 Inch
                  Total In:
                  320 mL
   PO:
                  320 mL
   TF:
   IVF:
   Blood products:
   Total out:
                                                                    450 mL
                                                                    400 mL
   Urine:
                                                                    450 mL
                                                                    400 mL
   NG:
   Stool:
   Drains:
   Balance:
                                                                   -450 mL
                                                                    -80 mL
   Respiratory support
   O2 Delivery Device: Nasal cannula
   SpO2: 92%
   ABG: ///28/</t>
  </si>
  <si>
    <t>523029-physical-examination-0-0</t>
  </si>
  <si>
    <t>Wheezy?</t>
  </si>
  <si>
    <t>523029-labs-imaging-0-0</t>
  </si>
  <si>
    <t>300 K/uL
   11.3 g/dL
   187 mg/dL
   0.6 mg/dL
   28 mEq/L
   4.9 mEq/L
   20 mg/dL
   100 mEq/L
   138 mEq/L
   35.0 %
   13.3 K/uL
         [image002.jpg]
                             [**2153-4-6**]  09:13 PM
                             [**2153-4-7**]  03:32 AM
                             [**2153-4-8**]  10:00 PM
                             [**2153-4-9**]  05:54 AM
   WBC
   8.0
   13.3
   Hct
   31.4
   35.0
   Plt
   249
   300
   Cr
   0.6
   0.6
   TropT
   &lt;0.01
   Glucose
   [**Telephone/Fax (3) 13712**]
   Other labs: CK / CKMB / Troponin-T:87//&lt;0.01, Lactic Acid:1.6 mmol/L,
   Ca++:9.5 mg/dL, Mg++:2.0 mg/dL, PO4:4.3 mg/d</t>
  </si>
  <si>
    <t>523029-assessment-and-plan-0-0</t>
  </si>
  <si>
    <t>73-year-old female with COPD/RAD on home O2, diastolic CHF, recent TKR,
   presenting with respiratory distress and tachycardia.</t>
  </si>
  <si>
    <t>523029-assessment-and-plan-0-1</t>
  </si>
  <si>
    <t xml:space="preserve">
   # Respiratory distress &amp; Leukocytosis: White count doubled from 8 to
   15.</t>
  </si>
  <si>
    <t>523029-assessment-and-plan-0-2</t>
  </si>
  <si>
    <t>She did receive steroids in ED 2 days ago, or she could be mounting
   an infection again.</t>
  </si>
  <si>
    <t>523029-assessment-and-plan-0-3</t>
  </si>
  <si>
    <t>CXR looks clear.</t>
  </si>
  <si>
    <t>523029-assessment-and-plan-0-4</t>
  </si>
  <si>
    <t>COPD mild per most recent PFTs
   [**2153**].</t>
  </si>
  <si>
    <t>523029-assessment-and-plan-0-5</t>
  </si>
  <si>
    <t>Possibly etiologies include PNA, COPD exacerbation, heart
   failure, coronary ischemia or possibly PE.</t>
  </si>
  <si>
    <t>523029-assessment-and-plan-0-6</t>
  </si>
  <si>
    <t>CTA negative in ED on [**3-25**].</t>
  </si>
  <si>
    <t>523029-assessment-and-plan-0-7</t>
  </si>
  <si>
    <t xml:space="preserve">
   She is s/p total knee replacement 1 month ago but was on 1 month of
   Lovenox post-operatively (she confirms), on heparin SQ here.</t>
  </si>
  <si>
    <t>523029-assessment-and-plan-0-8</t>
  </si>
  <si>
    <t>Had CEs
   trended before, no chest pain.</t>
  </si>
  <si>
    <t>523029-assessment-and-plan-0-9</t>
  </si>
  <si>
    <t>Diffuse wheezing most c/w COPD.</t>
  </si>
  <si>
    <t>523029-assessment-and-plan-0-10</t>
  </si>
  <si>
    <t>523029-assessment-and-plan-1-0</t>
  </si>
  <si>
    <t xml:space="preserve">
   # Tachycardia: AVNRT vs.</t>
  </si>
  <si>
    <t>523029-assessment-and-plan-1-1</t>
  </si>
  <si>
    <t>ART.</t>
  </si>
  <si>
    <t>523029-assessment-and-plan-1-2</t>
  </si>
  <si>
    <t>As a COPD patient she's at risk for
   atrial arrhythmias.</t>
  </si>
  <si>
    <t>523029-assessment-and-plan-1-3</t>
  </si>
  <si>
    <t>Seems to go into arrhythmias after her barking
   coughs.</t>
  </si>
  <si>
    <t>523029-assessment-and-plan-1-4</t>
  </si>
  <si>
    <t xml:space="preserve">
   - continue Tessalon [**Doctor Last Name **], Mucinex to knock back her cough
   - cards c/s in AM
   - continue PO Diltiazem
   - Echo in AM
   # Diastolic CHF.</t>
  </si>
  <si>
    <t>523029-assessment-and-plan-1-5</t>
  </si>
  <si>
    <t>Rate control key for her will be key.</t>
  </si>
  <si>
    <t>523029-assessment-and-plan-1-6</t>
  </si>
  <si>
    <t>Her chest Xray
   shows no fluid overload, not a diuresis candidate now.</t>
  </si>
  <si>
    <t>523029-assessment-and-plan-1-7</t>
  </si>
  <si>
    <t xml:space="preserve">
   - Continue ACEI.</t>
  </si>
  <si>
    <t>523029-assessment-and-plan-1-8</t>
  </si>
  <si>
    <t xml:space="preserve">
   - Echo
   - f/u BNP sent this evening
   # DM type II.</t>
  </si>
  <si>
    <t>523029-assessment-and-plan-1-9</t>
  </si>
  <si>
    <t xml:space="preserve">
   - ISS.</t>
  </si>
  <si>
    <t>523029-assessment-and-plan-1-10</t>
  </si>
  <si>
    <t xml:space="preserve">
   - Hold metformin for now.</t>
  </si>
  <si>
    <t>523029-assessment-and-plan-1-11</t>
  </si>
  <si>
    <t xml:space="preserve">
   - +/- glipizide.</t>
  </si>
  <si>
    <t>523029-assessment-and-plan-2-0</t>
  </si>
  <si>
    <t xml:space="preserve">
   # Hypertension.</t>
  </si>
  <si>
    <t>523029-assessment-and-plan-2-1</t>
  </si>
  <si>
    <t xml:space="preserve">
   - Captopril and HCTZ.</t>
  </si>
  <si>
    <t>523029-assessment-and-plan-3-0</t>
  </si>
  <si>
    <t xml:space="preserve">
   # Anemia.</t>
  </si>
  <si>
    <t>523029-assessment-and-plan-3-1</t>
  </si>
  <si>
    <t>More or less at baseline.</t>
  </si>
  <si>
    <t>523029-assessment-and-plan-3-2</t>
  </si>
  <si>
    <t xml:space="preserve">
   - Monitor.</t>
  </si>
  <si>
    <t>523029-assessment-and-plan-4-0</t>
  </si>
  <si>
    <t>FEN: No IVF, replete electrolytes, regular diet
   Prophylaxis: Subcutaneous heparin
   Access: peripherals
   20 Gauge - [**2153-4-8**] 09:30 P</t>
  </si>
  <si>
    <t>523029-code-status-0-0</t>
  </si>
  <si>
    <t>Full (confirmed on admission)</t>
  </si>
  <si>
    <t>523029-communication-0-0</t>
  </si>
  <si>
    <t>P</t>
  </si>
  <si>
    <t>523029-disposition-0-0</t>
  </si>
  <si>
    <t>call out?</t>
  </si>
  <si>
    <t>1124097-reason-0-0</t>
  </si>
  <si>
    <t>please eval for evolving infiltrate or f</t>
  </si>
  <si>
    <t>1124097-medical-condition-0-0</t>
  </si>
  <si>
    <t>73 year old woman with hx COPD, CHF, and PNA, with no improvement in cough/SOB
  despite days of t</t>
  </si>
  <si>
    <t>1124097-indication-0-0</t>
  </si>
  <si>
    <t>73-year-old woman with history of COPD, CHF and pneumonia with no
 improvement in cough despite days of treatment.</t>
  </si>
  <si>
    <t>1124097-comparison-0-0</t>
  </si>
  <si>
    <t>Chest x-ray from [**2153-4-8**].</t>
  </si>
  <si>
    <t>1124097-findings-0-0</t>
  </si>
  <si>
    <t>The lungs are hyperexpanded consistent with known COPD.</t>
  </si>
  <si>
    <t>1124097-findings-0-1</t>
  </si>
  <si>
    <t xml:space="preserve"> The parenchyma shows
 no focal opacities concerning for a pneumonia.</t>
  </si>
  <si>
    <t>1124097-findings-0-2</t>
  </si>
  <si>
    <t xml:space="preserve"> The cardiac silhouette is top
 normal.</t>
  </si>
  <si>
    <t>1124097-findings-0-3</t>
  </si>
  <si>
    <t xml:space="preserve"> The mediastinal silhouette, hilar contours, and pleural surfaces are
 normal.</t>
  </si>
  <si>
    <t>1124097-impression-0-0</t>
  </si>
  <si>
    <t>Hyperinflated lungs, otherwise no acute abnormality.</t>
  </si>
  <si>
    <t>1124097-image-type-0-0</t>
  </si>
  <si>
    <t>RADIOGRAPH:</t>
  </si>
  <si>
    <t>523175-reason-0-0</t>
  </si>
  <si>
    <t>?AVNRT vs A</t>
  </si>
  <si>
    <t>523175-history-of-present-illness-0-0</t>
  </si>
  <si>
    <t>73 yo Spanish speaking F with COPD on home O2, diastolic CHF, right TKR
   one month ago who presented to the ED with shortness of breath.</t>
  </si>
  <si>
    <t>523175-history-of-present-illness-0-1</t>
  </si>
  <si>
    <t>In the
   ED she had an episode of SVT (of which she had another episode as
   recently [**3-26**] in the ED, broken with adenosine) that broke with high
   flow oxygen therapy alone.</t>
  </si>
  <si>
    <t>523175-history-of-present-illness-0-2</t>
  </si>
  <si>
    <t>She was initially admitted to the MICU where
   she had another episode of SVT that also broke with O2 therapy.</t>
  </si>
  <si>
    <t>523175-history-of-present-illness-0-3</t>
  </si>
  <si>
    <t xml:space="preserve">
   [**Hospital **] transfered to the floor but again had an episode of SVT to
   120's and respiratory distress and transfered back to the MICU.</t>
  </si>
  <si>
    <t>523175-history-of-present-illness-0-4</t>
  </si>
  <si>
    <t>In the
   MICU she was noted to have this episoded of SVT in the setting of cough
   spells despite having started diltiazem 30 mg PO QID on [**2153-4-8**].</t>
  </si>
  <si>
    <t>523175-history-of-present-illness-0-5</t>
  </si>
  <si>
    <t>Given
   her history of dCHF the medicine team is worried that she might be
   intermittently flashing when she is tachycardic.</t>
  </si>
  <si>
    <t>523175-history-of-present-illness-1-0</t>
  </si>
  <si>
    <t xml:space="preserve">
   Upon interviewing the patient she stated that she does not have a
   history of abnormal heart rhythms and that the first episode was the
   one on [**3-26**].</t>
  </si>
  <si>
    <t>523175-history-of-present-illness-1-1</t>
  </si>
  <si>
    <t>She reports associated palpitations, chest tightness and
   SOB when she is having these episodes but denies dizziness or
   lightheadedness.</t>
  </si>
  <si>
    <t>523175-history-of-present-illness-1-2</t>
  </si>
  <si>
    <t xml:space="preserve">
   .</t>
  </si>
  <si>
    <t>523175-allergies-0-0</t>
  </si>
  <si>
    <t>Hayfever
   .</t>
  </si>
  <si>
    <t>523175-medication-history-0-0</t>
  </si>
  <si>
    <t>- Home O2 - 2LPM at rest, 4 LPM with exertion
   - Advair 500-50 twice a day
   - Albuterol neb or MDI Q6H as needed for wheezing, SOB.</t>
  </si>
  <si>
    <t>523175-medication-history-0-1</t>
  </si>
  <si>
    <t xml:space="preserve">
   - Captopril 50 mg TID
   - Fluoxetine 20 mg TID
   - Glipizide 5 mg [**Hospital1 7**]
   - Hydrochlorothiazide 12.5 mg DAILY
   - Lorazepam 0.5 mg Q8H as needed for Anxiety.</t>
  </si>
  <si>
    <t>523175-medication-history-0-2</t>
  </si>
  <si>
    <t xml:space="preserve">
   - Metformin 500 mg SR [**Hospital1 7**]
   - Montelukast 10 mg DAILY
   - Simvastatin 40 mg DAILY
   - Spiriva 18 mcg once a day.</t>
  </si>
  <si>
    <t>523175-medication-history-0-3</t>
  </si>
  <si>
    <t xml:space="preserve">
   - Calcium 500 + D 500 mg(1,250mg)-400 unit twice a day.</t>
  </si>
  <si>
    <t>523175-medication-history-0-4</t>
  </si>
  <si>
    <t xml:space="preserve">
   - Enoxaparin 30 mg/0.3 mL SC Q12H for 4 weeks. ***
   - Omeprazole 20 mg once a day.</t>
  </si>
  <si>
    <t>523175-medication-history-0-5</t>
  </si>
  <si>
    <t xml:space="preserve">
   - Docusate Sodium 100 mg [**Hospital1 7**]
   - Senna 8.6 mg Two (2) Tablet PO at bedtime as needed
   - Oxycodone 5 mg: 1-2 Tablets PO Q4H as needed for pain.</t>
  </si>
  <si>
    <t>523175-medication-history-0-6</t>
  </si>
  <si>
    <t xml:space="preserve">
   - Multivitamin DAILY
   - Ferrous Sulfate 300 mg DAILY
   - Acetaminophen 1000 mg three times a day for 3 weeks.</t>
  </si>
  <si>
    <t>523175-medication-history-0-7</t>
  </si>
  <si>
    <t xml:space="preserve">
   - Miralax 17 gram Powder once a day as needed for constipation.</t>
  </si>
  <si>
    <t>523175-medication-history-0-8</t>
  </si>
  <si>
    <t>523175-current-medications-0-0</t>
  </si>
  <si>
    <t>Insulin SC
   Ipratropium Bromide Neb 1 NEB IH Q6H
   Levofloxacin 750 mg PO/NG Q24H
   Acetaminophen 325-650 mg PO/NG Q6H:PRN
   MethylPREDNISolone 80 mg IV Q8H
   Albuterol 0.083% Neb Soln 1 NEB IH Q4H:PRN
   Montelukast Sodium 10 mg PO/NG DAILY
   Benzonatate 100 mg PO TID
   Multivitamins 1 TAB PO/NG DAILY
   Bisacodyl 10 mg PO DAILY:PRN
   Mucinex *NF* 600 mg
   Captopril 50 mg PO/NG TID
   Omeprazole 20 mg PO DAILY
   Polyethylene Glycol 17 g PO/NG DAILY1
   Diltiazem 30 mg PO/NG QID
   Senna 1 TAB PO/NG [**Hospital1 7**]
   Docusate Sodium 100 mg PO BID
   Simethicone 40 mg PO/NG QID:PRN
   Ferrous Sulfate 325 mg PO/NG DAILY
   Simvastatin 40 mg PO/NG DAILY
   Fluoxetine 20 mg PO/NG TID
   GlipiZIDE 5 mg PO/NG DAILY
   Heparin 5000 UNIT SC TID
   Vitamin D 1000 UNIT PO/NG DAILY
   Hydrochlorothiazide 25 mg PO/NG DAILY
   Xopenex Neb *NF* 1 neb QID
   .</t>
  </si>
  <si>
    <t>523175-past-medical-history-0-0</t>
  </si>
  <si>
    <t>- COPD/?asthma on home O2 at 2-4LPM.</t>
  </si>
  <si>
    <t>523175-past-medical-history-0-1</t>
  </si>
  <si>
    <t>Spirometry with only mild to
   moderate obstructive defect, FEV1 1.17 (68% predicted) but low DLCO at
   38% predicted.</t>
  </si>
  <si>
    <t>523175-past-medical-history-0-2</t>
  </si>
  <si>
    <t xml:space="preserve">
   - Diastolic CHF and pulmonary hypertension.</t>
  </si>
  <si>
    <t>523175-past-medical-history-0-3</t>
  </si>
  <si>
    <t>Last TTE [**12/2151**] with EF
   &gt;55%, mild RV dilation with preserved function, estimated TR gradient
   43-63.</t>
  </si>
  <si>
    <t>523175-past-medical-history-0-4</t>
  </si>
  <si>
    <t xml:space="preserve">
   - OSA on home CPAP
   - DM type II
   - HTN
   - s/p R TKR [**2153-3-5**], complicated by desaturation due to COPD
   exacerbation, dCHF, and ?narcotics.</t>
  </si>
  <si>
    <t>523175-past-medical-history-0-5</t>
  </si>
  <si>
    <t>- s/p L TKR
   - History of rectal cancer s/p chemo, XRT, and s/p transanal rectal ca
   excision
   - s/p h</t>
  </si>
  <si>
    <t>523175-social-and-family-history-0-0</t>
  </si>
  <si>
    <t>social-and-family-history</t>
  </si>
  <si>
    <t>Has 11 children and 27 grandchildren.</t>
  </si>
  <si>
    <t>523175-social-and-family-history-0-1</t>
  </si>
  <si>
    <t>She lives alone but has help from
   her many children.</t>
  </si>
  <si>
    <t>523175-social-and-family-history-0-2</t>
  </si>
  <si>
    <t>Patient is a former smoker with 40-60 pack year
   smoking history but quit over 10 years prior.</t>
  </si>
  <si>
    <t>523175-social-and-family-history-0-3</t>
  </si>
  <si>
    <t>No alcohol use.</t>
  </si>
  <si>
    <t>523175-social-and-family-history-0-4</t>
  </si>
  <si>
    <t xml:space="preserve">
   Review of systems otherwise negative.</t>
  </si>
  <si>
    <t>523175-physical-examination-0-0</t>
  </si>
  <si>
    <t>VS - Temp 98F, BP 141/53, HR 79, RR 18, O2-sat 97% 3L
   GENERAL -  labored respirtaions but NAD
   NECK - supple, JVP ~8 cm, no carotid bruits, 2+ carotid pulses
   LUNGS - labored respirations with poor air movement and using acessory
   muscles, wheezing throughout.</t>
  </si>
  <si>
    <t>523175-physical-examination-0-1</t>
  </si>
  <si>
    <t>HEART - PMI non-displaced, RRR, no MRG, nl S1-S2, no S3 or S4 h</t>
  </si>
  <si>
    <t>523175-labs-imaging-0-0</t>
  </si>
  <si>
    <t>.</t>
  </si>
  <si>
    <t>523175-labs-imaging-0-1</t>
  </si>
  <si>
    <t xml:space="preserve">
   138   100      20                     11.3
   ---|-------|------&lt; 187   .</t>
  </si>
  <si>
    <t>523175-assessment-and-plan-0-0</t>
  </si>
  <si>
    <t>- EKG
s and telemetry strips were reviewed.</t>
  </si>
  <si>
    <t>523175-assessment-and-plan-0-1</t>
  </si>
  <si>
    <t>Tachycardia is a short RP
   tachycardia likely AVNRT.</t>
  </si>
  <si>
    <t>523175-assessment-and-plan-0-2</t>
  </si>
  <si>
    <t xml:space="preserve">
   - Recommendation:
   1)Increase diltiazem to 60mg QID for now and increase as tolerated
   2)Patient will eventually need an ablation procedure when stable
   respiratory status
This patient was seen, discussed and evaluated with
Dr. [**Last Name (STitle) 5152**].</t>
  </si>
  <si>
    <t>523175-assessment-and-plan-0-3</t>
  </si>
  <si>
    <t>Please see his/her note in the inpatient
medical record for additional comments.</t>
  </si>
  <si>
    <t>523151-reason-0-0</t>
  </si>
  <si>
    <t>?AVNRT vs AVRT
   .</t>
  </si>
  <si>
    <t>523151-history-of-present-illness-0-0</t>
  </si>
  <si>
    <t>523151-history-of-present-illness-0-1</t>
  </si>
  <si>
    <t>523151-history-of-present-illness-0-2</t>
  </si>
  <si>
    <t>523151-history-of-present-illness-0-3</t>
  </si>
  <si>
    <t>523151-history-of-present-illness-0-4</t>
  </si>
  <si>
    <t>523151-history-of-present-illness-0-5</t>
  </si>
  <si>
    <t>523151-history-of-present-illness-1-0</t>
  </si>
  <si>
    <t>523151-history-of-present-illness-1-1</t>
  </si>
  <si>
    <t>523151-history-of-present-illness-1-2</t>
  </si>
  <si>
    <t>523151-allergies-0-0</t>
  </si>
  <si>
    <t>523151-medication-history-0-0</t>
  </si>
  <si>
    <t>523151-medication-history-0-1</t>
  </si>
  <si>
    <t>523151-medication-history-0-2</t>
  </si>
  <si>
    <t>523151-medication-history-0-3</t>
  </si>
  <si>
    <t>523151-medication-history-0-4</t>
  </si>
  <si>
    <t>523151-medication-history-0-5</t>
  </si>
  <si>
    <t>523151-medication-history-0-6</t>
  </si>
  <si>
    <t>523151-medication-history-0-7</t>
  </si>
  <si>
    <t>523151-medication-history-0-8</t>
  </si>
  <si>
    <t>523151-current-medications-0-0</t>
  </si>
  <si>
    <t>523151-past-medical-history-0-0</t>
  </si>
  <si>
    <t>523151-past-medical-history-0-1</t>
  </si>
  <si>
    <t>523151-past-medical-history-0-2</t>
  </si>
  <si>
    <t>523151-past-medical-history-0-3</t>
  </si>
  <si>
    <t>523151-past-medical-history-0-4</t>
  </si>
  <si>
    <t>523151-past-medical-history-0-5</t>
  </si>
  <si>
    <t>523151-social-and-family-history-0-0</t>
  </si>
  <si>
    <t>523151-social-and-family-history-0-1</t>
  </si>
  <si>
    <t>523151-social-and-family-history-0-2</t>
  </si>
  <si>
    <t>523151-social-and-family-history-0-3</t>
  </si>
  <si>
    <t>523151-social-and-family-history-0-4</t>
  </si>
  <si>
    <t>523151-physical-examination-0-0</t>
  </si>
  <si>
    <t>523151-physical-examination-0-1</t>
  </si>
  <si>
    <t>523151-labs-imaging-0-0</t>
  </si>
  <si>
    <t>523151-labs-imaging-0-1</t>
  </si>
  <si>
    <t>523151-assessment-and-plan-0-0</t>
  </si>
  <si>
    <t>-
   - Recommendation:
   1)
   2)
   3)
This patient was seen, discussed and evaluated with
Dr.</t>
  </si>
  <si>
    <t>523151-assessment-and-plan-0-1</t>
  </si>
  <si>
    <t>________________. Please see his/her note in the inpatient
medical record for additional comments.</t>
  </si>
  <si>
    <t>1123153-reason-0-0</t>
  </si>
  <si>
    <t>?chf, p</t>
  </si>
  <si>
    <t>1123153-medical-condition-0-0</t>
  </si>
  <si>
    <t>73 year old woman with hx COPD/CHF, acute dyspnea since last n</t>
  </si>
  <si>
    <t>1123153-indication-0-0</t>
  </si>
  <si>
    <t>73-year-old female with COPD/CHF, acute dyspnea.</t>
  </si>
  <si>
    <t>1123153-comparison-0-0</t>
  </si>
  <si>
    <t>[**2153-3-6**].</t>
  </si>
  <si>
    <t>1123153-findings-0-0</t>
  </si>
  <si>
    <t>Single AP radiograph of the chest again demonstrates hyperexpanded
 lungs, consistent with emphysema.</t>
  </si>
  <si>
    <t>1123153-findings-0-1</t>
  </si>
  <si>
    <t xml:space="preserve"> There is left lower lobe atelectasis, with
 no evidence of focal consolidation or edema.</t>
  </si>
  <si>
    <t>1123153-findings-0-2</t>
  </si>
  <si>
    <t xml:space="preserve"> The cardiomediastinal silhouette
 is again enlarged, with a tortuous and calcified aorta.</t>
  </si>
  <si>
    <t>1123153-findings-0-3</t>
  </si>
  <si>
    <t xml:space="preserve"> The osseous
 structures and soft tissues are unremarkable.</t>
  </si>
  <si>
    <t>1123153-impression-0-0</t>
  </si>
  <si>
    <t>No acute cardiopulmonary process.</t>
  </si>
  <si>
    <t>1123570-reason-0-0</t>
  </si>
  <si>
    <t>eval for p</t>
  </si>
  <si>
    <t>1123570-medical-condition-0-0</t>
  </si>
  <si>
    <t>73 year old woman with respiratory distress, s/p recent T</t>
  </si>
  <si>
    <t>1123570-history-0-0</t>
  </si>
  <si>
    <t>history</t>
  </si>
  <si>
    <t>Respiratory distress.</t>
  </si>
  <si>
    <t>1123570-history-0-1</t>
  </si>
  <si>
    <t xml:space="preserve"> Recent knee replacement.</t>
  </si>
  <si>
    <t>1123570-history-0-2</t>
  </si>
  <si>
    <t xml:space="preserve"> Rule out pulmonary
 embolism.</t>
  </si>
  <si>
    <t>1123570-technique-0-0</t>
  </si>
  <si>
    <t>Multidetector helical scanning of the chest performed both before
 and in coordination with intravenous infusion of 100 ml Optiray nonionic
 iodinated contrast [**Doctor Last Name 1309**] timed for optimal opacification of the pulmonary
 arterial circulation reconstructed as contiguous 5- and 2.5-mm thick axial
 images respectively and oblique sagittal and coronal reformats of
 contrast-enhanced images, read in conjunction with CTA on [**2153-3-25**]
 and earlier chest CT since [**2150-5-7**].</t>
  </si>
  <si>
    <t>1123570-findings-0-0</t>
  </si>
  <si>
    <t>Interval calcification in the thoracic aorta is extensive in the arch, and
 somewhat less severe in the ascending and distinctively less severe in the
 descending portions.</t>
  </si>
  <si>
    <t>1123570-findings-0-1</t>
  </si>
  <si>
    <t xml:space="preserve"> There are no large mural thrombi or plaque protruding
 into the aortic lumen and the vessel caliber is normal.</t>
  </si>
  <si>
    <t>1123570-findings-0-2</t>
  </si>
  <si>
    <t xml:space="preserve"> There is no
 dissection.</t>
  </si>
  <si>
    <t>1123570-findings-1-0</t>
  </si>
  <si>
    <t xml:space="preserve">
 Excellent opacification of the pulmonary arterial system shows there are no
 pulmonary emboli.</t>
  </si>
  <si>
    <t>1123570-findings-2-0</t>
  </si>
  <si>
    <t xml:space="preserve">
 Central lymph nodes are not pathologically enlarged and there is no pleural or
 pericardial effusion.</t>
  </si>
  <si>
    <t>1123570-findings-2-1</t>
  </si>
  <si>
    <t xml:space="preserve"> Emphysema is mild-to-moderate in the upper lungs,
 minimal elsewhere, unchanged since [**2151-12-30**].</t>
  </si>
  <si>
    <t>1123570-findings-2-2</t>
  </si>
  <si>
    <t xml:space="preserve"> Mild bronchiectasis,
 widespread in the lower lobes has less bronchial wall thickening and
 impaction.</t>
  </si>
  <si>
    <t>1123570-findings-2-3</t>
  </si>
  <si>
    <t xml:space="preserve"> A 6-mm non-calcified left lower lobe nodule, 3:63, is unchanged
 since [**2149-11-26**], [**2150-5-7**], and [**2151-12-30**].</t>
  </si>
  <si>
    <t>1123570-impression-0-0</t>
  </si>
  <si>
    <t xml:space="preserve"> No pulmonary emboli or aortic dissection.</t>
  </si>
  <si>
    <t>1123570-impression-0-1</t>
  </si>
  <si>
    <t xml:space="preserve"> Mild-to-moderate emphysema.</t>
  </si>
  <si>
    <t>1123570-impression-0-2</t>
  </si>
  <si>
    <t xml:space="preserve"> Subcentimeter left lower lobe pulmonary nodule, stable since [**2149**].</t>
  </si>
  <si>
    <t>1123570-impression-0-3</t>
  </si>
  <si>
    <t xml:space="preserve"> No
 followup indicated.</t>
  </si>
  <si>
    <t>1123570-impression-0-4</t>
  </si>
  <si>
    <t>1123570-impression-0-5</t>
  </si>
  <si>
    <t xml:space="preserve"> Mild bronchiectasis, less inflamed today than
 previously.</t>
  </si>
  <si>
    <t>1123570-impression-0-6</t>
  </si>
  <si>
    <t>(Over)</t>
  </si>
  <si>
    <t>523177-reason-0-0</t>
  </si>
  <si>
    <t>523177-history-of-present-illness-0-0</t>
  </si>
  <si>
    <t>523177-history-of-present-illness-0-1</t>
  </si>
  <si>
    <t>523177-history-of-present-illness-0-2</t>
  </si>
  <si>
    <t>523177-history-of-present-illness-0-3</t>
  </si>
  <si>
    <t>523177-history-of-present-illness-0-4</t>
  </si>
  <si>
    <t>523177-history-of-present-illness-0-5</t>
  </si>
  <si>
    <t>523177-history-of-present-illness-1-0</t>
  </si>
  <si>
    <t>523177-history-of-present-illness-1-1</t>
  </si>
  <si>
    <t>523177-history-of-present-illness-1-2</t>
  </si>
  <si>
    <t>523177-allergies-0-0</t>
  </si>
  <si>
    <t>H</t>
  </si>
  <si>
    <t>523177-medication-history-0-0</t>
  </si>
  <si>
    <t>523177-medication-history-0-1</t>
  </si>
  <si>
    <t>523177-medication-history-0-2</t>
  </si>
  <si>
    <t>523177-medication-history-0-3</t>
  </si>
  <si>
    <t>523177-medication-history-0-4</t>
  </si>
  <si>
    <t>523177-medication-history-0-5</t>
  </si>
  <si>
    <t>523177-medication-history-0-6</t>
  </si>
  <si>
    <t>523177-medication-history-0-7</t>
  </si>
  <si>
    <t>523177-medication-history-0-8</t>
  </si>
  <si>
    <t>523177-current-medications-0-0</t>
  </si>
  <si>
    <t>523177-past-medical-history-0-0</t>
  </si>
  <si>
    <t>523177-past-medical-history-0-1</t>
  </si>
  <si>
    <t>523177-past-medical-history-0-2</t>
  </si>
  <si>
    <t>523177-past-medical-history-0-3</t>
  </si>
  <si>
    <t>523177-past-medical-history-0-4</t>
  </si>
  <si>
    <t>523177-past-medical-history-0-5</t>
  </si>
  <si>
    <t>523177-social-and-family-history-0-0</t>
  </si>
  <si>
    <t>523177-social-and-family-history-0-1</t>
  </si>
  <si>
    <t>523177-social-and-family-history-0-2</t>
  </si>
  <si>
    <t>523177-social-and-family-history-0-3</t>
  </si>
  <si>
    <t>523177-social-and-family-history-0-4</t>
  </si>
  <si>
    <t>523177-physical-examination-0-0</t>
  </si>
  <si>
    <t>523177-physical-examination-0-1</t>
  </si>
  <si>
    <t>523177-labs-imaging-0-0</t>
  </si>
  <si>
    <t>523177-labs-imaging-0-1</t>
  </si>
  <si>
    <t>523177-assessment-and-plan-0-0</t>
  </si>
  <si>
    <t>523177-assessment-and-plan-0-1</t>
  </si>
  <si>
    <t>523177-assessment-and-plan-0-2</t>
  </si>
  <si>
    <t xml:space="preserve">
   - Recommendation:
   1)Increase diltiazem to 60mg QID for now and increase as tolerated
   2)Patient will eventually need an ablation procedure when stable
   respiratory status
   3)We will continue to follow up as an inpatient and revaluate for
   inpatient ablation, if procedure deemed not appropriate she will see
   Dr. [**Last Name (STitle) 5152**] and have an elective ablation as an outpatient.</t>
  </si>
  <si>
    <t>523177-assessment-and-plan-0-3</t>
  </si>
  <si>
    <t xml:space="preserve">
This patient was seen, discussed and evaluated with
Dr. [**Last Name (STitle) 5152**].</t>
  </si>
  <si>
    <t>523177-assessment-and-plan-0-4</t>
  </si>
  <si>
    <t>523177-critical-care-attending-addendum-0-0</t>
  </si>
  <si>
    <t>523177-critical-care-attending-addendum-0-1</t>
  </si>
  <si>
    <t>523177-critical-care-attending-addendum-0-2</t>
  </si>
  <si>
    <t xml:space="preserve">
   I would add the following remarks:
   History
   [**First Name8 (NamePattern2) 54**] [**Doctor Last Name 13723**]
   Nothing to add
   Physical Examination
   Per dr [**Last Name (STitle) **]
   Nothing to add
   Medical Decision Making
   Per Dr [**Last Name (STitle) **]
   nothing to add
   Above discussed extensively with patient.</t>
  </si>
  <si>
    <t>523177-critical-care-attending-addendum-0-3</t>
  </si>
  <si>
    <t>Above discussed extensively
   with family member, next of [**Doctor First Name 372**] or health care proxy.</t>
  </si>
  <si>
    <t>523177-critical-care-attending-addendum-0-4</t>
  </si>
  <si>
    <t xml:space="preserve">
   Total time spent on patient care: 60 minutes.</t>
  </si>
  <si>
    <t>523177-critical-care-attending-addendum-0-5</t>
  </si>
  <si>
    <t xml:space="preserve">
   Additional comments:
   Long standing and highly symptomatic SVT most consistent with AVNRT
   Currently has COPD exacerbation and some degree of diastolic congestive
   heart failure.</t>
  </si>
  <si>
    <t>523177-critical-care-attending-addendum-0-6</t>
  </si>
  <si>
    <t>For now have recommended diltiazem 240 to 300 qd until her pulmonary
   status improves
   Ultimately have recommended ablation once she is able to lie f</t>
  </si>
  <si>
    <t>93093-patient-test-information-0-0</t>
  </si>
  <si>
    <t>Indication: Congestive heart failure.</t>
  </si>
  <si>
    <t>93093-patient-test-information-0-1</t>
  </si>
  <si>
    <t xml:space="preserve"> Shortness of breath.</t>
  </si>
  <si>
    <t>93093-patient-test-information-0-2</t>
  </si>
  <si>
    <t>Height: (in) 62
Weight (lb): 140
BSA (m2): 1.64 m2
BP (mm Hg): 130/63
HR (bpm): 66
Status: Inpatient
Date/Time: [**2153-4-9**] at 15:15
Test: Portable TTE (Complete)
Doppler: Full Doppler and color Doppler
Contrast: Saline
Technical Quality: S</t>
  </si>
  <si>
    <t>93093-findings-0-0</t>
  </si>
  <si>
    <t>This study was compared to the prior study of [**2151-12-16**].</t>
  </si>
  <si>
    <t>93093-findings-1-0</t>
  </si>
  <si>
    <t xml:space="preserve">
LEFT ATRIUM: Normal LA and RA cavity sizes.</t>
  </si>
  <si>
    <t>93093-findings-2-0</t>
  </si>
  <si>
    <t xml:space="preserve">
LEFT VENTRICLE: Mild symmetric LVH with normal cavity size and regional/global
systolic function (LVEF&gt;55%).</t>
  </si>
  <si>
    <t>93093-findings-2-1</t>
  </si>
  <si>
    <t>Estimated cardiac index is normal
(&gt;=2.5L/min/m2).</t>
  </si>
  <si>
    <t>93093-findings-2-2</t>
  </si>
  <si>
    <t>No resting LVOT gradient.</t>
  </si>
  <si>
    <t>93093-findings-3-0</t>
  </si>
  <si>
    <t xml:space="preserve">
RIGHT VENTRICLE: Moderately dilated RV cavity.</t>
  </si>
  <si>
    <t>93093-findings-3-1</t>
  </si>
  <si>
    <t>Borderline normal RV systolic
function.</t>
  </si>
  <si>
    <t>93093-findings-4-0</t>
  </si>
  <si>
    <t xml:space="preserve">
AORTA: Normal diameter of aorta at the sinus, ascending and arch levels.</t>
  </si>
  <si>
    <t>93093-findings-4-1</t>
  </si>
  <si>
    <t xml:space="preserve">
Mildly dilated descending aorta.</t>
  </si>
  <si>
    <t>93093-findings-5-0</t>
  </si>
  <si>
    <t xml:space="preserve">
AORTIC VALVE: Normal aortic valve leaflets (3).</t>
  </si>
  <si>
    <t>93093-findings-5-1</t>
  </si>
  <si>
    <t>No AS.</t>
  </si>
  <si>
    <t>93093-findings-5-2</t>
  </si>
  <si>
    <t>No AR.</t>
  </si>
  <si>
    <t>93093-findings-6-0</t>
  </si>
  <si>
    <t xml:space="preserve">
MITRAL VALVE: Normal mitral valve leaflets with trivial MR.</t>
  </si>
  <si>
    <t>93093-findings-6-1</t>
  </si>
  <si>
    <t>93093-findings-7-0</t>
  </si>
  <si>
    <t xml:space="preserve">
TRICUSPID VALVE: Normal tricuspid valve leaflets.</t>
  </si>
  <si>
    <t>93093-findings-7-1</t>
  </si>
  <si>
    <t>Mild [1+] TR.</t>
  </si>
  <si>
    <t>93093-findings-7-2</t>
  </si>
  <si>
    <t>Moderate PA
systolic hypertension.</t>
  </si>
  <si>
    <t>93093-findings-8-0</t>
  </si>
  <si>
    <t xml:space="preserve">
PERICARDIUM: There is an anterior space which most likely represents a fat
pad, though a loculated anterior pericardial effusion cannot be excluded.</t>
  </si>
  <si>
    <t>93093-findings-9-0</t>
  </si>
  <si>
    <t xml:space="preserve">
GENERAL COMMENTS: Contrast study was performed with 2 iv injections of 8 ccs
of agitated normal saline, at rest, and with cough.</t>
  </si>
  <si>
    <t>93093-findings-9-1</t>
  </si>
  <si>
    <t>Suboptimal image quality -
poor echo windows.</t>
  </si>
  <si>
    <t>93093-findings-9-2</t>
  </si>
  <si>
    <t>Echocardiographic results were reviewed by telephone with
the houseofficer caring for the patient.</t>
  </si>
  <si>
    <t>93093-conclusions-0-0</t>
  </si>
  <si>
    <t>The left atrium and right atrium are normal in cavity size.</t>
  </si>
  <si>
    <t>93093-conclusions-0-1</t>
  </si>
  <si>
    <t>There is premature
appearance of contrast in the left atrium after Valsalva release c/w a small
PFO (more prominent microbubbles are seen with cough - but they appear late
and c/w transpulmonic flow).</t>
  </si>
  <si>
    <t>93093-conclusions-0-2</t>
  </si>
  <si>
    <t>There is mild symmetric left ventricular
hypertrophy with normal cavity size and regional/global systolic function
(LVEF&gt;55%).</t>
  </si>
  <si>
    <t>93093-conclusions-0-3</t>
  </si>
  <si>
    <t>The estimated cardiac index is normal (&gt;=2.5L/min/m2).</t>
  </si>
  <si>
    <t>93093-conclusions-0-4</t>
  </si>
  <si>
    <t>The right
ventricular cavity is moderately dilated with borderline normal free wall
function.</t>
  </si>
  <si>
    <t>93093-conclusions-0-5</t>
  </si>
  <si>
    <t>The diameters of aorta at the sinus, ascending and arch levels are
normal.</t>
  </si>
  <si>
    <t>93093-conclusions-0-6</t>
  </si>
  <si>
    <t>The descending thoracic aorta is mildly dilated.</t>
  </si>
  <si>
    <t>93093-conclusions-0-7</t>
  </si>
  <si>
    <t>The aortic valve
leaflets (3) appear structurally normal with good leaflet excursion and no
aortic regurgitation.</t>
  </si>
  <si>
    <t>93093-conclusions-0-8</t>
  </si>
  <si>
    <t>The mitral valve appears structurally normal with
trivial mitral regurgitation.</t>
  </si>
  <si>
    <t>93093-conclusions-0-9</t>
  </si>
  <si>
    <t>There is no mitral valve prolapse.</t>
  </si>
  <si>
    <t>93093-conclusions-0-10</t>
  </si>
  <si>
    <t>There is
moderate pulmonary artery systolic hypertension.</t>
  </si>
  <si>
    <t>93093-conclusions-0-11</t>
  </si>
  <si>
    <t>There is an anterior space
which most likely represents a fat pad.</t>
  </si>
  <si>
    <t>93093-comparison-0-0</t>
  </si>
  <si>
    <t xml:space="preserve">
Compared with the prior study (images reviewed) of [**2151-12-16**], a small patent
foramen ovale with transient right-to-left flow is now identified.</t>
  </si>
  <si>
    <t>93093-clinical-implications-0-0</t>
  </si>
  <si>
    <t>clinical-implications</t>
  </si>
  <si>
    <t>Based on [**2150**] AHA endocarditis prophylaxis recommendations, the echo findings
indicate prophylaxis is NOT recommended.</t>
  </si>
  <si>
    <t>93093-clinical-implications-0-1</t>
  </si>
  <si>
    <t>Clinical decisions regarding the need
for prophylaxis should be based on clinical and echocardiographic data.</t>
  </si>
  <si>
    <t>1123496-reason-0-0</t>
  </si>
  <si>
    <t>Consolidation or infiltration.</t>
  </si>
  <si>
    <t>1123496-medical-condition-0-0</t>
  </si>
  <si>
    <t>73 year old woman with COPD flare, now arhythmia, please evaulate for
  pneumonia.</t>
  </si>
  <si>
    <t>1123496-indication-0-0</t>
  </si>
  <si>
    <t>COPD, arrhythmia, evaluation for pneumonia.</t>
  </si>
  <si>
    <t>1123496-comparison-0-0</t>
  </si>
  <si>
    <t>[**2153-4-6**].</t>
  </si>
  <si>
    <t>1123496-findings-0-0</t>
  </si>
  <si>
    <t>As compared to the previous radiograph, the examination is limited
 by moderate respiratory motion artifacts.</t>
  </si>
  <si>
    <t>1123496-findings-1-0</t>
  </si>
  <si>
    <t xml:space="preserve">
 There is no evidence of newly appeared focal parenchymal opacity suggesting
 pneumonia.</t>
  </si>
  <si>
    <t>1123496-findings-1-1</t>
  </si>
  <si>
    <t xml:space="preserve"> The only potential pathologic finding is a small area of
 hypoventilation at the left lung base.</t>
  </si>
  <si>
    <t>1123496-findings-1-2</t>
  </si>
  <si>
    <t xml:space="preserve"> Unchanged size of the cardiac
 silhouette.</t>
  </si>
  <si>
    <t>1123496-findings-1-3</t>
  </si>
  <si>
    <t xml:space="preserve"> No evidence of pulmonary edema.</t>
  </si>
  <si>
    <t>1123496-findings-1-4</t>
  </si>
  <si>
    <t xml:space="preserve"> Moderate tortuosity of the
 thoracic aorta.</t>
  </si>
  <si>
    <t>522939-chief-complaint-0-0</t>
  </si>
  <si>
    <t>d</t>
  </si>
  <si>
    <t>522939-history-of-present-illness-0-0</t>
  </si>
  <si>
    <t>73F with COPD on home O2 and nebs, diastolic CHF, TKR one month
   ago, presented to ED on [**4-6**] with shortness of breath.</t>
  </si>
  <si>
    <t>522939-history-of-present-illness-0-1</t>
  </si>
  <si>
    <t>She came to the
   ICU and went to the floor the same day, on the floor developed
   respiratory distress and tachycardia, and now is returning to the ICU.</t>
  </si>
  <si>
    <t>522939-history-of-present-illness-0-2</t>
  </si>
  <si>
    <t xml:space="preserve">
   On the floor she was tachycardic to the 120s, in either AVNRT or AVRT,
   despite Diltiazem 20 mg PO.</t>
  </si>
  <si>
    <t>522939-history-of-present-illness-0-3</t>
  </si>
  <si>
    <t>She had an ABG of 7.43/43/72 on a NRM.</t>
  </si>
  <si>
    <t>522939-history-of-present-illness-0-4</t>
  </si>
  <si>
    <t xml:space="preserve">
   Prior to admission she had had worsening dyspnea for 1-2 weeks at home.</t>
  </si>
  <si>
    <t>522939-history-of-present-illness-0-5</t>
  </si>
  <si>
    <t xml:space="preserve">
   Started on azithromycin and steroids last week as an outpatient without
   improvement.</t>
  </si>
  <si>
    <t>522939-history-of-present-illness-0-6</t>
  </si>
  <si>
    <t>She has gotten both influenza and pneumonia vaccinations.</t>
  </si>
  <si>
    <t>522939-history-of-present-illness-0-7</t>
  </si>
  <si>
    <t xml:space="preserve">
   Never intubated.</t>
  </si>
  <si>
    <t>522939-history-of-present-illness-0-8</t>
  </si>
  <si>
    <t xml:space="preserve">
   In the ED on [**4-6**], initial vs were: P82 132/84 R26 90% on ?O2,
   ultimately put on ventimask oxygen at 4 LPM.</t>
  </si>
  <si>
    <t>522939-history-of-present-illness-0-9</t>
  </si>
  <si>
    <t>WBCs 10.9 with normal
   diff, lactate 3.1.</t>
  </si>
  <si>
    <t>522939-history-of-present-illness-0-10</t>
  </si>
  <si>
    <t>Patient was given Levofloxacin, Ceftriaxone,
   Solumedrol 125 mg, and nebs.</t>
  </si>
  <si>
    <t>522939-history-of-present-illness-0-11</t>
  </si>
  <si>
    <t>She went into SVT in the emergency room
   (has history of this - last in ED on [**3-26**], broke with adenosine, CTA
   neg for PE) which broke with oxygen therapy alone (did not end up
   getting adenosine).</t>
  </si>
  <si>
    <t>522939-history-of-present-illness-1-0</t>
  </si>
  <si>
    <t xml:space="preserve">
   In the ICU on [**4-6**], patient confirmed history as above.</t>
  </si>
  <si>
    <t>522939-history-of-present-illness-1-1</t>
  </si>
  <si>
    <t>Daughters
   additionally add that she left rehab around [**2153-3-22**] and 'hasn't been
   herself since'.</t>
  </si>
  <si>
    <t>522939-history-of-present-illness-1-2</t>
  </si>
  <si>
    <t>At baseline is on 2L NC and unable to ambulate stairs
   recently due to TKR.</t>
  </si>
  <si>
    <t>522939-history-of-present-illness-1-3</t>
  </si>
  <si>
    <t>Has felt warm recently, no fever or chills.</t>
  </si>
  <si>
    <t>522939-history-of-present-illness-1-4</t>
  </si>
  <si>
    <t>No
   myalgia, arthralgia.</t>
  </si>
  <si>
    <t>522939-history-of-present-illness-1-5</t>
  </si>
  <si>
    <t>No N/V/D or dysuria.</t>
  </si>
  <si>
    <t>522939-history-of-present-illness-1-6</t>
  </si>
  <si>
    <t>No known sick contacts.</t>
  </si>
  <si>
    <t>522939-history-of-present-illness-1-7</t>
  </si>
  <si>
    <t xml:space="preserve">
   Also with HA due to 'coughing' and minimally productive cough.</t>
  </si>
  <si>
    <t>522939-allergies-0-0</t>
  </si>
  <si>
    <t>Hay fever (Nasal) (Homeopathic Drugs)
   Cough; s</t>
  </si>
  <si>
    <t>522939-other-medications-0-0</t>
  </si>
  <si>
    <t>Heparin Sodium (Prophylaxis) - [**2153-4-8**] 10:56 PM
   Other medications:
   - Home O2 - 2LPM at rest, 4 LPM with exertion
   - Advair 500-50 twice a day
   - Albuterol neb or MDI Q6H as needed for wheezing, SOB
   - Captopril 50 mg TID
   - Fluoxetine 20 mg TID
   - Glipizide 5 mg Daily
   - Lorazepam 0.5 mg [**Hospital1 7**] as needed for Anxiety.</t>
  </si>
  <si>
    <t>522939-other-medications-0-1</t>
  </si>
  <si>
    <t>522939-other-medications-0-2</t>
  </si>
  <si>
    <t>522939-other-medications-0-3</t>
  </si>
  <si>
    <t xml:space="preserve">
   - Enoxaparin 30 mg/0.3 mL SC Q12H for 4 weeks.</t>
  </si>
  <si>
    <t>522939-other-medications-0-4</t>
  </si>
  <si>
    <t xml:space="preserve"> Stopped [**4-1**]
   - Omeprazole 20 mg once a day.</t>
  </si>
  <si>
    <t>522939-other-medications-0-5</t>
  </si>
  <si>
    <t>- Docusate Sodium 100 mg [**Hospital1 7**]
   - Multivitamin DAILY
   - Ferrous Sulfate 300 mg DAILY
   - Vitamin D 1000 IU daily
   - Robitussin DM PRN Cough s</t>
  </si>
  <si>
    <t>522939-past-medical-history-0-0</t>
  </si>
  <si>
    <t>522939-past-medical-history-0-1</t>
  </si>
  <si>
    <t>522939-past-medical-history-0-2</t>
  </si>
  <si>
    <t>522939-past-medical-history-0-3</t>
  </si>
  <si>
    <t>522939-past-medical-history-0-4</t>
  </si>
  <si>
    <t>522939-past-medical-history-0-5</t>
  </si>
  <si>
    <t>- s/p L TKR
   - History of rectal cancer s/p chemo, XRT, and s/p transanal rectal ca
   excision
   - s/p hysterectomy
   - Anxiety / D</t>
  </si>
  <si>
    <t>522939-family-history-0-0</t>
  </si>
  <si>
    <t>522939-family-history-0-1</t>
  </si>
  <si>
    <t>522939-social-history-0-0</t>
  </si>
  <si>
    <t>522939-social-history-0-1</t>
  </si>
  <si>
    <t xml:space="preserve"> No alcohol use.</t>
  </si>
  <si>
    <t>522939-review-of-systems-0-0</t>
  </si>
  <si>
    <t>(+) Per HPI
   (-) Denies fever, chills, night sweats, recent weight loss or gain.</t>
  </si>
  <si>
    <t>522939-review-of-systems-0-1</t>
  </si>
  <si>
    <t xml:space="preserve">
   Denies sinus tenderness, rhinorrhea or congestion.</t>
  </si>
  <si>
    <t>522939-review-of-systems-0-2</t>
  </si>
  <si>
    <t>Denied chest pain or
   tightness, palpitations.</t>
  </si>
  <si>
    <t>522939-review-of-systems-0-3</t>
  </si>
  <si>
    <t>Denied nausea, vomiting, diarrhea,
   constipation or abdominal pain.</t>
  </si>
  <si>
    <t>522939-review-of-systems-0-4</t>
  </si>
  <si>
    <t>No recent change in bowel or bladder
   habits.</t>
  </si>
  <si>
    <t>522939-review-of-systems-0-5</t>
  </si>
  <si>
    <t>No dysuria.</t>
  </si>
  <si>
    <t>522939-review-of-systems-0-6</t>
  </si>
  <si>
    <t>Denied arthralgias or myalgias.</t>
  </si>
  <si>
    <t>522939-flowsheet-data-vitals-0-0</t>
  </si>
  <si>
    <t>Vital Signs
   Hemodynamic monitoring
   Fluid Balance
                                                                  24 hours
                                                               Since [**55**] AM
   Tmax: 36.4
C (97.6
   Tcurrent: 36.4
C (97.6
   HR: 97 (97 - 138) bpm
   BP: 149/57(83) {128/57(83) - 149/69(83)} mmHg
   RR: 30 (23 - 30) insp/min
   SpO2: 98%
   Heart rhythm: SR (Sinus Rhythm)
   Height: 24 Inch
                  Total In:
                                                                    509 mL
                  PO:
                                                                    300 mL
                  TF:
   IVF:
                                                                    209 mL
   Blood products:
   Total out:
                                                                  1,550 mL
                                                                    450 mL
   Urine:
                                                                  1,550 mL
                                                                    450 mL
   NG:
   Stool:
   Drains:
   Balance:
                                                                 -1,041 mL
                                                                   -450 mL
   Respiratory
   SpO2: 98%</t>
  </si>
  <si>
    <t>522939-physical-examination-0-0</t>
  </si>
  <si>
    <t>Vitals: T: 97.6   BP: 128/69 P: 85, but transiently also in 130s R: 20
   O2: 96% on face mask
   General: Alert, oriented, no acute distress
   HEENT: Sclera anicteric, MMM, oropharynx clear
   Lungs: Expiratory wheezes
   CV: Regular rate and rhythm, normal S1 + S2, no murmurs, rubs, gallops
   Abdomen: soft, non-tender, non-distended, bowel sounds present, no
   rebound tenderness or guarding
   Ext: warm, well perfused, 2+ pulses, no clubbing, cyanosis or edema.</t>
  </si>
  <si>
    <t>522939-physical-examination-0-1</t>
  </si>
  <si>
    <t>No
   signs of infection at knee incision, well h</t>
  </si>
  <si>
    <t>522939-labs-imaging-0-0</t>
  </si>
  <si>
    <t>249 K/uL
   10.1 g/dL
   239
   0.6 mg/dL
   12 mg/dL
   32 mEq/L
   101 mEq/L
   4.1 mEq/L
   139 mEq/L
   31.4 %
   8.0 K/uL
        [image002.jpg]
                                  [**2149-2-10**]
                          2:33 A2/26/[**2153**]  09:13 PM
                                  [**2149-2-14**]
                         10:20 P2/27/[**2153**]  03:32 AM
                                  [**2149-2-15**]
                          1:20 P2/28/[**2153**]  10:00 PM
                                  [**2149-2-16**]
                                   11:50 P
                                  [**2149-2-17**]
                                   1:20 A
                                  [**2149-2-18**]
                                   7:20 P
                                  1//11/006
                                   1:23 P
                                  [**2149-3-13**]
                                   1:20 P
                                  [**2149-3-13**]
                                   11:20 P
                                  [**2149-3-13**]
                                   4:20 P
   WBC
                                     8.0
   Hct
                                    31.4
   Plt
                                     249
   Cr
                                     0.6
   TropT
                                    &lt;0.01
   Glucose
                                     212
                                     239
   Other labs: CK / CKMB / Troponin-T:87//&lt;0.01, Lactic Acid:1.6 mmol/L,
   Ca++:9.3 mg/dL, Mg++:2.0 mg/dL, PO4:3.5 mg/dL
   [**4-6**]:  Cardiac enzymes: CK85/MB-/Tn&lt;0.01 -&gt; CK87/MB-/Tn&lt;0.01
   CXR: Even clearer than from [**4-6**], no signs of fluid o/l, hyperinflated
   lungs.</t>
  </si>
  <si>
    <t>522939-labs-imaging-0-1</t>
  </si>
  <si>
    <t>Compared to [**4-6**], may be clearer in RML.</t>
  </si>
  <si>
    <t>522939-labs-imaging-0-2</t>
  </si>
  <si>
    <t xml:space="preserve">
   Echo in [**2151**]: Moderate to severe pulmonary hypertension.</t>
  </si>
  <si>
    <t>522939-labs-imaging-0-3</t>
  </si>
  <si>
    <t>Moderate
   symmetric LV hypertrophy with preserved systolic function.</t>
  </si>
  <si>
    <t>522939-labs-imaging-0-4</t>
  </si>
  <si>
    <t>Mildly
   dilated RV with preserved systolic function.</t>
  </si>
  <si>
    <t>522939-labs-imaging-0-5</t>
  </si>
  <si>
    <t xml:space="preserve">
   CTA [**3-25**]:
   1.</t>
  </si>
  <si>
    <t>522939-labs-imaging-0-6</t>
  </si>
  <si>
    <t>No evidence of pulmonary embolism.</t>
  </si>
  <si>
    <t>522939-labs-imaging-0-7</t>
  </si>
  <si>
    <t>Emphysema, with stable pulmonary nodules within the left lower and
   right upper lobes.</t>
  </si>
  <si>
    <t>522939-assessment-and-plan-0-0</t>
  </si>
  <si>
    <t>522939-assessment-and-plan-0-1</t>
  </si>
  <si>
    <t>522939-assessment-and-plan-0-2</t>
  </si>
  <si>
    <t>522939-assessment-and-plan-0-3</t>
  </si>
  <si>
    <t>522939-assessment-and-plan-0-4</t>
  </si>
  <si>
    <t>522939-assessment-and-plan-0-5</t>
  </si>
  <si>
    <t>522939-assessment-and-plan-0-6</t>
  </si>
  <si>
    <t>522939-assessment-and-plan-0-7</t>
  </si>
  <si>
    <t>522939-assessment-and-plan-0-8</t>
  </si>
  <si>
    <t>522939-assessment-and-plan-0-9</t>
  </si>
  <si>
    <t>522939-assessment-and-plan-0-10</t>
  </si>
  <si>
    <t>522939-assessment-and-plan-1-0</t>
  </si>
  <si>
    <t>522939-assessment-and-plan-1-1</t>
  </si>
  <si>
    <t>522939-assessment-and-plan-1-2</t>
  </si>
  <si>
    <t>522939-assessment-and-plan-1-3</t>
  </si>
  <si>
    <t>522939-assessment-and-plan-1-4</t>
  </si>
  <si>
    <t>522939-assessment-and-plan-1-5</t>
  </si>
  <si>
    <t>522939-assessment-and-plan-1-6</t>
  </si>
  <si>
    <t>522939-assessment-and-plan-1-7</t>
  </si>
  <si>
    <t>522939-assessment-and-plan-1-8</t>
  </si>
  <si>
    <t>522939-assessment-and-plan-2-0</t>
  </si>
  <si>
    <t xml:space="preserve">
   # DM type II.</t>
  </si>
  <si>
    <t>522939-assessment-and-plan-2-1</t>
  </si>
  <si>
    <t>522939-assessment-and-plan-2-2</t>
  </si>
  <si>
    <t>522939-assessment-and-plan-2-3</t>
  </si>
  <si>
    <t>522939-assessment-and-plan-3-0</t>
  </si>
  <si>
    <t>522939-assessment-and-plan-3-1</t>
  </si>
  <si>
    <t>522939-assessment-and-plan-4-0</t>
  </si>
  <si>
    <t>522939-assessment-and-plan-4-1</t>
  </si>
  <si>
    <t>522939-assessment-and-plan-4-2</t>
  </si>
  <si>
    <t>522939-assessment-and-plan-5-0</t>
  </si>
  <si>
    <t>FEN: No IVF, replete electrolytes, regular diet
   Prophylaxis: Subutaneous heparin
   Access: peripherals
   20 Gauge - [**2153-4-8**] 09:30 P</t>
  </si>
  <si>
    <t>522939-code-status-0-0</t>
  </si>
  <si>
    <t>522939-communication-0-0</t>
  </si>
  <si>
    <t>522939-disposition-0-0</t>
  </si>
  <si>
    <t>ICU)</t>
  </si>
  <si>
    <t>522939-critical-care-attending-addendum-0-0</t>
  </si>
  <si>
    <t>------
   [**Known lastname **]: 73 y/o with COPD (home oxygen), diastolic heart failure, and
   recent total knee replacement initially admitted to MICU 2 days ago for
   COPD exacerbation and SVT.</t>
  </si>
  <si>
    <t>522939-critical-care-attending-addendum-0-1</t>
  </si>
  <si>
    <t xml:space="preserve"> Transferred to the floor but returns to ICU
   today following an episode of respiratory distress and tachycardia.</t>
  </si>
  <si>
    <t>522939-critical-care-attending-addendum-0-2</t>
  </si>
  <si>
    <t xml:space="preserve">
   CXR without infiltrate.</t>
  </si>
  <si>
    <t>522939-critical-care-attending-addendum-0-3</t>
  </si>
  <si>
    <t xml:space="preserve"> WBC increased to 15, Hct 32, Plt 286, Cr 0.6.</t>
  </si>
  <si>
    <t>522939-critical-care-attending-addendum-0-4</t>
  </si>
  <si>
    <t xml:space="preserve">
   Afebrile  140/71  67
   wheezes bilaterally
   Impression:
   The etiology of her respiratory distress may be diastrolic failure in
   the setting of her tachycardia.</t>
  </si>
  <si>
    <t>522939-critical-care-attending-addendum-0-5</t>
  </si>
  <si>
    <t xml:space="preserve"> Her underlying COPD is likely
   contributing also.</t>
  </si>
  <si>
    <t>522939-critical-care-attending-addendum-0-6</t>
  </si>
  <si>
    <t xml:space="preserve"> Her tachycardia is currently resolved and she is
   stable from a respiratory standpoint.</t>
  </si>
  <si>
    <t>522939-critical-care-attending-addendum-0-7</t>
  </si>
  <si>
    <t xml:space="preserve">
   PLAN:
   1. Continue rate control with diltiazem
   2.</t>
  </si>
  <si>
    <t>522939-critical-care-attending-addendum-0-8</t>
  </si>
  <si>
    <t>Cardiology evaluation
   3.</t>
  </si>
  <si>
    <t>522939-critical-care-attending-addendum-0-9</t>
  </si>
  <si>
    <t>Echocardiogram
   4.</t>
  </si>
  <si>
    <t>522939-critical-care-attending-addendum-0-10</t>
  </si>
  <si>
    <t>Continue steroids, antibiotics, and bronchodilators for COPD.</t>
  </si>
  <si>
    <t>522939-critical-care-attending-addendum-0-11</t>
  </si>
  <si>
    <t>------ Protected Section Addendum Entered By:[</t>
  </si>
  <si>
    <t>43723-allergies-0-0</t>
  </si>
  <si>
    <t>43723-chief-complaint-0-0</t>
  </si>
  <si>
    <t>s</t>
  </si>
  <si>
    <t>43723-major-surgical-or-invasive-procedure-0-0</t>
  </si>
  <si>
    <t>43723-history-of-present-illness-0-0</t>
  </si>
  <si>
    <t>73F with COPD on home O2, diastolic CHF, TKR one month ago,
presenting with shortness of breath.</t>
  </si>
  <si>
    <t>43723-history-of-present-illness-0-1</t>
  </si>
  <si>
    <t>She has had worsening
dyspnea for 1-2 weeks at home.</t>
  </si>
  <si>
    <t>43723-history-of-present-illness-0-2</t>
  </si>
  <si>
    <t>Started on azithromycin and
steroids last week as an outpatient without improvement.</t>
  </si>
  <si>
    <t>43723-history-of-present-illness-0-3</t>
  </si>
  <si>
    <t>She
woke up this AM with worsened respiratory distress.</t>
  </si>
  <si>
    <t>43723-history-of-present-illness-0-4</t>
  </si>
  <si>
    <t>Gave herself
nebs at home and did not improve so called EMS.</t>
  </si>
  <si>
    <t>43723-past-medical-history-0-0</t>
  </si>
  <si>
    <t>43723-past-medical-history-0-1</t>
  </si>
  <si>
    <t>Spirometry with only mild
to moderate obstructive defect, FEV1 1.17 (68% predicted) but
low DLCO at 38% predicted.</t>
  </si>
  <si>
    <t>43723-past-medical-history-0-2</t>
  </si>
  <si>
    <t xml:space="preserve">
- Diastolic CHF and pulmonary hypertension.</t>
  </si>
  <si>
    <t>43723-past-medical-history-0-3</t>
  </si>
  <si>
    <t>Last TTE [**12/2151**]
with EF &gt;55%, mild RV dilation with preserved function,
estimated TR gradient 43-63.
- OSA on home CPAP
- DM type II
- HTN
- s/p R TKR [**2153-3-5**], complicated by desaturation due to COPD
exacerbation, dCHF, and ?narcotics.</t>
  </si>
  <si>
    <t>43723-past-medical-history-0-4</t>
  </si>
  <si>
    <t>- s/p L TKR
- History of rectal cancer s/p chemo, XRT, and s/p transanal
rectal ca excision
- s/p hysterectomy
- Anxiety / D</t>
  </si>
  <si>
    <t>43723-social-history-0-0</t>
  </si>
  <si>
    <t>SH: Pt.</t>
  </si>
  <si>
    <t>43723-social-history-0-1</t>
  </si>
  <si>
    <t>has 11 children and 27 grandchildren.</t>
  </si>
  <si>
    <t>43723-social-history-0-2</t>
  </si>
  <si>
    <t xml:space="preserve"> She lives alone
but has help from her many children.</t>
  </si>
  <si>
    <t>43723-social-history-0-3</t>
  </si>
  <si>
    <t xml:space="preserve"> Patient is a former smoker
with 40 PY smoking history.</t>
  </si>
  <si>
    <t>43723-family-history-0-0</t>
  </si>
  <si>
    <t>Noncontributory.</t>
  </si>
  <si>
    <t>43723-physical-examination-0-0</t>
  </si>
  <si>
    <t>On Admission:
Vitals: T: 96.6  BP: 144/88  P:  96 R:  23  O2: 99/8L Ventimask
General: Alert, oriented, no acute distress
HEENT: Sclera anicteric, MMM, oropharynx clear
Lungs: Clear course bilaterally anteriorly and posteriorly with
audible wheeze, no rales
CV: Regular rate and rhythm, normal S1 + S2, no murmurs, rubs,
gallops
Abdomen: soft, non-tender, non-distended, bowel sounds present,
no rebound tenderness or guarding
GU: Foley in place
[**Month/Day/Year **]: warm, well perfused, 2+ pulses, no clubbing, cyanosis or
e</t>
  </si>
  <si>
    <t>43723-labs-imaging-0-0</t>
  </si>
  <si>
    <t>[**2153-4-6**] 09:10AM BLOOD WBC-10.9 RBC-3.82* Hgb-10.8* Hct-33.2*
MCV-87 MCH-28.3 MCHC-32.6 RDW-16.3* Plt Ct-319
[**2153-4-7**] 03:32AM BLOOD WBC-8.0 RBC-3.64* Hgb-10.1* Hct-31.4*
MCV-86 MCH-27.6 MCHC-32.0 RDW-16.3* Plt Ct-249
[**2153-4-6**] 09:10AM BLOOD Neuts-55.4 Lymphs-38.2 Monos-4.9 Eos-0.3
Baso-1.1
[**2153-4-7**] 03:32AM BLOOD Glucose-212* UreaN-12 Creat-0.6 Na-139
K-4.1 Cl-101 HCO3-32 AnGap-10
[**2153-4-6**] 09:10AM BLOOD CK(CPK)-85
[**2153-4-6**] 09:13PM BLOOD CK(CPK)-87
[**2153-4-6**] 09:10AM BLOOD cTropnT-&lt;0.01
[**2153-4-6**] 09:13PM BLOOD CK-MB-NotDone cTropnT-&lt;0.01
[**2153-4-6**] 09:16AM BLOOD Lactate-3.1*
[**2153-4-6**] 10:02PM BLOOD Lactate-1.6
[**2153-4-6**] 7:47 pm Rapid Respiratory Viral Screen &amp; C</t>
  </si>
  <si>
    <t>43723-imaging-0-0</t>
  </si>
  <si>
    <t>imaging</t>
  </si>
  <si>
    <t>CTA:
1.</t>
  </si>
  <si>
    <t>43723-imaging-0-1</t>
  </si>
  <si>
    <t>No pulmonary emboli or aortic dissection.</t>
  </si>
  <si>
    <t>43723-imaging-0-2</t>
  </si>
  <si>
    <t>Mild-to-moderate emphysema.</t>
  </si>
  <si>
    <t>43723-imaging-0-3</t>
  </si>
  <si>
    <t>Subcentimeter left lower lobe pulmonary nodule, stable since
[**2149**].</t>
  </si>
  <si>
    <t>43723-imaging-0-4</t>
  </si>
  <si>
    <t>No
followup indicated.</t>
  </si>
  <si>
    <t>43723-imaging-0-5</t>
  </si>
  <si>
    <t>43723-imaging-0-6</t>
  </si>
  <si>
    <t>Mild bronchiectasis, less
inflamed today than
previously.</t>
  </si>
  <si>
    <t>43723-hospital-course-0-0</t>
  </si>
  <si>
    <t>73 YO F with COPD/RAD on home O2, diastolic CHF, recent TKR,
presenting with two weeks of shortness of breath with acute
worsening x 1 day.</t>
  </si>
  <si>
    <t>43723-hospital-course-1-0</t>
  </si>
  <si>
    <t xml:space="preserve">
# COPD exacerbation: Upon admission, possibly etiologies of
hypoxia included PNA, RAD, COPD exacerbation, heart failure,
coronary ischemia or possibly PE.</t>
  </si>
  <si>
    <t>43723-hospital-course-1-1</t>
  </si>
  <si>
    <t xml:space="preserve"> CTA negative in ED and CXR
without clear PNA, and she received one dose of Azithromycin
which completed her 5 day outpatient course.</t>
  </si>
  <si>
    <t>43723-hospital-course-1-2</t>
  </si>
  <si>
    <t xml:space="preserve"> Nasal swab DFA was
negative for viruses or influenza.</t>
  </si>
  <si>
    <t>43723-hospital-course-1-3</t>
  </si>
  <si>
    <t xml:space="preserve"> Cardiac enzymes were cycled
and negative and serial ECGs Q12 were unchanged.</t>
  </si>
  <si>
    <t>43723-hospital-course-1-4</t>
  </si>
  <si>
    <t>Wheezing on
exam was concerning for COPD so she was treated with
methylprednisone IV and she was also started on standing nebs
and continued on her home inhalers.</t>
  </si>
  <si>
    <t>43723-hospital-course-1-5</t>
  </si>
  <si>
    <t xml:space="preserve"> When her 02 mask was taken
off she quickly desatted to the 70s so there was concern for
shunt/PFO and an echo with bubble study was ordered which showed
only a very small PFO, which as per cardiology, does not account
for her desaturations.</t>
  </si>
  <si>
    <t>43723-medication-history-0-0</t>
  </si>
  <si>
    <t>- Home O2 - 2LPM at rest, 4 LPM with exertion
- Advair 500-50 twice a day
- Albuterol neb or MDI Q6H as needed for wheezing, SOB
- Captopril 50 mg TID
- Fluoxetine 20 mg TID
- Glipizide 5 mg Daily
- Lorazepam 0.5 mg [**Hospital1 **] as needed for Anxiety.
- Metformin 500 mg SR [**Hospital1 **]
- Montelukast 10 mg DAILY
- Simvastatin 40 mg DAILY
- Spiriva 18 mcg once a day.</t>
  </si>
  <si>
    <t>43723-medication-history-0-1</t>
  </si>
  <si>
    <t xml:space="preserve">
- Calcium 500 + D 500 mg(1,250mg)-400 unit twice a day.</t>
  </si>
  <si>
    <t>43723-medication-history-0-2</t>
  </si>
  <si>
    <t xml:space="preserve">
- Enoxaparin 30 mg/0.3 mL SC Q12H for 4 weeks.</t>
  </si>
  <si>
    <t>43723-medication-history-0-3</t>
  </si>
  <si>
    <t xml:space="preserve"> Stopped [**4-1**]
- Omeprazole 20 mg once a day.</t>
  </si>
  <si>
    <t>43723-medication-history-0-4</t>
  </si>
  <si>
    <t>- Docusate Sodium 100 mg [**Hospital1 **]
- Multivitamin DAILY
- Ferrous Sulfate 300 mg DAILY
- Vitamin D 1000 IU daily
- Robitussin DM PRN Cough suppressant
- H</t>
  </si>
  <si>
    <t>43723-discharge-medications-0-0</t>
  </si>
  <si>
    <t>Omeprazole 20 mg Capsule, Delayed Release(E.C.) Sig: Two (2)
Capsule, Delayed Release(E.C.) PO DAILY (Daily).</t>
  </si>
  <si>
    <t>43723-discharge-medications-0-1</t>
  </si>
  <si>
    <t>Multivitamin     Tablet Sig: One (1) Tablet PO DAILY (Daily).</t>
  </si>
  <si>
    <t>43723-discharge-condition-0-0</t>
  </si>
  <si>
    <t>Mental Status: Clear and coherent
Level of Consciousness: Alert and interactive
Activity Status: Ambulatory - I</t>
  </si>
  <si>
    <t>43723-facility-0-0</t>
  </si>
  <si>
    <t>[**Hospital3 672**] H</t>
  </si>
  <si>
    <t>43723-discharge-diagnosis-0-0</t>
  </si>
  <si>
    <t>43723-discharge-diagnosis-1-0</t>
  </si>
  <si>
    <t>Secondary
-Obstructive sleep apnea
-Hypertension
-Chronic diastolic h</t>
  </si>
  <si>
    <t>43723-discharge-instructions-0-0</t>
  </si>
  <si>
    <t>Name: [**First Name8 (NamePattern2) **] [**Last Name (NamePattern1) **], [**First Name7 (NamePattern1) **] [**Initial (NamePattern1) **] [**Last Name (NamePattern4) **]
Location: [**Hospital1 **] [**First Name (Titles) **] [**Last Name (Titles) **]
Address: 545A CENTRE ST, [**Location (un) **],[**Numeric Identifier 7023**]
Phone: [**Telephone/Fax (1) 608**]
Appt: [**4-20**] at 1</t>
  </si>
  <si>
    <t>523176-reason-0-0</t>
  </si>
  <si>
    <t>523176-history-of-present-illness-0-0</t>
  </si>
  <si>
    <t>523176-history-of-present-illness-0-1</t>
  </si>
  <si>
    <t>523176-history-of-present-illness-0-2</t>
  </si>
  <si>
    <t>523176-history-of-present-illness-0-3</t>
  </si>
  <si>
    <t>523176-history-of-present-illness-0-4</t>
  </si>
  <si>
    <t>523176-history-of-present-illness-0-5</t>
  </si>
  <si>
    <t>523176-history-of-present-illness-1-0</t>
  </si>
  <si>
    <t>523176-history-of-present-illness-1-1</t>
  </si>
  <si>
    <t>523176-history-of-present-illness-1-2</t>
  </si>
  <si>
    <t>523176-allergies-0-0</t>
  </si>
  <si>
    <t>523176-medication-history-0-0</t>
  </si>
  <si>
    <t>523176-medication-history-0-1</t>
  </si>
  <si>
    <t>523176-medication-history-0-2</t>
  </si>
  <si>
    <t>523176-medication-history-0-3</t>
  </si>
  <si>
    <t>523176-medication-history-0-4</t>
  </si>
  <si>
    <t>523176-medication-history-0-5</t>
  </si>
  <si>
    <t>523176-medication-history-0-6</t>
  </si>
  <si>
    <t>523176-medication-history-0-7</t>
  </si>
  <si>
    <t>523176-medication-history-0-8</t>
  </si>
  <si>
    <t>523176-current-medications-0-0</t>
  </si>
  <si>
    <t>523176-past-medical-history-0-0</t>
  </si>
  <si>
    <t>523176-past-medical-history-0-1</t>
  </si>
  <si>
    <t>523176-past-medical-history-0-2</t>
  </si>
  <si>
    <t>523176-past-medical-history-0-3</t>
  </si>
  <si>
    <t>523176-past-medical-history-0-4</t>
  </si>
  <si>
    <t>523176-past-medical-history-0-5</t>
  </si>
  <si>
    <t>523176-social-and-family-history-0-0</t>
  </si>
  <si>
    <t>523176-social-and-family-history-0-1</t>
  </si>
  <si>
    <t>523176-social-and-family-history-0-2</t>
  </si>
  <si>
    <t>523176-social-and-family-history-0-3</t>
  </si>
  <si>
    <t>523176-social-and-family-history-0-4</t>
  </si>
  <si>
    <t>523176-physical-examination-0-0</t>
  </si>
  <si>
    <t>523176-physical-examination-0-1</t>
  </si>
  <si>
    <t>523176-labs-imaging-0-0</t>
  </si>
  <si>
    <t>523176-labs-imaging-0-1</t>
  </si>
  <si>
    <t>523176-assessment-and-plan-0-0</t>
  </si>
  <si>
    <t>523176-assessment-and-plan-0-1</t>
  </si>
  <si>
    <t>523176-assessment-and-plan-0-2</t>
  </si>
  <si>
    <t>523176-assessment-and-plan-0-3</t>
  </si>
  <si>
    <t>523176-assessment-and-plan-0-4</t>
  </si>
  <si>
    <t>522620-assessment-and-plan-0-0</t>
  </si>
  <si>
    <t>Action:
   Response:
   Plan:
   .</t>
  </si>
  <si>
    <t>522620-assessment-and-plan-0-1</t>
  </si>
  <si>
    <t xml:space="preserve">H/O diabetes Mellitus (DM), Type II
   Assessment:
   Action:
   Response:
   Plan:
</t>
  </si>
  <si>
    <t>522622-assessment-and-plan-0-0</t>
  </si>
  <si>
    <t>522622-assessment-and-plan-0-1</t>
  </si>
  <si>
    <t xml:space="preserve">H/O diabetes Mellitus (DM), Type II
   Assessment:
   Action:
   Response:
   Plan:
   Supraventricular tachycardia (SVT)
   Assessment:
   Action:
   Response:
   Plan:
</t>
  </si>
  <si>
    <t>523148-history-of-present-illness-0-0</t>
  </si>
  <si>
    <t>523148-history-of-present-illness-0-1</t>
  </si>
  <si>
    <t>523148-history-of-present-illness-0-2</t>
  </si>
  <si>
    <t>523148-history-of-present-illness-0-3</t>
  </si>
  <si>
    <t>523148-history-of-present-illness-0-4</t>
  </si>
  <si>
    <t>523148-history-of-present-illness-0-5</t>
  </si>
  <si>
    <t>523148-history-of-present-illness-1-0</t>
  </si>
  <si>
    <t>523148-history-of-present-illness-1-1</t>
  </si>
  <si>
    <t>523148-history-of-present-illness-1-2</t>
  </si>
  <si>
    <t>523148-allergies-0-0</t>
  </si>
  <si>
    <t>523148-medication-history-0-0</t>
  </si>
  <si>
    <t>523148-medication-history-0-1</t>
  </si>
  <si>
    <t>523148-medication-history-0-2</t>
  </si>
  <si>
    <t>523148-medication-history-0-3</t>
  </si>
  <si>
    <t>523148-medication-history-0-4</t>
  </si>
  <si>
    <t>523148-medication-history-0-5</t>
  </si>
  <si>
    <t>523148-medication-history-0-6</t>
  </si>
  <si>
    <t>523148-medication-history-0-7</t>
  </si>
  <si>
    <t>523148-medication-history-0-8</t>
  </si>
  <si>
    <t>523148-current-medications-0-0</t>
  </si>
  <si>
    <t>523148-past-medical-history-0-0</t>
  </si>
  <si>
    <t>523148-past-medical-history-0-1</t>
  </si>
  <si>
    <t>523148-past-medical-history-0-2</t>
  </si>
  <si>
    <t>523148-past-medical-history-0-3</t>
  </si>
  <si>
    <t>523148-past-medical-history-0-4</t>
  </si>
  <si>
    <t>523148-past-medical-history-0-5</t>
  </si>
  <si>
    <t>523148-social-and-family-history-0-0</t>
  </si>
  <si>
    <t>523148-social-and-family-history-0-1</t>
  </si>
  <si>
    <t>523148-social-and-family-history-0-2</t>
  </si>
  <si>
    <t>523148-social-and-family-history-0-3</t>
  </si>
  <si>
    <t>523148-social-and-family-history-0-4</t>
  </si>
  <si>
    <t>523148-physical-examination-0-0</t>
  </si>
  <si>
    <t>523148-physical-examination-0-1</t>
  </si>
  <si>
    <t>523148-labs-imaging-0-0</t>
  </si>
  <si>
    <t>523148-labs-imaging-0-1</t>
  </si>
  <si>
    <t>523148-assessment-and-plan-0-0</t>
  </si>
  <si>
    <t>-
   - Recommendation:
   1)</t>
  </si>
  <si>
    <t>523149-reason-0-0</t>
  </si>
  <si>
    <t>523149-history-of-present-illness-0-0</t>
  </si>
  <si>
    <t>523149-history-of-present-illness-0-1</t>
  </si>
  <si>
    <t>523149-history-of-present-illness-0-2</t>
  </si>
  <si>
    <t>523149-history-of-present-illness-0-3</t>
  </si>
  <si>
    <t>523149-history-of-present-illness-0-4</t>
  </si>
  <si>
    <t>523149-history-of-present-illness-0-5</t>
  </si>
  <si>
    <t>523149-history-of-present-illness-1-0</t>
  </si>
  <si>
    <t>523149-history-of-present-illness-1-1</t>
  </si>
  <si>
    <t>523149-history-of-present-illness-1-2</t>
  </si>
  <si>
    <t>523149-allergies-0-0</t>
  </si>
  <si>
    <t>523149-medication-history-0-0</t>
  </si>
  <si>
    <t>523149-medication-history-0-1</t>
  </si>
  <si>
    <t>523149-medication-history-0-2</t>
  </si>
  <si>
    <t>523149-medication-history-0-3</t>
  </si>
  <si>
    <t>523149-medication-history-0-4</t>
  </si>
  <si>
    <t>523149-medication-history-0-5</t>
  </si>
  <si>
    <t>523149-medication-history-0-6</t>
  </si>
  <si>
    <t>523149-medication-history-0-7</t>
  </si>
  <si>
    <t>523149-medication-history-0-8</t>
  </si>
  <si>
    <t>523149-current-medications-0-0</t>
  </si>
  <si>
    <t>523149-past-medical-history-0-0</t>
  </si>
  <si>
    <t>523149-past-medical-history-0-1</t>
  </si>
  <si>
    <t>523149-past-medical-history-0-2</t>
  </si>
  <si>
    <t>523149-past-medical-history-0-3</t>
  </si>
  <si>
    <t>523149-past-medical-history-0-4</t>
  </si>
  <si>
    <t>523149-past-medical-history-0-5</t>
  </si>
  <si>
    <t>523149-social-and-family-history-0-0</t>
  </si>
  <si>
    <t>523149-social-and-family-history-0-1</t>
  </si>
  <si>
    <t>523149-social-and-family-history-0-2</t>
  </si>
  <si>
    <t>523149-social-and-family-history-0-3</t>
  </si>
  <si>
    <t>523149-social-and-family-history-0-4</t>
  </si>
  <si>
    <t>523149-physical-examination-0-0</t>
  </si>
  <si>
    <t>523149-physical-examination-0-1</t>
  </si>
  <si>
    <t>523149-labs-imaging-0-0</t>
  </si>
  <si>
    <t>523149-labs-imaging-0-1</t>
  </si>
  <si>
    <t>523149-assessment-and-plan-0-0</t>
  </si>
  <si>
    <t>523149-assessment-and-plan-0-1</t>
  </si>
  <si>
    <t>522531-24-hour-events-0-0</t>
  </si>
  <si>
    <t>- Cardiac enzymes negative x 2
   - Complains of some continued dyspnea and dry cough, but improved from
   yesterday.</t>
  </si>
  <si>
    <t>522531-24-hour-events-0-1</t>
  </si>
  <si>
    <t>Also has mild abdominal pain
   History obtained from P</t>
  </si>
  <si>
    <t>522531-allergies-0-0</t>
  </si>
  <si>
    <t>History obtained from PatientHayfever (Nasal) (Homeopathic Drugs)
   Cough; s</t>
  </si>
  <si>
    <t>522531-other-medications-0-0</t>
  </si>
  <si>
    <t>Other medications:</t>
  </si>
  <si>
    <t>522531-past-medical-history-0-0</t>
  </si>
  <si>
    <t>Review of systems is unchanged from admission except as noted b</t>
  </si>
  <si>
    <t>522531-review-of-systems-0-0</t>
  </si>
  <si>
    <t>Respiratory: Cough, Dyspnea, Wheeze
   Gastrointestinal: A</t>
  </si>
  <si>
    <t>522531-flowsheet-data-vitals-0-0</t>
  </si>
  <si>
    <t>Vital signs
   Hemodynamic monitoring
   Fluid balance
                                                                  24 hours
                                                               Since [**55**] AM
   Tmax: 36.9
C (98.4
   Tcurrent: 36
C (96.8
   HR: 72 (57 - 90) bpm
   BP: 160/69(93) {130/58(76) - 165/80(100)} mmHg
   RR: 17 (15 - 24) insp/min
   SpO2: 95%
   Heart rhythm: SR (Sinus Rhythm)
   Height: 24 Inch
             Total In:
                                                                  2,290 mL
                                                                     65 mL
   PO:
                                                                    150 mL
             TF:
   IVF:
                                                                     90 mL
                                                                     65 mL
   Blood products:
   Total out:
                                                                  2,050 mL
                                                                  1,060 mL
   Urine:
                                                                  1,200 mL
                                                                  1,060 mL
   NG:
   Stool:
   Drains:
   Balance:
                                                                    240 mL
                                                                   -995 mL
   Respiratory support
   O2 Delivery Device: Aerosol-cool
   SpO2: 95%
   ABG: ///32/</t>
  </si>
  <si>
    <t>522531-physical-examination-0-0</t>
  </si>
  <si>
    <t>General Appearance: Well nourished, No acute distress
   Cardiovascular: (S1: Normal), (S2: Normal)
   Peripheral Vascular: (Right radial pulse: Present), (Left radial pulse:
   Present), (Right DP pulse: Present), (Left DP pulse: Present)
   Respiratory / Chest: (Expansion: Symmetric), (Percussion: Resonant : ),
   (Breath Sounds: Wheezes : expiratory)
   Abdominal: Soft, Non-tender, Bowel sounds present
   Extremities: Right lower extremity edema: Absent, Left lower extremity
   edema: Absent
   Skin:  Warm
   Neurologic: Attentive, Follows simple commands, Responds to: Verbal
   stimuli, Oriented (to): x3, Movement: Purposeful, Tone: N</t>
  </si>
  <si>
    <t>522531-labs-imaging-0-0</t>
  </si>
  <si>
    <t>249 K/uL
   10.1 g/dL
   212 mg/dL
   0.6 mg/dL
   32 mEq/L
   4.1 mEq/L
   12 mg/dL
   101 mEq/L
   139 mEq/L
   31.4 %
   8.0 K/uL
        [image002.jpg]
                             [**2153-4-6**]  09:13 PM
                             [**2153-4-7**]  03:32 AM
   WBC
   8.0
   Hct
   31.4
   Plt
   249
   Cr
   0.6
   TropT
   &lt;0.01
   Glucose
   212
   Other labs: CK / CKMB / Troponin-T:87//&lt;0.01, Lactic Acid:1.6 mmol/L,
   Ca++:9.3 mg/dL, Mg++:2.0 mg/dL, PO4:3.5 mg/dL
   Imaging: [**4-6**] CXR: Single AP radiograph of the chest again demonstrates
   hyperexpanded lungs, consistent with emphysema.</t>
  </si>
  <si>
    <t>522531-labs-imaging-0-1</t>
  </si>
  <si>
    <t>There is left lower
   lobe atelectasis, with no evidence of focal consolidation or edema.</t>
  </si>
  <si>
    <t>522531-labs-imaging-0-2</t>
  </si>
  <si>
    <t>The
   cardiomediastinal silhouette is again enlarged, with a tortuous and
   calcified aorta.</t>
  </si>
  <si>
    <t>522531-labs-imaging-0-3</t>
  </si>
  <si>
    <t>The osseous structures and soft tissues are
   unremarkable.</t>
  </si>
  <si>
    <t>522531-labs-imaging-0-4</t>
  </si>
  <si>
    <t>Microbiology: [**4-6**] BCx: pending
   [**4-6**] Resp viral culture: p</t>
  </si>
  <si>
    <t>522531-assessment-and-plan-0-0</t>
  </si>
  <si>
    <t>73 YO F with COPD/RAD on home O2, diastolic CHF, recent TKR, presenting
   with two weeks of shortness of breath with acute worsening x 1 day.</t>
  </si>
  <si>
    <t>522531-assessment-and-plan-1-0</t>
  </si>
  <si>
    <t xml:space="preserve">
   # Hypoxia/respiratory distress:  O2 stable over night with aerosolized
   mask.</t>
  </si>
  <si>
    <t>522531-assessment-and-plan-1-1</t>
  </si>
  <si>
    <t>Subjectively improved but continues to cough and wheeze.</t>
  </si>
  <si>
    <t>522531-assessment-and-plan-1-2</t>
  </si>
  <si>
    <t>CXR
   without focal consolidation, and patient is afebrile without
   leukocytosis.</t>
  </si>
  <si>
    <t>522531-assessment-and-plan-1-3</t>
  </si>
  <si>
    <t>Cardiac enzymes negative x2.</t>
  </si>
  <si>
    <t>522531-assessment-and-plan-1-4</t>
  </si>
  <si>
    <t>Respiratory viral culture
   pending.</t>
  </si>
  <si>
    <t>522531-assessment-and-plan-1-5</t>
  </si>
  <si>
    <t xml:space="preserve"> CTA negative for PE in ED.</t>
  </si>
  <si>
    <t>522531-assessment-and-plan-1-6</t>
  </si>
  <si>
    <t xml:space="preserve"> Likely some component of RAD,
   COPD flair.</t>
  </si>
  <si>
    <t>522531-assessment-and-plan-1-7</t>
  </si>
  <si>
    <t xml:space="preserve"> Also may have some element of volume overload given
   diastolic dysfunction and 2.75L in ED, although euvolemic on exam.</t>
  </si>
  <si>
    <t>522531-assessment-and-plan-1-8</t>
  </si>
  <si>
    <t xml:space="preserve">
   Another consideration for brief hypoxemic episode with quick resolution
   would be an intermittent shunt.</t>
  </si>
  <si>
    <t>522531-assessment-and-plan-1-9</t>
  </si>
  <si>
    <t xml:space="preserve"> PFO with brief opening is one
   possibility which could be explained in Valsalva maneuver.</t>
  </si>
  <si>
    <t>522531-assessment-and-plan-1-10</t>
  </si>
  <si>
    <t>522531-assessment-and-plan-2-0</t>
  </si>
  <si>
    <t xml:space="preserve">
   # COPD.</t>
  </si>
  <si>
    <t>522531-assessment-and-plan-2-1</t>
  </si>
  <si>
    <t xml:space="preserve"> Mild per most recent PFTs [**2153**] but with significantly
   diminished DLCO.</t>
  </si>
  <si>
    <t>522531-assessment-and-plan-2-2</t>
  </si>
  <si>
    <t xml:space="preserve"> Is on home O2, Spiriva, Advair, Albuterol.</t>
  </si>
  <si>
    <t>522531-assessment-and-plan-2-3</t>
  </si>
  <si>
    <t xml:space="preserve">
   - Management for acute exacerbation as above.</t>
  </si>
  <si>
    <t>522531-assessment-and-plan-2-4</t>
  </si>
  <si>
    <t xml:space="preserve">
   - Restart spiriva once off ipratroprium nebs.</t>
  </si>
  <si>
    <t>522531-assessment-and-plan-2-5</t>
  </si>
  <si>
    <t>522531-assessment-and-plan-3-0</t>
  </si>
  <si>
    <t xml:space="preserve">
   # Diastolic CHF.</t>
  </si>
  <si>
    <t>522531-assessment-and-plan-3-1</t>
  </si>
  <si>
    <t>Euvolemic, as above.</t>
  </si>
  <si>
    <t>522531-assessment-and-plan-3-2</t>
  </si>
  <si>
    <t>CXR taken prior to IV fluids not
   overly edematous
   - Continue ACEI.</t>
  </si>
  <si>
    <t>522531-assessment-and-plan-3-3</t>
  </si>
  <si>
    <t xml:space="preserve">
   - BP control.</t>
  </si>
  <si>
    <t>522531-assessment-and-plan-4-0</t>
  </si>
  <si>
    <t xml:space="preserve">
   # Elevated lactate: Resolved.</t>
  </si>
  <si>
    <t>522531-assessment-and-plan-4-1</t>
  </si>
  <si>
    <t xml:space="preserve">
   - Hold metformin.</t>
  </si>
  <si>
    <t>522531-assessment-and-plan-5-0</t>
  </si>
  <si>
    <t>522531-assessment-and-plan-5-1</t>
  </si>
  <si>
    <t xml:space="preserve"> FS elevated on admission &gt; 200.</t>
  </si>
  <si>
    <t>522531-assessment-and-plan-5-2</t>
  </si>
  <si>
    <t xml:space="preserve"> [**2153-3-28**] HbA1c 6.9.</t>
  </si>
  <si>
    <t>522531-assessment-and-plan-5-3</t>
  </si>
  <si>
    <t>522531-assessment-and-plan-6-0</t>
  </si>
  <si>
    <t xml:space="preserve">
   # Hypertension
 BP remains elevated.</t>
  </si>
  <si>
    <t>522531-assessment-and-plan-6-1</t>
  </si>
  <si>
    <t>522531-assessment-and-plan-7-0</t>
  </si>
  <si>
    <t xml:space="preserve">
   # Anemia: Hct stable, near baseline since [**2153-2-9**].</t>
  </si>
  <si>
    <t>522531-assessment-and-plan-7-1</t>
  </si>
  <si>
    <t>522531-assessment-and-plan-8-0</t>
  </si>
  <si>
    <t>FEN: No IVF, replete electrolytes, DM diet
   Prophylaxis: Subutaneous heparin
   Access: peripherals x2
   Code: Full (confirmed on admission)
   Communication: Patient  &amp; daughter [**Name (NI) **] (HCP)
   Disposition: pending clinical improvement; consider transfer to floor
   today
   ICU Care
   Nutrition:
   Glycemic Control:
   Lines:
   18 Gauge - [**2153-4-6**] 03:00 PM
   20 Gauge - [**2153-4-6**] 03:00 PM
   Prophylaxis:
   DVT:
   Stress ulcer:
   VAP:
   Comments:
   Communication:  Comments:</t>
  </si>
  <si>
    <t>522531-code-status-0-0</t>
  </si>
  <si>
    <t>522936-chief-complaint-0-0</t>
  </si>
  <si>
    <t>522936-history-of-present-illness-0-0</t>
  </si>
  <si>
    <t>522936-history-of-present-illness-0-1</t>
  </si>
  <si>
    <t>522936-history-of-present-illness-0-2</t>
  </si>
  <si>
    <t>522936-history-of-present-illness-0-3</t>
  </si>
  <si>
    <t>522936-history-of-present-illness-0-4</t>
  </si>
  <si>
    <t>522936-history-of-present-illness-0-5</t>
  </si>
  <si>
    <t>522936-history-of-present-illness-0-6</t>
  </si>
  <si>
    <t>522936-history-of-present-illness-0-7</t>
  </si>
  <si>
    <t>522936-history-of-present-illness-0-8</t>
  </si>
  <si>
    <t>522936-history-of-present-illness-0-9</t>
  </si>
  <si>
    <t>522936-history-of-present-illness-0-10</t>
  </si>
  <si>
    <t>522936-history-of-present-illness-0-11</t>
  </si>
  <si>
    <t>522936-history-of-present-illness-1-0</t>
  </si>
  <si>
    <t>522936-history-of-present-illness-1-1</t>
  </si>
  <si>
    <t>522936-history-of-present-illness-1-2</t>
  </si>
  <si>
    <t>522936-history-of-present-illness-1-3</t>
  </si>
  <si>
    <t>522936-history-of-present-illness-1-4</t>
  </si>
  <si>
    <t>522936-history-of-present-illness-1-5</t>
  </si>
  <si>
    <t>522936-history-of-present-illness-1-6</t>
  </si>
  <si>
    <t>522936-history-of-present-illness-1-7</t>
  </si>
  <si>
    <t>522936-allergies-0-0</t>
  </si>
  <si>
    <t>522936-other-medications-0-0</t>
  </si>
  <si>
    <t>522936-other-medications-0-1</t>
  </si>
  <si>
    <t>522936-other-medications-0-2</t>
  </si>
  <si>
    <t>522936-other-medications-0-3</t>
  </si>
  <si>
    <t>522936-other-medications-0-4</t>
  </si>
  <si>
    <t>522936-other-medications-0-5</t>
  </si>
  <si>
    <t>522936-past-medical-history-0-0</t>
  </si>
  <si>
    <t>522936-past-medical-history-0-1</t>
  </si>
  <si>
    <t>522936-past-medical-history-0-2</t>
  </si>
  <si>
    <t>522936-past-medical-history-0-3</t>
  </si>
  <si>
    <t>522936-past-medical-history-0-4</t>
  </si>
  <si>
    <t>522936-past-medical-history-0-5</t>
  </si>
  <si>
    <t>522936-family-history-0-0</t>
  </si>
  <si>
    <t>522936-family-history-0-1</t>
  </si>
  <si>
    <t>522936-social-history-0-0</t>
  </si>
  <si>
    <t>522936-social-history-0-1</t>
  </si>
  <si>
    <t>522936-review-of-systems-0-0</t>
  </si>
  <si>
    <t>522936-review-of-systems-0-1</t>
  </si>
  <si>
    <t>522936-review-of-systems-0-2</t>
  </si>
  <si>
    <t>522936-review-of-systems-0-3</t>
  </si>
  <si>
    <t>522936-review-of-systems-0-4</t>
  </si>
  <si>
    <t>522936-review-of-systems-0-5</t>
  </si>
  <si>
    <t>522936-review-of-systems-0-6</t>
  </si>
  <si>
    <t>522936-flowsheet-data-vitals-0-0</t>
  </si>
  <si>
    <t>522936-physical-examination-0-0</t>
  </si>
  <si>
    <t>522936-physical-examination-0-1</t>
  </si>
  <si>
    <t>522936-labs-imaging-0-0</t>
  </si>
  <si>
    <t>522936-labs-imaging-0-1</t>
  </si>
  <si>
    <t>522936-labs-imaging-0-2</t>
  </si>
  <si>
    <t>522936-labs-imaging-0-3</t>
  </si>
  <si>
    <t>522936-labs-imaging-0-4</t>
  </si>
  <si>
    <t>522936-labs-imaging-0-5</t>
  </si>
  <si>
    <t>522936-labs-imaging-0-6</t>
  </si>
  <si>
    <t>522936-labs-imaging-0-7</t>
  </si>
  <si>
    <t>522936-assessment-and-plan-0-0</t>
  </si>
  <si>
    <t>522936-assessment-and-plan-0-1</t>
  </si>
  <si>
    <t>522936-assessment-and-plan-0-2</t>
  </si>
  <si>
    <t>522936-assessment-and-plan-0-3</t>
  </si>
  <si>
    <t>522936-assessment-and-plan-0-4</t>
  </si>
  <si>
    <t>522936-assessment-and-plan-0-5</t>
  </si>
  <si>
    <t>522936-assessment-and-plan-0-6</t>
  </si>
  <si>
    <t>522936-assessment-and-plan-0-7</t>
  </si>
  <si>
    <t>522936-assessment-and-plan-0-8</t>
  </si>
  <si>
    <t>522936-assessment-and-plan-0-9</t>
  </si>
  <si>
    <t>522936-assessment-and-plan-0-10</t>
  </si>
  <si>
    <t>522936-assessment-and-plan-1-0</t>
  </si>
  <si>
    <t>522936-assessment-and-plan-1-1</t>
  </si>
  <si>
    <t>522936-assessment-and-plan-1-2</t>
  </si>
  <si>
    <t>522936-assessment-and-plan-1-3</t>
  </si>
  <si>
    <t>522936-assessment-and-plan-1-4</t>
  </si>
  <si>
    <t>522936-assessment-and-plan-1-5</t>
  </si>
  <si>
    <t>522936-assessment-and-plan-1-6</t>
  </si>
  <si>
    <t>522936-assessment-and-plan-1-7</t>
  </si>
  <si>
    <t>522936-assessment-and-plan-1-8</t>
  </si>
  <si>
    <t>522936-assessment-and-plan-2-0</t>
  </si>
  <si>
    <t>522936-assessment-and-plan-2-1</t>
  </si>
  <si>
    <t>522936-assessment-and-plan-2-2</t>
  </si>
  <si>
    <t>522936-assessment-and-plan-2-3</t>
  </si>
  <si>
    <t>522936-assessment-and-plan-3-0</t>
  </si>
  <si>
    <t>522936-assessment-and-plan-3-1</t>
  </si>
  <si>
    <t>522936-assessment-and-plan-4-0</t>
  </si>
  <si>
    <t>522936-assessment-and-plan-4-1</t>
  </si>
  <si>
    <t>522936-assessment-and-plan-4-2</t>
  </si>
  <si>
    <t>522936-assessment-and-plan-5-0</t>
  </si>
  <si>
    <t>522936-code-status-0-0</t>
  </si>
  <si>
    <t>522936-communication-0-0</t>
  </si>
  <si>
    <t>522936-disposition-0-0</t>
  </si>
  <si>
    <t>523069-24-hour-events-0-0</t>
  </si>
  <si>
    <t>No acute events overnight, coughing spell this am with sinus tach to
   110s, resolved once coughing under c</t>
  </si>
  <si>
    <t>523069-allergies-0-0</t>
  </si>
  <si>
    <t>523069-other-medications-0-0</t>
  </si>
  <si>
    <t>523069-past-medical-history-0-0</t>
  </si>
  <si>
    <t>family history:</t>
  </si>
  <si>
    <t>523069-flowsheet-data-vitals-0-0</t>
  </si>
  <si>
    <t>523069-physical-examination-0-0</t>
  </si>
  <si>
    <t>Gen: NAD, sitting up, talks in sentences
   Diffuse expiratory wheezing, good air e</t>
  </si>
  <si>
    <t>523069-labs-imaging-0-0</t>
  </si>
  <si>
    <t>300 K/uL
   11.3 g/dL
   187 mg/dL
   0.6 mg/dL
   28 mEq/L
   4.9 mEq/L
   20 mg/dL
   100 mEq/L
   138 mEq/L
   35.0 %
   13.3 K/uL
        [image002.jpg]
                             [**2153-4-6**]  09:13 PM
                             [**2153-4-7**]  03:32 AM
                             [**2153-4-8**]  10:00 PM
                             [**2153-4-9**]  05:54 AM
   WBC
   8.0
   13.3
   Hct
   31.4
   35.0
   Plt
   249
   300
   Cr
   0.6
   0.6
   TropT
   &lt;0.01
   Glucose
   [**Telephone/Fax (3) 13712**]
   Other labs: CK / CKMB / Troponin-T:87//&lt;0.01, Lactic Acid:1.6 mmol/L,
   Ca++:9.5 mg/dL, Mg++:2.0 mg/dL, PO4:4.3 mg/d</t>
  </si>
  <si>
    <t>523069-assessment-and-plan-0-0</t>
  </si>
  <si>
    <t>523069-assessment-and-plan-0-1</t>
  </si>
  <si>
    <t xml:space="preserve">
   # Respiratory distress &amp; Leukocytosis: White count doubled from 8 to
   15, now 13.3.</t>
  </si>
  <si>
    <t>523069-assessment-and-plan-0-2</t>
  </si>
  <si>
    <t xml:space="preserve"> She did receive steroids in ED 3 days ago.</t>
  </si>
  <si>
    <t>523069-assessment-and-plan-0-3</t>
  </si>
  <si>
    <t>CXR pending
   this morning.</t>
  </si>
  <si>
    <t>523069-assessment-and-plan-0-4</t>
  </si>
  <si>
    <t>COPD mild per most recent PFTs [**2153**].</t>
  </si>
  <si>
    <t>523069-assessment-and-plan-0-5</t>
  </si>
  <si>
    <t>Possibly etiologies
   include PNA, COPD exacerbation, heart failure, coronary ischemia or
   possibly PE.</t>
  </si>
  <si>
    <t>523069-assessment-and-plan-0-6</t>
  </si>
  <si>
    <t>523069-assessment-and-plan-0-7</t>
  </si>
  <si>
    <t>She is s/p total knee
   replacement 1 month ago but was on 1 month of Lovenox post-operatively
   (she confirms), on heparin SQ here.</t>
  </si>
  <si>
    <t>523069-assessment-and-plan-0-8</t>
  </si>
  <si>
    <t>Had CEs trended.</t>
  </si>
  <si>
    <t>523069-assessment-and-plan-0-9</t>
  </si>
  <si>
    <t>Diffuse wheezing
   most c/w COPD.</t>
  </si>
  <si>
    <t>523069-assessment-and-plan-0-10</t>
  </si>
  <si>
    <t>523069-assessment-and-plan-1-0</t>
  </si>
  <si>
    <t>523069-assessment-and-plan-1-1</t>
  </si>
  <si>
    <t>ART v.</t>
  </si>
  <si>
    <t>523069-assessment-and-plan-1-2</t>
  </si>
  <si>
    <t>sinus tachycardia.</t>
  </si>
  <si>
    <t>523069-assessment-and-plan-1-3</t>
  </si>
  <si>
    <t>As a COPD patient
   she's at risk for atrial arrhythmias.</t>
  </si>
  <si>
    <t>523069-assessment-and-plan-1-4</t>
  </si>
  <si>
    <t>Seems to go into arrhythmias
   after her barking coughs.</t>
  </si>
  <si>
    <t>523069-assessment-and-plan-1-5</t>
  </si>
  <si>
    <t xml:space="preserve"> Today had episode of sinus tach with
   coughing spell.</t>
  </si>
  <si>
    <t>523069-assessment-and-plan-1-6</t>
  </si>
  <si>
    <t xml:space="preserve"> Resolved after coughing spell.</t>
  </si>
  <si>
    <t>523069-assessment-and-plan-1-7</t>
  </si>
  <si>
    <t xml:space="preserve">
   - continue Tessalon Perles, Mucinex to knock back her cough
   - cards c/s in AM for recommendation of control of AVNRT
   - continue PO Diltiazem
   - Echo in AM
   # Diastolic CHF.</t>
  </si>
  <si>
    <t>523069-assessment-and-plan-1-8</t>
  </si>
  <si>
    <t>523069-assessment-and-plan-1-9</t>
  </si>
  <si>
    <t>523069-assessment-and-plan-1-10</t>
  </si>
  <si>
    <t xml:space="preserve"> BNP 1188
   - Continue ACEI.</t>
  </si>
  <si>
    <t>523069-assessment-and-plan-1-11</t>
  </si>
  <si>
    <t xml:space="preserve">
   - Echo
   # DM type II.</t>
  </si>
  <si>
    <t>523069-assessment-and-plan-1-12</t>
  </si>
  <si>
    <t xml:space="preserve">
   - ISS
   - Hold metformin for now.</t>
  </si>
  <si>
    <t>523069-assessment-and-plan-1-13</t>
  </si>
  <si>
    <t>523069-assessment-and-plan-2-0</t>
  </si>
  <si>
    <t>523069-assessment-and-plan-2-1</t>
  </si>
  <si>
    <t xml:space="preserve">
   - Home Captopril and HCTZ.</t>
  </si>
  <si>
    <t>523069-assessment-and-plan-2-2</t>
  </si>
  <si>
    <t>523069-assessment-and-plan-3-0</t>
  </si>
  <si>
    <t>523069-assessment-and-plan-3-1</t>
  </si>
  <si>
    <t>523069-assessment-and-plan-3-2</t>
  </si>
  <si>
    <t>523069-assessment-and-plan-4-0</t>
  </si>
  <si>
    <t>523069-code-status-0-0</t>
  </si>
  <si>
    <t>523069-communication-0-0</t>
  </si>
  <si>
    <t>523069-disposition-0-0</t>
  </si>
  <si>
    <t>522935-chief-complaint-0-0</t>
  </si>
  <si>
    <t>522935-chief-complaint-1-0</t>
  </si>
  <si>
    <t xml:space="preserve">
   Reason for MICU admission: tachypnea and high oxygen requirements
   .</t>
  </si>
  <si>
    <t>522935-history-of-present-illness-0-0</t>
  </si>
  <si>
    <t>522935-current-medications-0-0</t>
  </si>
  <si>
    <t>Heparin Sodium (Prophylaxis) - [**2153-4-8**] 10:56 P</t>
  </si>
  <si>
    <t>522935-medication-history-0-0</t>
  </si>
  <si>
    <t>- Home O2 - 2LPM at rest, 4 LPM with exertion
   - Advair 500-50 twice a day
   - Albuterol neb or MDI Q6H as needed for wheezing, SOB
   - Captopril 50 mg TID
   - Fluoxetine 20 mg TID
   - Glipizide 5 mg Daily
   - Lorazepam 0.5 mg [**Hospital1 7**] as needed for Anxiety.</t>
  </si>
  <si>
    <t>522935-medication-history-0-1</t>
  </si>
  <si>
    <t>522935-medication-history-0-2</t>
  </si>
  <si>
    <t>522935-medication-history-0-3</t>
  </si>
  <si>
    <t>522935-medication-history-0-4</t>
  </si>
  <si>
    <t>522935-medication-history-0-5</t>
  </si>
  <si>
    <t>522935-past-medical-history-0-0</t>
  </si>
  <si>
    <t>522935-past-medical-history-0-1</t>
  </si>
  <si>
    <t>522935-past-medical-history-0-2</t>
  </si>
  <si>
    <t>522935-past-medical-history-0-3</t>
  </si>
  <si>
    <t>522935-past-medical-history-0-4</t>
  </si>
  <si>
    <t>522935-past-medical-history-0-5</t>
  </si>
  <si>
    <t>522935-social-history-0-0</t>
  </si>
  <si>
    <t>522935-social-history-0-1</t>
  </si>
  <si>
    <t>She lives alone
   but has help from her many children.</t>
  </si>
  <si>
    <t>522935-social-history-0-2</t>
  </si>
  <si>
    <t>Patient is a former smoker with
   40-60 pack year smoking history but quit over 10 years prior.</t>
  </si>
  <si>
    <t>522935-social-history-0-3</t>
  </si>
  <si>
    <t xml:space="preserve"> No
   alcohol u se.</t>
  </si>
  <si>
    <t>522935-social-history-0-4</t>
  </si>
  <si>
    <t>522935-physical-examination-0-0</t>
  </si>
  <si>
    <t>Vitals: T:   BP: 128/69 P: 85, but transiently also in 130s R: 20 O2:
   96% on face mask
   General: Alert, oriented, no acute distress
   HEENT: Sclera anicteric, MMM, oropharynx clear
   Lungs: Expiratory wheezes
   CV: Regular rate and rhythm, normal S1 + S2, no murmurs, rubs, gallops
   Abdomen: soft, non-tender, non-distended, bowel sounds present, no
   rebound tenderness or guarding
   Ext: warm, well perfused, 2+ pulses, no clubbing, cyanosis or edema.</t>
  </si>
  <si>
    <t>522935-physical-examination-0-1</t>
  </si>
  <si>
    <t>No
   signs of infection at knee incision, well healed
   .</t>
  </si>
  <si>
    <t>522935-labs-imaging-0-0</t>
  </si>
  <si>
    <t>249 K/uL
   10.1 g/dL
   239
   0.6 mg/dL
   12 mg/dL
   32 mEq/L
   101 mEq/L
   4.1 mEq/L
   139 mEq/L
   31.4 %
   8.0 K/uL
        [image002.jpg]
                                  [**2149-2-10**]
                          2:33 A2/26/[**2153**]  09:13 PM
                                  [**2149-2-14**]
                         10:20 P2/27/[**2153**]  03:32 AM
                                  [**2149-2-15**]
                          1:20 P2/28/[**2153**]  10:00 PM
                                  [**2149-2-16**]
                                   11:50 P
                                  [**2149-2-17**]
                                   1:20 A
                                  [**2149-2-18**]
                                   7:20 P
                                  1//11/006
                                   1:23 P
                                  [**2149-3-13**]
                                   1:20 P
                                  [**2149-3-13**]
                                   11:20 P
                                  [**2149-3-13**]
                                   4:20 P
   WBC
                                     8.0
   Hct
                                    31.4
   Plt
                                     249
   Cr
                                     0.6
   TropT
                                    &lt;0.01
   Glucose
                                     212
                                     239
   Other labs: CK / CKMB / Troponin-T:87//&lt;0.01, Lactic Acid:1.6 mmol/L,
   Ca++:9.3 mg/dL, Mg++:2.0 mg/dL, PO4:3.5 mg/dL
   CXR: Even clearer than from [**4-6**], no signs of fluid o/l, hyperinflated
   lungs.</t>
  </si>
  <si>
    <t>522935-labs-imaging-0-1</t>
  </si>
  <si>
    <t>522935-labs-imaging-0-2</t>
  </si>
  <si>
    <t>522935-labs-imaging-0-3</t>
  </si>
  <si>
    <t>522935-labs-imaging-0-4</t>
  </si>
  <si>
    <t>522935-labs-imaging-0-5</t>
  </si>
  <si>
    <t>522935-labs-imaging-0-6</t>
  </si>
  <si>
    <t>522935-assessment-and-plan-0-0</t>
  </si>
  <si>
    <t>73-year-old female with COPD/RAD on home O2,
   diastolic CHF, recent TKR, presenting with respiratory distress and
   tachycardia.</t>
  </si>
  <si>
    <t>522935-assessment-and-plan-0-1</t>
  </si>
  <si>
    <t>522935-assessment-and-plan-0-2</t>
  </si>
  <si>
    <t>522935-assessment-and-plan-0-3</t>
  </si>
  <si>
    <t>522935-assessment-and-plan-0-4</t>
  </si>
  <si>
    <t>522935-assessment-and-plan-0-5</t>
  </si>
  <si>
    <t>522935-assessment-and-plan-0-6</t>
  </si>
  <si>
    <t>522935-assessment-and-plan-0-7</t>
  </si>
  <si>
    <t>522935-assessment-and-plan-0-8</t>
  </si>
  <si>
    <t>522935-assessment-and-plan-0-9</t>
  </si>
  <si>
    <t>522935-assessment-and-plan-0-10</t>
  </si>
  <si>
    <t>522935-assessment-and-plan-1-0</t>
  </si>
  <si>
    <t>522935-assessment-and-plan-1-1</t>
  </si>
  <si>
    <t>522935-assessment-and-plan-1-2</t>
  </si>
  <si>
    <t>522935-assessment-and-plan-1-3</t>
  </si>
  <si>
    <t>522935-assessment-and-plan-1-4</t>
  </si>
  <si>
    <t>522935-assessment-and-plan-1-5</t>
  </si>
  <si>
    <t>522935-assessment-and-plan-1-6</t>
  </si>
  <si>
    <t>522935-assessment-and-plan-1-7</t>
  </si>
  <si>
    <t>522935-assessment-and-plan-1-8</t>
  </si>
  <si>
    <t>522935-assessment-and-plan-2-0</t>
  </si>
  <si>
    <t>522935-assessment-and-plan-2-1</t>
  </si>
  <si>
    <t>522935-assessment-and-plan-2-2</t>
  </si>
  <si>
    <t>522935-assessment-and-plan-2-3</t>
  </si>
  <si>
    <t>522935-assessment-and-plan-3-0</t>
  </si>
  <si>
    <t>522935-assessment-and-plan-3-1</t>
  </si>
  <si>
    <t>522935-assessment-and-plan-4-0</t>
  </si>
  <si>
    <t>522935-assessment-and-plan-4-1</t>
  </si>
  <si>
    <t>522935-assessment-and-plan-4-2</t>
  </si>
  <si>
    <t>522935-assessment-and-plan-5-0</t>
  </si>
  <si>
    <t xml:space="preserve">
   FEN: No IVF, replete electrolytes, regular diet
   Prophylaxis: Subutaneous heparin
   Access: peripherals
   Code: Full (confirmed on admission)
   Communication: Patient
   Disposition: ICU)
   ICU Care
   Nutrition:
   Glycemic Control:
   Lines:
   20 Gauge - [**2153-4-8**] 09:30 PM
   Prophylaxis:
   DVT:
   Stress ulcer:
   VAP:
   Comments:
   Communication:  Comments:
   Code status: Full code
   Disposition:
</t>
  </si>
  <si>
    <t>522935-review-of-systems-0-0</t>
  </si>
  <si>
    <t>522935-review-of-systems-0-1</t>
  </si>
  <si>
    <t>522935-review-of-systems-0-2</t>
  </si>
  <si>
    <t>522935-review-of-systems-0-3</t>
  </si>
  <si>
    <t>522935-review-of-systems-0-4</t>
  </si>
  <si>
    <t>522935-review-of-systems-0-5</t>
  </si>
  <si>
    <t>522935-review-of-systems-0-6</t>
  </si>
  <si>
    <t>522935-review-of-systems-0-7</t>
  </si>
  <si>
    <t>522935-allergies-0-0</t>
  </si>
  <si>
    <t>hayfever
   .</t>
  </si>
  <si>
    <t>522935-family-history-0-0</t>
  </si>
  <si>
    <t>Noncontributory
   .</t>
  </si>
  <si>
    <t>522935-labs-0-0</t>
  </si>
  <si>
    <t>labs</t>
  </si>
  <si>
    <t>[**4-6**]:
   - Cardiac enzymes: CK85/MB-/Tn&lt;0.01 -&gt; CK87/MB-/Tn&lt;0.01
   .</t>
  </si>
  <si>
    <t>522567-24-hour-events-0-0</t>
  </si>
  <si>
    <t>522567-24-hour-events-0-1</t>
  </si>
  <si>
    <t>522567-allergies-0-0</t>
  </si>
  <si>
    <t>522567-other-medications-0-0</t>
  </si>
  <si>
    <t>522567-review-of-systems-0-0</t>
  </si>
  <si>
    <t>522567-flowsheet-data-vitals-0-0</t>
  </si>
  <si>
    <t>522567-physical-examination-0-0</t>
  </si>
  <si>
    <t>522567-labs-imaging-0-0</t>
  </si>
  <si>
    <t>522567-labs-imaging-0-1</t>
  </si>
  <si>
    <t>522567-labs-imaging-0-2</t>
  </si>
  <si>
    <t>522567-labs-imaging-0-3</t>
  </si>
  <si>
    <t>522567-labs-imaging-0-4</t>
  </si>
  <si>
    <t>522567-assessment-and-plan-0-0</t>
  </si>
  <si>
    <t>73 YO F with COPD/RAD on home O2, diastolic CHF, recent total knee
   replacement , presenting with two weeks of shortness of breath with
   acute worsening x 1 day.</t>
  </si>
  <si>
    <t>522567-assessment-and-plan-1-0</t>
  </si>
  <si>
    <t>522567-assessment-and-plan-1-1</t>
  </si>
  <si>
    <t>522567-assessment-and-plan-1-2</t>
  </si>
  <si>
    <t>522567-assessment-and-plan-1-3</t>
  </si>
  <si>
    <t>522567-assessment-and-plan-1-4</t>
  </si>
  <si>
    <t>522567-assessment-and-plan-1-5</t>
  </si>
  <si>
    <t>522567-assessment-and-plan-1-6</t>
  </si>
  <si>
    <t>522567-assessment-and-plan-1-7</t>
  </si>
  <si>
    <t>522567-assessment-and-plan-1-8</t>
  </si>
  <si>
    <t>522567-assessment-and-plan-1-9</t>
  </si>
  <si>
    <t>522567-assessment-and-plan-1-10</t>
  </si>
  <si>
    <t>522567-assessment-and-plan-2-0</t>
  </si>
  <si>
    <t>522567-assessment-and-plan-2-1</t>
  </si>
  <si>
    <t xml:space="preserve"> Mild per most recent PFTs ([**2153**]) but with significantly
   diminished DLCO.</t>
  </si>
  <si>
    <t>522567-assessment-and-plan-2-2</t>
  </si>
  <si>
    <t>522567-assessment-and-plan-2-3</t>
  </si>
  <si>
    <t>522567-assessment-and-plan-2-4</t>
  </si>
  <si>
    <t>522567-assessment-and-plan-2-5</t>
  </si>
  <si>
    <t>522567-assessment-and-plan-3-0</t>
  </si>
  <si>
    <t>522567-assessment-and-plan-3-1</t>
  </si>
  <si>
    <t>522567-assessment-and-plan-3-2</t>
  </si>
  <si>
    <t>522567-assessment-and-plan-3-3</t>
  </si>
  <si>
    <t>522567-assessment-and-plan-4-0</t>
  </si>
  <si>
    <t>522567-assessment-and-plan-4-1</t>
  </si>
  <si>
    <t>522567-assessment-and-plan-5-0</t>
  </si>
  <si>
    <t>522567-assessment-and-plan-5-1</t>
  </si>
  <si>
    <t>522567-assessment-and-plan-5-2</t>
  </si>
  <si>
    <t>522567-assessment-and-plan-5-3</t>
  </si>
  <si>
    <t>522567-assessment-and-plan-6-0</t>
  </si>
  <si>
    <t>522567-assessment-and-plan-6-1</t>
  </si>
  <si>
    <t>522567-assessment-and-plan-7-0</t>
  </si>
  <si>
    <t>522567-assessment-and-plan-7-1</t>
  </si>
  <si>
    <t>522567-assessment-and-plan-8-0</t>
  </si>
  <si>
    <t>FEN: No IVF, replete electrolytes, Heart Healthy/Diabetic diet
   Prophylaxis: Subutaneous heparin
   Access: peripherals x2
   Code: Full (confirmed on admission)
   Communication: Patient  &amp; daughter [**Name (NI) **] (HCP)
   Disposition: pending clinical improvement; consider transfer to floor
   later today
   ICU Care
   Nutrition:
   Glycemic Control:
   Lines:
   18 Gauge - [**2153-4-6**] 03:00 PM
   20 Gauge - [**2153-4-6**] 03:00 PM
   Prophylaxis:
   DVT:
   Stress ulcer:
   VAP:
   Comments:
   Communication:  Comments:</t>
  </si>
  <si>
    <t>522567-code-status-0-0</t>
  </si>
  <si>
    <t>65939-patient-test-information-0-0</t>
  </si>
  <si>
    <t>Indication: Evaluate for Left ventricular function.</t>
  </si>
  <si>
    <t>65939-patient-test-information-0-1</t>
  </si>
  <si>
    <t>Right ventricular function.</t>
  </si>
  <si>
    <t>65939-patient-test-information-0-2</t>
  </si>
  <si>
    <t>Wall motion abnormalities.</t>
  </si>
  <si>
    <t>65939-patient-test-information-0-3</t>
  </si>
  <si>
    <t>Syncope.</t>
  </si>
  <si>
    <t>65939-patient-test-information-0-4</t>
  </si>
  <si>
    <t>Height: (in) 64
Weight (lb): 168
BSA (m2): 1.82 m2
BP (mm Hg): 128/56
HR (bpm): 78
Status: Inpatient
Date/Time: [**2172-1-29**] at 14:57
Test: TTE (Complete)
Doppler: Full Doppler and color Doppler
Contrast: None
Technical Quality: A</t>
  </si>
  <si>
    <t>65939-findings-0-0</t>
  </si>
  <si>
    <t>65939-findings-1-0</t>
  </si>
  <si>
    <t>65939-findings-2-0</t>
  </si>
  <si>
    <t xml:space="preserve">
LEFT VENTRICLE: Normal LV wall thickness, cavity size and regional/global
systolic function (LVEF &gt;55%).</t>
  </si>
  <si>
    <t>65939-findings-2-1</t>
  </si>
  <si>
    <t>No resting or Valsalva inducible LVOT gradient.</t>
  </si>
  <si>
    <t>65939-findings-2-2</t>
  </si>
  <si>
    <t xml:space="preserve">
No VSD.</t>
  </si>
  <si>
    <t>65939-findings-3-0</t>
  </si>
  <si>
    <t xml:space="preserve">
RIGHT VENTRICLE: Abnormal septal motion/position.</t>
  </si>
  <si>
    <t>65939-findings-4-0</t>
  </si>
  <si>
    <t xml:space="preserve">
AORTA: No 2D or Doppler evidence of distal arch coarctation.</t>
  </si>
  <si>
    <t>65939-findings-5-0</t>
  </si>
  <si>
    <t xml:space="preserve">
AORTIC VALVE: Mildly thickened aortic valve leaflets (3).</t>
  </si>
  <si>
    <t>65939-findings-5-1</t>
  </si>
  <si>
    <t>65939-findings-5-2</t>
  </si>
  <si>
    <t>65939-findings-6-0</t>
  </si>
  <si>
    <t>65939-findings-6-1</t>
  </si>
  <si>
    <t>65939-findings-6-2</t>
  </si>
  <si>
    <t>Trivial MR.</t>
  </si>
  <si>
    <t>65939-findings-7-0</t>
  </si>
  <si>
    <t>65939-findings-7-1</t>
  </si>
  <si>
    <t>65939-findings-7-2</t>
  </si>
  <si>
    <t>Mild
PA systolic hypertension.</t>
  </si>
  <si>
    <t>65939-findings-8-0</t>
  </si>
  <si>
    <t xml:space="preserve">
PULMONIC VALVE/PULMONARY ARTERY: Pulmonic valve not visualized.</t>
  </si>
  <si>
    <t>65939-findings-8-1</t>
  </si>
  <si>
    <t>65939-findings-8-2</t>
  </si>
  <si>
    <t>65939-findings-9-0</t>
  </si>
  <si>
    <t xml:space="preserve">
PERICARDIUM: No pericardial effusion.</t>
  </si>
  <si>
    <t>65939-findings-9-1</t>
  </si>
  <si>
    <t>There is an anterior space which most
likely represents a fat pad, though a loculated anterior pericardial effusion
cannot be excluded.</t>
  </si>
  <si>
    <t>65939-conclusions-0-0</t>
  </si>
  <si>
    <t>65939-conclusions-0-1</t>
  </si>
  <si>
    <t>Left ventricular wall thickness, cavity
size and regional/global systolic function are normal (LVEF &gt;55%).</t>
  </si>
  <si>
    <t>65939-conclusions-0-2</t>
  </si>
  <si>
    <t>There is no
left ventricular outflow obstruction at rest or with Valsalva.</t>
  </si>
  <si>
    <t>65939-conclusions-0-3</t>
  </si>
  <si>
    <t>There is no
ventricular septal defect.</t>
  </si>
  <si>
    <t>65939-conclusions-0-4</t>
  </si>
  <si>
    <t>There is abnormal septal motion/position.</t>
  </si>
  <si>
    <t>65939-conclusions-0-5</t>
  </si>
  <si>
    <t>The
aortic valve leaflets (3) are mildly thickened but aortic stenosis is not
present.</t>
  </si>
  <si>
    <t>65939-conclusions-0-6</t>
  </si>
  <si>
    <t>No aortic regurgitation is seen.</t>
  </si>
  <si>
    <t>65939-conclusions-0-7</t>
  </si>
  <si>
    <t>The mitral valve leaflets are mildly
thickened.</t>
  </si>
  <si>
    <t>65939-conclusions-0-8</t>
  </si>
  <si>
    <t>65939-conclusions-0-9</t>
  </si>
  <si>
    <t>Trivial mitral regurgitation is
seen.</t>
  </si>
  <si>
    <t>65939-conclusions-0-10</t>
  </si>
  <si>
    <t>65939-conclusions-0-11</t>
  </si>
  <si>
    <t>65939-conclusions-0-12</t>
  </si>
  <si>
    <t>65939-conclusions-0-13</t>
  </si>
  <si>
    <t xml:space="preserve">
There is an anterior space which most likely represents a prominent fat pad.</t>
  </si>
  <si>
    <t>65939-impression-0-0</t>
  </si>
  <si>
    <t>No structural cardiac cause of syncope identified.</t>
  </si>
  <si>
    <t>65939-impression-0-1</t>
  </si>
  <si>
    <t>Preserved
global and regional biventricular systolic function.</t>
  </si>
  <si>
    <t>65939-impression-0-2</t>
  </si>
  <si>
    <t>No structural valvular
abnormality.</t>
  </si>
  <si>
    <t>6558-allergies-0-0</t>
  </si>
  <si>
    <t>Sulfa (Sulfonamide Antibiotics) / Lisinopril / Atenolol / C</t>
  </si>
  <si>
    <t>6558-chief-complaint-0-0</t>
  </si>
  <si>
    <t>low back pain, bilateral leg p</t>
  </si>
  <si>
    <t>6558-major-surgical-or-invasive-procedure-0-0</t>
  </si>
  <si>
    <t>[**2172-1-24**] ALIF L3-4 and L4-5, revision posterior decompression
and fusion L2-5; repair of incidental d</t>
  </si>
  <si>
    <t>6558-history-of-present-illness-0-0</t>
  </si>
  <si>
    <t>She has had a significant decrease in her function.</t>
  </si>
  <si>
    <t>6558-history-of-present-illness-0-1</t>
  </si>
  <si>
    <t xml:space="preserve"> I last saw
her
for primarily gluteal pain that was back in [**2170**] as well as
right
hip pain.</t>
  </si>
  <si>
    <t>6558-history-of-present-illness-0-2</t>
  </si>
  <si>
    <t xml:space="preserve"> This primarily resolved.</t>
  </si>
  <si>
    <t>6558-history-of-present-illness-0-3</t>
  </si>
  <si>
    <t xml:space="preserve"> Her current symptoms are
left leg pain that goes down in an L5 distribution mostly in
line.</t>
  </si>
  <si>
    <t>6558-history-of-present-illness-0-4</t>
  </si>
  <si>
    <t xml:space="preserve"> Her right leg has primarily L3-L4 distribution and worse
with walking.</t>
  </si>
  <si>
    <t>6558-history-of-present-illness-0-5</t>
  </si>
  <si>
    <t xml:space="preserve"> She has had physical therapy done on her back,
but
now only does stretching.</t>
  </si>
  <si>
    <t>6558-history-of-present-illness-0-6</t>
  </si>
  <si>
    <t xml:space="preserve"> She was evaluated by Dr.</t>
  </si>
  <si>
    <t>6558-history-of-present-illness-0-7</t>
  </si>
  <si>
    <t>[**Last Name (STitle) 25111**]
on
[**2170-7-30**], for injections.</t>
  </si>
  <si>
    <t>6558-history-of-present-illness-0-8</t>
  </si>
  <si>
    <t xml:space="preserve"> She is using a cane.</t>
  </si>
  <si>
    <t>6558-history-of-present-illness-0-9</t>
  </si>
  <si>
    <t xml:space="preserve"> She has
trouble getting up on a stepstool and has trouble going up and
down stairs secondary to weakness.</t>
  </si>
  <si>
    <t>6558-history-of-present-illness-0-10</t>
  </si>
  <si>
    <t xml:space="preserve"> She walks in a forward
flexed
posture.</t>
  </si>
  <si>
    <t>6558-past-medical-history-0-0</t>
  </si>
  <si>
    <t>Hypertension, Hyperlipidemia, H</t>
  </si>
  <si>
    <t>6558-social-history-0-0</t>
  </si>
  <si>
    <t>see admit H</t>
  </si>
  <si>
    <t>6558-family-history-0-0</t>
  </si>
  <si>
    <t>6558-physical-examination-0-0</t>
  </si>
  <si>
    <t>On physical examination, this is a healthy-appearing female.</t>
  </si>
  <si>
    <t>6558-physical-examination-0-1</t>
  </si>
  <si>
    <t xml:space="preserve">
Affect is within normal limits.</t>
  </si>
  <si>
    <t>6558-physical-examination-0-2</t>
  </si>
  <si>
    <t xml:space="preserve"> She has a scoliosis with a
well-balanced spine.</t>
  </si>
  <si>
    <t>6558-physical-examination-0-3</t>
  </si>
  <si>
    <t xml:space="preserve"> Her gait is forward flexed.</t>
  </si>
  <si>
    <t>6558-physical-examination-0-4</t>
  </si>
  <si>
    <t xml:space="preserve"> She takes
short strides.</t>
  </si>
  <si>
    <t>6558-physical-examination-0-5</t>
  </si>
  <si>
    <t xml:space="preserve"> Examination of lower extremities, she has 4/5
strength globally, no hyperreflexia.</t>
  </si>
  <si>
    <t>6558-physical-examination-0-6</t>
  </si>
  <si>
    <t xml:space="preserve"> She has loss of reflexes.</t>
  </si>
  <si>
    <t>6558-physical-examination-0-7</t>
  </si>
  <si>
    <t xml:space="preserve">
She is unable get up on a stepstool on either side without
significant help.</t>
  </si>
  <si>
    <t>6558-physical-examination-0-8</t>
  </si>
  <si>
    <t xml:space="preserve"> Previous incision is clean, dry, and intact.</t>
  </si>
  <si>
    <t>6558-physical-examination-0-9</t>
  </si>
  <si>
    <t xml:space="preserve">
No pain with internal rotation.</t>
  </si>
  <si>
    <t>6558-physical-examination-0-10</t>
  </si>
  <si>
    <t xml:space="preserve"> Negative straight leg raise.</t>
  </si>
  <si>
    <t>6558-labs-imaging-0-0</t>
  </si>
  <si>
    <t>[**2172-1-24**] 03:50PM   GLUCOSE-182* UREA N-14 CREAT-0.5 SODIUM-142
POTASSIUM-3.7 CHLORIDE-111* TOTAL CO2-22 ANION GAP-13
[**2172-1-24**] 03:50PM   estGFR-Using this
[**2172-1-24**] 03:50PM   CALCIUM-7.8* PHOSPHATE-4.2 MAGNESIUM-1.7
[**2172-1-24**] 03:50PM   HCT-28.6*#
[**2172-1-24**] 01:35PM   TYPE-ART PO2-289* PCO2-42 PH-7.33* TOTAL
CO2-23 BASE XS--3 INTUBATED-INTUBATED VENT-CONTROLLED
[**2172-1-24**] 01:35PM   GLUCOSE-149* LACTATE-1.2 NA+-143 K+-3.3*
CL--109
[**2172-1-24**] 01:35PM   HGB-11.9* calcHCT-36
[**2172-1-24**] 01:35PM   freeCa-1.08*
[**2172-2-2**] 05:15AM BLOOD WBC-7.0 RBC-3.04* Hgb-9.4* Hct-28.3*
MCV-93 MCH-31.1 MCHC-33.4 RDW-13.3 Plt Ct-236
[**2172-2-3**] 06:00AM BLOOD PT-20.6* PTT-133.2* INR(PT)-1.9*
[**2172-2-2**] 05:15AM BLOOD PT-16.3* PTT-91.8* INR(PT)-1.4*
[**2172-2-1**] 04:00AM BLOOD PT-14.6* PTT-91.4* INR(PT)-1.3*
[**2172-1-30**] 11:48PM BLOOD Glucose-126* UreaN-11 Creat-0.6 Na-141
K-3.8 Cl-109* HCO3-23 AnGap-13
[**2172-1-30**] 11:48PM BLOOD Calcium-8.4 Phos-3.7 M</t>
  </si>
  <si>
    <t>6558-hospital-course-0-0</t>
  </si>
  <si>
    <t>The patient underwent the above procedure.</t>
  </si>
  <si>
    <t>6558-hospital-course-0-1</t>
  </si>
  <si>
    <t xml:space="preserve"> For full details
please see the separately dictated operative note.</t>
  </si>
  <si>
    <t>6558-hospital-course-0-2</t>
  </si>
  <si>
    <t xml:space="preserve"> The patient
progressed well post-operatively.</t>
  </si>
  <si>
    <t>6558-hospital-course-0-3</t>
  </si>
  <si>
    <t xml:space="preserve"> She was kept on bedrest with
the head of bed flat for 48 hours postoperatively due to dural
tear that was repaired.</t>
  </si>
  <si>
    <t>6558-hospital-course-0-4</t>
  </si>
  <si>
    <t xml:space="preserve"> A drain was utilized and was d/c'ed
when output had tapered down.</t>
  </si>
  <si>
    <t>6558-hospital-course-0-5</t>
  </si>
  <si>
    <t xml:space="preserve"> Peri-operative antibiotics were
utilized for 24 hrs.</t>
  </si>
  <si>
    <t>6558-hospital-course-0-6</t>
  </si>
  <si>
    <t xml:space="preserve"> Post-operative pain was controlled with IV
followed by PO medications.</t>
  </si>
  <si>
    <t>6558-hospital-course-0-7</t>
  </si>
  <si>
    <t xml:space="preserve"> Diet was advanced without
complication.</t>
  </si>
  <si>
    <t>6558-hospital-course-0-8</t>
  </si>
  <si>
    <t xml:space="preserve"> Physical therapy was consulted for assistance
with mobilization.</t>
  </si>
  <si>
    <t>6558-hospital-course-1-0</t>
  </si>
  <si>
    <t xml:space="preserve">
During PT, patient had syncopal episode.</t>
  </si>
  <si>
    <t>6558-hospital-course-1-1</t>
  </si>
  <si>
    <t xml:space="preserve"> Complete workup
revealed no evidence of cardiac compromise (normal enzymes,
EKG).</t>
  </si>
  <si>
    <t>6558-hospital-course-1-2</t>
  </si>
  <si>
    <t xml:space="preserve"> CT chest revealed subsegmental PE.</t>
  </si>
  <si>
    <t>6558-hospital-course-1-3</t>
  </si>
  <si>
    <t xml:space="preserve"> Medicine was
consulted and recommended treatment with 3 months of
anticoagulation.</t>
  </si>
  <si>
    <t>6558-hospital-course-2-0</t>
  </si>
  <si>
    <t xml:space="preserve">
Patient was begun on coumadin bridged by heparain gtt.</t>
  </si>
  <si>
    <t>6558-hospital-course-2-1</t>
  </si>
  <si>
    <t xml:space="preserve"> Once she
was therapeutic, heparin was discontinued and patient was
maintained on coumadin with goal INR [**3-20**].</t>
  </si>
  <si>
    <t>6558-hospital-course-2-2</t>
  </si>
  <si>
    <t xml:space="preserve"> Given her complicated
post-operative course, she was deemed most appropriate for
transfer to an extended care facility.</t>
  </si>
  <si>
    <t>6558-hospital-course-2-3</t>
  </si>
  <si>
    <t xml:space="preserve"> INR should be closely
monitored and coumadin adjusted to the target range, and PT
should be continued at the facility.</t>
  </si>
  <si>
    <t>6558-medication-history-0-0</t>
  </si>
  <si>
    <t>acetaminophen-codeine, alendronate, amlodipine 5, ergocalciferol
, estradiol, fexofenadine , ibuprofen, levothyroxine 112 mcg,
metronidazole 0.75 % Cream, omeprazole 20, simvastatin 2</t>
  </si>
  <si>
    <t>6558-discharge-medications-0-0</t>
  </si>
  <si>
    <t>senna 8.6 mg Capsule Sig: One (1) Tablet PO BID (2 times a
day).</t>
  </si>
  <si>
    <t>6558-discharge-medications-0-1</t>
  </si>
  <si>
    <t>simvastatin 20 mg Tablet Sig: One (1) Tablet PO DAILY
(Daily).</t>
  </si>
  <si>
    <t>6558-discharge-medications-0-2</t>
  </si>
  <si>
    <t>amlodipine 5 mg Tablet Sig: One (1) Tablet PO DAILY (Daily).</t>
  </si>
  <si>
    <t>6558-discharge-instructions-0-0</t>
  </si>
  <si>
    <t>6558-discharge-instructions-1-0</t>
  </si>
  <si>
    <t>6558-discharge-instructions-2-0</t>
  </si>
  <si>
    <t>6558-discharge-instructions-2-1</t>
  </si>
  <si>
    <t>You will be more comfortable if you do not sit or stand
more than ~45 minutes without getting up and walking around.</t>
  </si>
  <si>
    <t>6558-discharge-instructions-3-0</t>
  </si>
  <si>
    <t xml:space="preserve">
-	Rehabilitation/ Physical Therapy:
o	2-3 times a day you should go for a walk for 15-30 minutes as
part of your recovery.</t>
  </si>
  <si>
    <t>6558-discharge-instructions-3-1</t>
  </si>
  <si>
    <t xml:space="preserve"> You can walk as much as you can
tolerate.</t>
  </si>
  <si>
    <t>6558-discharge-instructions-3-2</t>
  </si>
  <si>
    <t xml:space="preserve">
o	Limit any kind of lifting.</t>
  </si>
  <si>
    <t>6558-discharge-instructions-4-0</t>
  </si>
  <si>
    <t xml:space="preserve">
-	Diet: Eat a normal healthy diet.</t>
  </si>
  <si>
    <t>6558-discharge-instructions-4-1</t>
  </si>
  <si>
    <t>You may have some
constipation after surgery.</t>
  </si>
  <si>
    <t>6558-discharge-instructions-4-2</t>
  </si>
  <si>
    <t xml:space="preserve"> You have been given medication to
help with this issue.</t>
  </si>
  <si>
    <t>6558-discharge-instructions-5-0</t>
  </si>
  <si>
    <t xml:space="preserve">
-	Brace: You may have been given a brace.</t>
  </si>
  <si>
    <t>6558-discharge-instructions-5-1</t>
  </si>
  <si>
    <t>This brace is to be
worn when you are walking.</t>
  </si>
  <si>
    <t>6558-discharge-instructions-5-2</t>
  </si>
  <si>
    <t>You may take it off when sitting in a
chair or while lying in bed.</t>
  </si>
  <si>
    <t>6558-discharge-instructions-6-0</t>
  </si>
  <si>
    <t xml:space="preserve">
-	Wound Care: Remove the dressing in 2 days.</t>
  </si>
  <si>
    <t>6558-discharge-instructions-6-1</t>
  </si>
  <si>
    <t xml:space="preserve"> If the incision is
draining cover it with a new sterile dressing.</t>
  </si>
  <si>
    <t>6558-discharge-instructions-6-2</t>
  </si>
  <si>
    <t xml:space="preserve"> If it is dry
then you can leave the incision open to the air.</t>
  </si>
  <si>
    <t>6558-discharge-instructions-6-3</t>
  </si>
  <si>
    <t xml:space="preserve"> Once the
incision is completely dry (usually 2-3 days after the
operation) you may take a shower.</t>
  </si>
  <si>
    <t>6558-discharge-instructions-6-4</t>
  </si>
  <si>
    <t>Do not soak the incision in a
bath or pool.</t>
  </si>
  <si>
    <t>6558-discharge-instructions-6-5</t>
  </si>
  <si>
    <t xml:space="preserve"> If the incision starts draining at anytime after
surgery, do not get the incision wet.</t>
  </si>
  <si>
    <t>6558-discharge-instructions-6-6</t>
  </si>
  <si>
    <t>Cover it with a sterile
dressing.</t>
  </si>
  <si>
    <t>6558-discharge-instructions-6-7</t>
  </si>
  <si>
    <t xml:space="preserve"> Call the office.</t>
  </si>
  <si>
    <t>6558-discharge-instructions-7-0</t>
  </si>
  <si>
    <t xml:space="preserve">
-	You should resume taking your normal home medications.</t>
  </si>
  <si>
    <t>6558-discharge-instructions-8-0</t>
  </si>
  <si>
    <t xml:space="preserve">
-	You have also been given Additional Medications to control
your pain.</t>
  </si>
  <si>
    <t>6558-discharge-instructions-8-1</t>
  </si>
  <si>
    <t xml:space="preserve"> Please allow 72 hours for refill of narcotic
prescriptions, so please plan ahead.</t>
  </si>
  <si>
    <t>6558-discharge-instructions-8-2</t>
  </si>
  <si>
    <t xml:space="preserve"> You can either have them
mailed to your home or pick them up at the clinic located on
[**Hospital Ward Name 23**] 2.</t>
  </si>
  <si>
    <t>6558-discharge-instructions-8-3</t>
  </si>
  <si>
    <t xml:space="preserve"> We are not allowed to call in or fax narcotic
prescriptions (oxycontin, oxycodone, percocet) to your pharmacy.</t>
  </si>
  <si>
    <t>6558-discharge-instructions-8-4</t>
  </si>
  <si>
    <t xml:space="preserve">
 In addition, we are only allowed to write for pain medications
for 90 days from the date of surgery.</t>
  </si>
  <si>
    <t>6558-discharge-instructions-8-5</t>
  </si>
  <si>
    <t xml:space="preserve">
Physical Therapy:
Continue to advance mobility.</t>
  </si>
  <si>
    <t>6558-discharge-instructions-8-6</t>
  </si>
  <si>
    <t xml:space="preserve"> no bending, twisting, lifting
Treatments Frequency:
keep incision clean and dry.</t>
  </si>
  <si>
    <t>6558-discharge-instructions-8-7</t>
  </si>
  <si>
    <t xml:space="preserve"> [**Month (only) 116**] shower, change dressing
afterwards.</t>
  </si>
  <si>
    <t>6558-discharge-instructions-8-8</t>
  </si>
  <si>
    <t xml:space="preserve"> [**Month (only) 116**] leave open to  air when dressing dry for 24
hours, no baths.</t>
  </si>
  <si>
    <t>6558-discharge-instructions-8-9</t>
  </si>
  <si>
    <t xml:space="preserve"> Steri-strips will fall off on their own in
[**11-28**] days.</t>
  </si>
  <si>
    <t>6558-discharge-instructions-9-0</t>
  </si>
  <si>
    <t xml:space="preserve">
Followup Instructions:
-Follow up:
Provider: [**First Name4 (NamePattern1) 1141**] [**Last Name (NamePattern1) 4983**], [**MD Number(3) 1240**]:[**Telephone/Fax (1) 3736**]
Date/Time:[**2172-2-11**] 10:40
oPlease Call the office and make an appointment for 2 weeks
after the day of your operation if this has not been done
already.</t>
  </si>
  <si>
    <t>6558-discharge-instructions-9-1</t>
  </si>
  <si>
    <t xml:space="preserve">
oAt the 2-week visit we will check your incision, take baseline
X-rays and answer any questions.</t>
  </si>
  <si>
    <t>6558-discharge-instructions-9-2</t>
  </si>
  <si>
    <t>We may at that time start
physical therapy.</t>
  </si>
  <si>
    <t>6558-discharge-instructions-9-3</t>
  </si>
  <si>
    <t xml:space="preserve">
oWe will then see you at 6 weeks from the day of the operation
and at that time release you to full activity.</t>
  </si>
  <si>
    <t>6558-discharge-condition-0-0</t>
  </si>
  <si>
    <t>6558-discharge-condition-0-1</t>
  </si>
  <si>
    <t>6558-discharge-condition-0-2</t>
  </si>
  <si>
    <t xml:space="preserve">
Activity Status: Ambulatory - requires assistance or aid (walker
or cane).</t>
  </si>
  <si>
    <t>6558-facility-0-0</t>
  </si>
  <si>
    <t>[**Location (un) 25112**] in [</t>
  </si>
  <si>
    <t>6558-discharge-diagnosis-0-0</t>
  </si>
  <si>
    <t>lumbar spinal stenosis, spondylolisthesis, scoliosis
incidental durotomy
subsegmental p</t>
  </si>
  <si>
    <t>4309-allergies-0-0</t>
  </si>
  <si>
    <t>R</t>
  </si>
  <si>
    <t>4309-chief-complaint-0-0</t>
  </si>
  <si>
    <t>chest pain/s</t>
  </si>
  <si>
    <t>4309-major-surgical-or-invasive-procedure-0-0</t>
  </si>
  <si>
    <t>cardiac catheterization [</t>
  </si>
  <si>
    <t>4309-history-of-present-illness-0-0</t>
  </si>
  <si>
    <t>69M CAD s/p CABG in [**2152**], DM2, CKD on HD, radiation cystitis
complicated by enterococcal UTI ([**1-21**]) and history of
enterococcal endocarditis presenting with chest pain and dyspnea
on exertion for several weeks responsive to nitroglycerin.</t>
  </si>
  <si>
    <t>4309-history-of-present-illness-0-1</t>
  </si>
  <si>
    <t>He
noticed that pain occasionally radiated to bilateral arms.</t>
  </si>
  <si>
    <t>4309-history-of-present-illness-0-2</t>
  </si>
  <si>
    <t>He
denies fevers, chills, nausea/vomiting.</t>
  </si>
  <si>
    <t>4309-history-of-present-illness-0-3</t>
  </si>
  <si>
    <t>He also denies PND or
orthopnea.</t>
  </si>
  <si>
    <t>4309-history-of-present-illness-0-4</t>
  </si>
  <si>
    <t xml:space="preserve">
Patient was due for outpatient c.</t>
  </si>
  <si>
    <t>4309-history-of-present-illness-0-5</t>
  </si>
  <si>
    <t>cath on Thursday with his
cardiologist Dr. [**Last Name (STitle) **].</t>
  </si>
  <si>
    <t>4309-history-of-present-illness-0-6</t>
  </si>
  <si>
    <t>He was advised to present to the ED
given increased frequency and intensity of chest discomfort.</t>
  </si>
  <si>
    <t>4309-history-of-present-illness-0-7</t>
  </si>
  <si>
    <t>He
initially presented to OSH and was transferred here due to
cardiology care here.</t>
  </si>
  <si>
    <t>4309-history-of-present-illness-0-8</t>
  </si>
  <si>
    <t>He states that the reason why he came
today was that he usually uses oxygen at HD sessions, but his
doctor told him that he can't do that on a regular basis.</t>
  </si>
  <si>
    <t>4309-history-of-present-illness-0-9</t>
  </si>
  <si>
    <t>It was
also ascertained that for the past 3 weeks that he was using
[**8-21**] SLNTGs a day for chest discomfort occuring both at rest and
with exertion.</t>
  </si>
  <si>
    <t>4309-history-of-present-illness-0-10</t>
  </si>
  <si>
    <t>This represents increased frequency of his
symptoms - intensity has been the same.</t>
  </si>
  <si>
    <t>4309-history-of-present-illness-0-11</t>
  </si>
  <si>
    <t xml:space="preserve">
Of note, he also was complained about needing oxygen and
subsequently is doing well on 3 L NC.</t>
  </si>
  <si>
    <t>4309-history-of-present-illness-0-12</t>
  </si>
  <si>
    <t>He does endorse some chest
congestion now.</t>
  </si>
  <si>
    <t>4309-history-of-present-illness-1-0</t>
  </si>
  <si>
    <t xml:space="preserve">
In the ED, initial VS: 22:34 0 98.1 91 101/51 18 100% 3L.</t>
  </si>
  <si>
    <t>4309-history-of-present-illness-1-1</t>
  </si>
  <si>
    <t xml:space="preserve">
ECG showed SR at 95 bpm with lateral ST depression and no STEMI.</t>
  </si>
  <si>
    <t>4309-history-of-present-illness-1-2</t>
  </si>
  <si>
    <t xml:space="preserve">
There were some dynamic depressions in V4-V5 while patient was
chest pain free on arrival here.</t>
  </si>
  <si>
    <t>4309-history-of-present-illness-1-3</t>
  </si>
  <si>
    <t xml:space="preserve">
OSH labs at 8 PM showing WBC 6.3, Hgb 12.4, Plt 156.</t>
  </si>
  <si>
    <t>4309-history-of-present-illness-1-4</t>
  </si>
  <si>
    <t>Chemistry
panel was Na 134, K 3.7, Cl 90, HCO3 30, BUN 35, Cr 2.8 and
Glucose 132.</t>
  </si>
  <si>
    <t>4309-history-of-present-illness-1-5</t>
  </si>
  <si>
    <t>Troponin I was 0.03.</t>
  </si>
  <si>
    <t>4309-history-of-present-illness-1-6</t>
  </si>
  <si>
    <t xml:space="preserve">
A bedside ECHO in the ER showed no effusion with an EF of about
40 % with poor lateral squeeze.</t>
  </si>
  <si>
    <t>4309-history-of-present-illness-1-7</t>
  </si>
  <si>
    <t>CXR showed mild volume overload
and airspace pulmonary edema.</t>
  </si>
  <si>
    <t>4309-history-of-present-illness-1-8</t>
  </si>
  <si>
    <t>He was guiaic negative on exam.</t>
  </si>
  <si>
    <t>4309-history-of-present-illness-1-9</t>
  </si>
  <si>
    <t xml:space="preserve">
He also did have active chest pain at 11:15 PM relieved by
sublingal nitroglycerin.</t>
  </si>
  <si>
    <t>4309-history-of-present-illness-1-10</t>
  </si>
  <si>
    <t>A repeat ECG did showed worsening
depression in V3 and improved in V5.</t>
  </si>
  <si>
    <t>4309-history-of-present-illness-1-11</t>
  </si>
  <si>
    <t>The attending cardiologist
assessed him in the ER, recommended heparin infusion and
nitroglycerin infusion given frequent chest discomfort.</t>
  </si>
  <si>
    <t>4309-history-of-present-illness-1-12</t>
  </si>
  <si>
    <t xml:space="preserve">
Initial labs showed Cr 3.4 (HD patient), anion gap 22, TropnT
0.04.</t>
  </si>
  <si>
    <t>4309-history-of-present-illness-1-13</t>
  </si>
  <si>
    <t>Hgb was 12.3 near baseline.</t>
  </si>
  <si>
    <t>4309-history-of-present-illness-1-14</t>
  </si>
  <si>
    <t>VS on transfer were: 105/49, 88, 18, 100% 3L n</t>
  </si>
  <si>
    <t>4309-past-medical-history-0-0</t>
  </si>
  <si>
    <t>CARDIAC RISK FACTORS: Diabetes, Dyslipidemia, Hypertension
2.</t>
  </si>
  <si>
    <t>4309-past-medical-history-0-1</t>
  </si>
  <si>
    <t>CARDIAC HISTORY:
- CABG x 4 '[**52**] (LIMA-LAD, SVG-OM, SVG-D1, SVG-PDA)
-PERCUTANEOUS CORONARY INTERVENTIONS: [**2160**]: Two 2.5 Cypher
stents and a 3.0 Cypher stent were placed in the LM and RI.</t>
  </si>
  <si>
    <t>4309-past-medical-history-0-2</t>
  </si>
  <si>
    <t xml:space="preserve">
in [**2161**]: drug-eluting stent placed in the ramus intermedius.</t>
  </si>
  <si>
    <t>4309-past-medical-history-0-3</t>
  </si>
  <si>
    <t>4309-past-medical-history-1-0</t>
  </si>
  <si>
    <t>4309-past-medical-history-2-0</t>
  </si>
  <si>
    <t>4309-past-medical-history-3-0</t>
  </si>
  <si>
    <t>PSH:
s/p CABG x4 [**2152**]
s/p prostatectomy
s/p appendectomy in [**2160**]
s/p cholecystectomy [**2159**]
s/p ear, tonsil and adenoid surgery
s/p femoral rodding
s/p back s</t>
  </si>
  <si>
    <t>4309-social-history-0-0</t>
  </si>
  <si>
    <t>Retired estimator for an environmental company.</t>
  </si>
  <si>
    <t>4309-social-history-0-1</t>
  </si>
  <si>
    <t>Lives with wife.</t>
  </si>
  <si>
    <t>4309-social-history-0-2</t>
  </si>
  <si>
    <t xml:space="preserve">
Quit smoking in [**2165-12-11**], but previously smoked [**1-12**] ppd (~120
pack years).</t>
  </si>
  <si>
    <t>4309-social-history-0-3</t>
  </si>
  <si>
    <t>Previously drank ~ [**1-12**] case of beer daily, now
sober for many years.</t>
  </si>
  <si>
    <t>4309-social-history-0-4</t>
  </si>
  <si>
    <t>Denies illicit drug use.</t>
  </si>
  <si>
    <t>4309-family-history-0-0</t>
  </si>
  <si>
    <t>Unknown, as the patient does not know his biological parents.</t>
  </si>
  <si>
    <t>4309-physical-examination-0-0</t>
  </si>
  <si>
    <t>ADMISSION EXAM
VS T 97.9 BP 110/62 HR 98 RR 20 pOx 95 on 2L Weight: 59.6 kg
GENERAL - well-appearing in NAD, comfortable, appropriate
HEENT - NC/AT, PERRLA, EOMI, sclerae anicteric, MMM, OP clear
NECK - supple, no thyromegaly, no JVD, no carotid bruits
LUNGS - CTA bilat, no r/rh/wh, good air movement, resp
unlabored, no accessory muscle use
HEART - PMI non-displaced, RRR, + SEM, nl S1-S2
ABDOMEN - NABS, soft/NT/ND, no masses or HSM, no
rebound/guarding
EXTREMITIES - WWP, no c/c/e, 2+ peripheral pulses (radials, DPs)
+ bruit in LUE dialysis fistula
SKIN - no rashes or lesions
LYMPH - no cervical LAD
NEURO - awake, A&amp;Ox3, CNs III-XII grossly intact, muscle
strength 5/5 throughout, sensation grossly intact throughout,
DTRs 2+, gait deferred.</t>
  </si>
  <si>
    <t>4309-physical-examination-1-0</t>
  </si>
  <si>
    <t xml:space="preserve">
DISCHARGE EXAM
pt pulseless, without corneal reflex, without heart sounds.</t>
  </si>
  <si>
    <t>4309-labs-imaging-0-0</t>
  </si>
  <si>
    <t>4309-labs-imaging-1-0</t>
  </si>
  <si>
    <t xml:space="preserve">
ADMISSION LABS
[**2167-1-19**] 11:30PM BLOOD WBC-5.9 RBC-3.64* Hgb-12.3* Hct-36.2*
MCV-99*</t>
  </si>
  <si>
    <t>4309-labs-imaging-1-1</t>
  </si>
  <si>
    <t>MCH-33.9* MCHC-34.1 RDW-14.2 Plt Ct-165
[**2167-1-19**] 11:30PM BLOOD Neuts-77.9* Lymphs-14.5* Monos-5.5
Eos-1.8 Baso-0.4
[**2167-1-19**] 11:30PM BLOOD PT-12.7*</t>
  </si>
  <si>
    <t>4309-labs-imaging-1-2</t>
  </si>
  <si>
    <t>4309-labs-imaging-2-0</t>
  </si>
  <si>
    <t>4309-labs-imaging-3-0</t>
  </si>
  <si>
    <t>4309-labs-imaging-3-1</t>
  </si>
  <si>
    <t>Lungs are overinflated, with biapical
hyperlucency.</t>
  </si>
  <si>
    <t>4309-labs-imaging-3-2</t>
  </si>
  <si>
    <t>There is new right lower lobe opacity with
obscuration of the hemidiaphragm.</t>
  </si>
  <si>
    <t>4309-labs-imaging-3-3</t>
  </si>
  <si>
    <t>Increasing volume overload
with mild cardiomegaly, central venous congestion, and
interstitial/early airspace pulmonary edema.</t>
  </si>
  <si>
    <t>4309-labs-imaging-3-4</t>
  </si>
  <si>
    <t>Probable small left
effusion.</t>
  </si>
  <si>
    <t>4309-labs-imaging-3-5</t>
  </si>
  <si>
    <t>CABG changes are noted, with median sternotomy wires
and mediastinal clips.</t>
  </si>
  <si>
    <t>4309-labs-imaging-3-6</t>
  </si>
  <si>
    <t xml:space="preserve">
IMPRESSION:
1.</t>
  </si>
  <si>
    <t>4309-labs-imaging-3-7</t>
  </si>
  <si>
    <t>Possible right lower lobe pneumonia.</t>
  </si>
  <si>
    <t>4309-labs-imaging-3-8</t>
  </si>
  <si>
    <t>Increasing volume overload.</t>
  </si>
  <si>
    <t>4309-labs-imaging-4-0</t>
  </si>
  <si>
    <t xml:space="preserve">
cardiac cath
# CARDIAC CATHETERIZATION [**2167-1-20**]
(Prelim report was up)
COMMENTS:
1.</t>
  </si>
  <si>
    <t>4309-labs-imaging-4-1</t>
  </si>
  <si>
    <t>Selective native coronary angiography of this right dominant
system
demonstrated severe 2 vessel coronary artery disease.</t>
  </si>
  <si>
    <t>4309-labs-imaging-4-2</t>
  </si>
  <si>
    <t xml:space="preserve"> The RCA
was not
engaged due to it having a known total occlusion.</t>
  </si>
  <si>
    <t>4309-labs-imaging-4-3</t>
  </si>
  <si>
    <t xml:space="preserve"> The LMCA had
minimal
non-angiographically significant coronary artery disease with a
patent
stent.</t>
  </si>
  <si>
    <t>4309-labs-imaging-4-4</t>
  </si>
  <si>
    <t xml:space="preserve"> The LAD had a proximal total occlusion.</t>
  </si>
  <si>
    <t>4309-labs-imaging-4-5</t>
  </si>
  <si>
    <t xml:space="preserve"> The LCX had a
proximal
total occlusion.</t>
  </si>
  <si>
    <t>4309-labs-imaging-4-6</t>
  </si>
  <si>
    <t xml:space="preserve"> The ramus had a patent stent with minimal
non-angiographically significant coronary artery disease.</t>
  </si>
  <si>
    <t>4309-labs-imaging-4-7</t>
  </si>
  <si>
    <t>Selective venous conduit angiography demonstrated widely
patent SVG
to PDA, and SVG to Diagnoal grafts.</t>
  </si>
  <si>
    <t>4309-labs-imaging-4-8</t>
  </si>
  <si>
    <t xml:space="preserve"> The SVG to OM graft was
patent,
with a 60% stenosis at the ostium of the bypassed OM at its
point of
attachment to the LCX.</t>
  </si>
  <si>
    <t>4309-labs-imaging-4-9</t>
  </si>
  <si>
    <t>Selective arterial conduit angiography demonstrated a widely
patent LIMA to LAD graft.</t>
  </si>
  <si>
    <t>4309-labs-imaging-4-10</t>
  </si>
  <si>
    <t xml:space="preserve"> The distal native LAD had a 80%
lesion.</t>
  </si>
  <si>
    <t>4309-labs-imaging-4-11</t>
  </si>
  <si>
    <t>Successful balloon angioplasty of the LAD with a 2.0 x 8 mm
balloon
(see PTCA comments).</t>
  </si>
  <si>
    <t>4309-labs-imaging-4-12</t>
  </si>
  <si>
    <t xml:space="preserve">
FINAL DIAGNOSIS:
1.</t>
  </si>
  <si>
    <t>4309-labs-imaging-4-13</t>
  </si>
  <si>
    <t>Severe two vessel native coronary artery disease (RCA not
evaluated
due to a known total occlusion)
2.</t>
  </si>
  <si>
    <t>4309-labs-imaging-4-14</t>
  </si>
  <si>
    <t>Patent LIMA to LAD graft with an 80% stenosis in the distal
native
LAD.</t>
  </si>
  <si>
    <t>4309-labs-imaging-4-15</t>
  </si>
  <si>
    <t>Patent SVG to Diagonal, SVG to PDA, and SVG to OM grafts.</t>
  </si>
  <si>
    <t>4309-labs-imaging-4-16</t>
  </si>
  <si>
    <t>Mild asymptomatic systemic arterial hypotension.</t>
  </si>
  <si>
    <t>4309-labs-imaging-4-17</t>
  </si>
  <si>
    <t>Successful POBA of the LAD with a 2.0 x 8 mm balloon.</t>
  </si>
  <si>
    <t>4309-labs-imaging-5-0</t>
  </si>
  <si>
    <t xml:space="preserve">
TTE [**2167-1-20**]
Moderately dilated left ventricle.</t>
  </si>
  <si>
    <t>4309-labs-imaging-5-1</t>
  </si>
  <si>
    <t>Regional left ventricular
systolic dysfunction c/w CAD.</t>
  </si>
  <si>
    <t>4309-labs-imaging-5-2</t>
  </si>
  <si>
    <t>Probable small vegetation on
aortic valve, right coronary cusp.</t>
  </si>
  <si>
    <t>4309-labs-imaging-5-3</t>
  </si>
  <si>
    <t>Moderate aortic
regurgitation.</t>
  </si>
  <si>
    <t>4309-labs-imaging-5-4</t>
  </si>
  <si>
    <t>Moderate mitral regurgitation.</t>
  </si>
  <si>
    <t>4309-labs-imaging-5-5</t>
  </si>
  <si>
    <t>At least moderate
pulmonary hypertension.</t>
  </si>
  <si>
    <t>4309-labs-imaging-5-6</t>
  </si>
  <si>
    <t>Mild right ventricular global
hypokinesis.</t>
  </si>
  <si>
    <t>4309-labs-imaging-5-7</t>
  </si>
  <si>
    <t>Compared with the prior study (images reviewed) of
[**2166-9-12**], regional left ventricular systolic dysfunction is more
extensive (distal LAD territory).</t>
  </si>
  <si>
    <t>4309-labs-imaging-5-8</t>
  </si>
  <si>
    <t>The severity of pulmonary
hypertension has increased.</t>
  </si>
  <si>
    <t>4309-labs-imaging-5-9</t>
  </si>
  <si>
    <t>There is right ventricular
dysfunction.</t>
  </si>
  <si>
    <t>4309-labs-imaging-5-10</t>
  </si>
  <si>
    <t>The aortic valve vegetation appears similar in
size.</t>
  </si>
  <si>
    <t>4309-hospital-course-0-0</t>
  </si>
  <si>
    <t>69 yo M with CAD s/p CABG ([**2152**]), DMII, and ESRD presenting with
worsening chest pains and DOE.</t>
  </si>
  <si>
    <t>4309-hospital-course-0-1</t>
  </si>
  <si>
    <t xml:space="preserve"> He had been taking multiple
nitroglycerin tabs daily ([**8-21**]) in addition to his long acting
nitrates.</t>
  </si>
  <si>
    <t>4309-hospital-course-0-2</t>
  </si>
  <si>
    <t xml:space="preserve"> He was scheduled for outpatient cath 2 days from
admission, however presented to the ED with worsening frequency
and severity of his chest pains.</t>
  </si>
  <si>
    <t>4309-hospital-course-0-3</t>
  </si>
  <si>
    <t xml:space="preserve"> He was started on heparin and
nitro drips and admitted to the cardiology floor.</t>
  </si>
  <si>
    <t>4309-hospital-course-0-4</t>
  </si>
  <si>
    <t xml:space="preserve"> He continued
to have chest pains overnight and was was taken to the cath lab
on the morning of [**1-20**].</t>
  </si>
  <si>
    <t>4309-hospital-course-0-5</t>
  </si>
  <si>
    <t xml:space="preserve"> Received 600mg plavix, bivalirudin, no
stents placed.</t>
  </si>
  <si>
    <t>4309-hospital-course-0-6</t>
  </si>
  <si>
    <t>balloon angioplasty to LAD.</t>
  </si>
  <si>
    <t>4309-hospital-course-0-7</t>
  </si>
  <si>
    <t xml:space="preserve"> During the cath, he
continued to have chest pains.</t>
  </si>
  <si>
    <t>4309-hospital-course-0-8</t>
  </si>
  <si>
    <t xml:space="preserve"> He contined to have lateral ST
depressions on his EKG after the procedure.</t>
  </si>
  <si>
    <t>4309-hospital-course-0-9</t>
  </si>
  <si>
    <t xml:space="preserve"> He was initially
chest pain free after the procedure, however his chest pains
have returned and he was to be transferred to the CCU for
further management.</t>
  </si>
  <si>
    <t>4309-hospital-course-1-0</t>
  </si>
  <si>
    <t xml:space="preserve">
# Acute coronary syndrome - presented with increased freq of CP
including at rest with troponins slightly elevated.</t>
  </si>
  <si>
    <t>4309-hospital-course-1-1</t>
  </si>
  <si>
    <t>Pt to cath
lab [**2167-1-20**], with severe 2 vessel native disease RCA with total
occlusion, patent grafts, balloon angioplasty to LAD, unable to
access circ lesion.</t>
  </si>
  <si>
    <t>4309-hospital-course-1-2</t>
  </si>
  <si>
    <t>Cath also showed patent LIMA to LAD graft
and patent SVG to OM, SVG to Diagonal, and SVG to PDA grafts.</t>
  </si>
  <si>
    <t>4309-hospital-course-1-3</t>
  </si>
  <si>
    <t>Pt
to CCU for monitoring.</t>
  </si>
  <si>
    <t>4309-hospital-course-1-4</t>
  </si>
  <si>
    <t>He was given 25mg metoprolol after cath.</t>
  </si>
  <si>
    <t>4309-hospital-course-1-5</t>
  </si>
  <si>
    <t xml:space="preserve">
On transfer to the CCU (after several hours chest pain free) pt
developed [**6-21**] chest pressure.</t>
  </si>
  <si>
    <t>4309-hospital-course-1-6</t>
  </si>
  <si>
    <t>Nitro drip was increased to 1.2
with good resolution of pain.</t>
  </si>
  <si>
    <t>4309-hospital-course-1-7</t>
  </si>
  <si>
    <t>ECG with 1mm elevations in V1, V2
with 1mm depressions V3-V5.</t>
  </si>
  <si>
    <t>4309-hospital-course-1-8</t>
  </si>
  <si>
    <t>Pt was sleeping calmly following
this episode.</t>
  </si>
  <si>
    <t>4309-hospital-course-1-9</t>
  </si>
  <si>
    <t>That afternoon pt with acute episode of
diaphoresis, chest pain, and dyspnea.</t>
  </si>
  <si>
    <t>4309-hospital-course-1-10</t>
  </si>
  <si>
    <t>O2 sats 95 on 3L nc, BP
80s/40s so limited in ability to uptitrate nitro drip which was
at 1.2.</t>
  </si>
  <si>
    <t>4309-hospital-course-1-11</t>
  </si>
  <si>
    <t>ECG showed depressions in antero-lateral leads unchanged
from ECGs from prior. got ipratropium nebs (HR was high 90s) and
klonipin.</t>
  </si>
  <si>
    <t>4309-hospital-course-1-12</t>
  </si>
  <si>
    <t>within 10-20 minutes pt was without dyspnea/CP, stated
that he had a lot of anxiety about the procedure not able to
open up the circ lesion.</t>
  </si>
  <si>
    <t>4309-hospital-course-1-13</t>
  </si>
  <si>
    <t xml:space="preserve">
Nitro gtt was continued, eventually weaned and pt put on home
dose imdur.</t>
  </si>
  <si>
    <t>4309-hospital-course-1-14</t>
  </si>
  <si>
    <t>Pt continued to have episodes of [**6-21**] chest pain but
ECGs were all with stable anterolateral depressions.</t>
  </si>
  <si>
    <t>4309-hospital-course-1-15</t>
  </si>
  <si>
    <t>Even when
CP resolved ECGs with those findings.</t>
  </si>
  <si>
    <t>4309-hospital-course-1-16</t>
  </si>
  <si>
    <t>Pt was continued on
atorvastatin, aspirin, plavix, and metoprolol.</t>
  </si>
  <si>
    <t>4309-hospital-course-1-17</t>
  </si>
  <si>
    <t>His blood
pressures remained in the 80s/40s, appears his b/l roughly
around this range, but this limited our ability to increase
nitro.</t>
  </si>
  <si>
    <t>4309-hospital-course-1-18</t>
  </si>
  <si>
    <t>Imdur was held.</t>
  </si>
  <si>
    <t>4309-hospital-course-2-0</t>
  </si>
  <si>
    <t xml:space="preserve">
#PEA ARREST - on the day of arrest [**2167-1-22**] pt had been asx with
hypotension 70s-80s during the morning via NIBP.</t>
  </si>
  <si>
    <t>4309-hospital-course-2-1</t>
  </si>
  <si>
    <t>Pt continuing
to c/o of recurring dull aching chest pain which was pleuritic
and reproducible with palpation.</t>
  </si>
  <si>
    <t>4309-hospital-course-2-2</t>
  </si>
  <si>
    <t>Pt very anxious when staff not
in room with him.</t>
  </si>
  <si>
    <t>4309-hospital-course-2-3</t>
  </si>
  <si>
    <t>Pt given ativan 0.5mg po x 1 at 0730hrs and
tylenol with slight decrease in anxiety and pain.</t>
  </si>
  <si>
    <t>4309-hospital-course-2-4</t>
  </si>
  <si>
    <t>No further c/o
of chest pain since 1100hrs.</t>
  </si>
  <si>
    <t>4309-hospital-course-2-5</t>
  </si>
  <si>
    <t xml:space="preserve"> Rt radial Aline placed by team
with ABP initially 90s decreasing to 70-80s.</t>
  </si>
  <si>
    <t>4309-hospital-course-2-6</t>
  </si>
  <si>
    <t>Obtained double
lumen PICC line Right brachial.</t>
  </si>
  <si>
    <t>4309-hospital-course-2-7</t>
  </si>
  <si>
    <t>Started po midodrine for low BP.</t>
  </si>
  <si>
    <t>4309-hospital-course-2-8</t>
  </si>
  <si>
    <t xml:space="preserve">
Started Neo with little effect on SBP SBP 78 on 3mcg/kg/min.</t>
  </si>
  <si>
    <t>4309-hospital-course-2-9</t>
  </si>
  <si>
    <t xml:space="preserve">
Initally attempting to start CRRT at 1330hrs with slight
decrease in SBP but filter malfunctioned and blood returned and
new filter set up re-set up.</t>
  </si>
  <si>
    <t>4309-hospital-course-2-10</t>
  </si>
  <si>
    <t>CRRT re-started with no fluid
removal at 1500hrs ?????? titrated up Neo to 5mcg/kg/min when sBP
started to decreased to low 70s ??????</t>
  </si>
  <si>
    <t>4309-hospital-course-2-11</t>
  </si>
  <si>
    <t>for ~2min had increased fluid
removal rate to remove only IVF that were being given to patient
for CRRT but turned it back down to zero for no fluid removal
when SBP decreasing to low 70s then turned off CRRT when BP
dropped to 60s ?????? pt became unresponsive and CODE called.</t>
  </si>
  <si>
    <t>4309-hospital-course-2-12</t>
  </si>
  <si>
    <t>Pt was
in PEA, then junctional, back to PEA then vfib ?????? shocked 6
times, CPR throughout code situation, multiple code meds given
including epi, amio, lido.</t>
  </si>
  <si>
    <t>4309-hospital-course-2-13</t>
  </si>
  <si>
    <t>return of blood pressure and pulse
after initiation of 5 pressors.</t>
  </si>
  <si>
    <t>4309-hospital-course-2-14</t>
  </si>
  <si>
    <t>Family was in contact with CCU
team ?????? code called at 1555hrs after 45 minutes of coding.</t>
  </si>
  <si>
    <t>4309-hospital-course-2-15</t>
  </si>
  <si>
    <t>Family
stated not to escalate care.</t>
  </si>
  <si>
    <t>4309-hospital-course-2-16</t>
  </si>
  <si>
    <t>Approximately 2L IVF given during
code.</t>
  </si>
  <si>
    <t>4309-hospital-course-2-17</t>
  </si>
  <si>
    <t>ABP 70s with a bradycardic rhythm with weak pulse until pt
became hypotensive and asystolic, time of death 1631hrs.</t>
  </si>
  <si>
    <t>4309-hospital-course-2-18</t>
  </si>
  <si>
    <t>Family
+ HCP [**Name (NI) 18659**] notified and one Son [**Name (NI) 12239**] and Grandson came in to
visit, rest of family staying home, belongings given to family.</t>
  </si>
  <si>
    <t>4309-hospital-course-3-0</t>
  </si>
  <si>
    <t xml:space="preserve">
#CAD: Pt with ACS, cath showed 2 vessel disease see ACS above.</t>
  </si>
  <si>
    <t>4309-hospital-course-3-1</t>
  </si>
  <si>
    <t xml:space="preserve">
Echo showed compared with the prior study of [**2166-9-12**], regional
left ventricular systolic dysfunction is more extensive (distal
LAD territory).</t>
  </si>
  <si>
    <t>4309-hospital-course-3-2</t>
  </si>
  <si>
    <t>The severity of pulmonary hypertension has
increased.</t>
  </si>
  <si>
    <t>4309-hospital-course-3-3</t>
  </si>
  <si>
    <t>There is right ventricular dysfunction.</t>
  </si>
  <si>
    <t>4309-hospital-course-3-4</t>
  </si>
  <si>
    <t>The aortic
valve vegetation appears similar in size.</t>
  </si>
  <si>
    <t>4309-hospital-course-3-5</t>
  </si>
  <si>
    <t>Started pt on beta
blocker (not part of home regimen).</t>
  </si>
  <si>
    <t>4309-hospital-course-4-0</t>
  </si>
  <si>
    <t xml:space="preserve">
#hypotension - pt with blood pressure in 80s/40s which appears
to be around his baseline.</t>
  </si>
  <si>
    <t>4309-hospital-course-4-1</t>
  </si>
  <si>
    <t>He receives midodrine at dialysis as
he has a history of hypotension with dialysis.</t>
  </si>
  <si>
    <t>4309-hospital-course-4-2</t>
  </si>
  <si>
    <t>Was placed on
nitro gtt for continued chest pain but eventually weaned and
placed back on home imdur.</t>
  </si>
  <si>
    <t>4309-hospital-course-4-3</t>
  </si>
  <si>
    <t>Hypotension was felt most likely [**2-12**]
underlying cardiac dysfunction exacerbated by nitro drip,
although hypotension persisted.</t>
  </si>
  <si>
    <t>4309-hospital-course-4-4</t>
  </si>
  <si>
    <t>Pt was monitored on telemetry.</t>
  </si>
  <si>
    <t>4309-hospital-course-5-0</t>
  </si>
  <si>
    <t xml:space="preserve">
#dyspnea - pt with new O2 requirement of 2-3L nasal cannula but
satting high 90s-100 on this regimen.</t>
  </si>
  <si>
    <t>4309-hospital-course-5-1</t>
  </si>
  <si>
    <t>Satting well.</t>
  </si>
  <si>
    <t>4309-hospital-course-5-2</t>
  </si>
  <si>
    <t>Seems that
he probably needed to be on O2 at home as he c/o significant
dyspnea prior to admission.</t>
  </si>
  <si>
    <t>4309-hospital-course-5-3</t>
  </si>
  <si>
    <t>H/o 50 years of smoking, likely pt
with component of COPD - on advair at home which was continued.</t>
  </si>
  <si>
    <t>4309-hospital-course-5-4</t>
  </si>
  <si>
    <t xml:space="preserve">
Pt also given nebulizer treatments with good effect.</t>
  </si>
  <si>
    <t>4309-hospital-course-5-5</t>
  </si>
  <si>
    <t>O2 sats
consistently monitored and remained in the mid-high 90s.</t>
  </si>
  <si>
    <t>4309-hospital-course-6-0</t>
  </si>
  <si>
    <t xml:space="preserve">
# Chronic systolic heart failure
Patient last had dialysis on Monday with CXR suggesting mild
volume overload, now also requiring oxygen.</t>
  </si>
  <si>
    <t>4309-hospital-course-6-1</t>
  </si>
  <si>
    <t>Uncertain if pt
presented with true heart failure exacerbation from increased
demand ischemia vs.</t>
  </si>
  <si>
    <t>4309-hospital-course-6-2</t>
  </si>
  <si>
    <t>insufficient HD.</t>
  </si>
  <si>
    <t>4309-hospital-course-6-3</t>
  </si>
  <si>
    <t>Echo in [**2166-9-11**] showed
LVEF of 50-55%.</t>
  </si>
  <si>
    <t>4309-hospital-course-6-4</t>
  </si>
  <si>
    <t>Volume status closely monitored.</t>
  </si>
  <si>
    <t>4309-hospital-course-6-5</t>
  </si>
  <si>
    <t>Pt was putting
out minimal urine and lasix bolus and drip were attempted
without good effect.</t>
  </si>
  <si>
    <t>4309-hospital-course-6-6</t>
  </si>
  <si>
    <t>See ESRD below.</t>
  </si>
  <si>
    <t>4309-hospital-course-7-0</t>
  </si>
  <si>
    <t xml:space="preserve">
# ESRD - pt receiving HD twice weekly.</t>
  </si>
  <si>
    <t>4309-hospital-course-7-1</t>
  </si>
  <si>
    <t>Pt gets midodrine prior
to HD to maintain BPs.</t>
  </si>
  <si>
    <t>4309-hospital-course-7-2</t>
  </si>
  <si>
    <t>Medications were renally dosed.</t>
  </si>
  <si>
    <t>4309-hospital-course-7-3</t>
  </si>
  <si>
    <t xml:space="preserve">
Renal/dialysis was following the patient.</t>
  </si>
  <si>
    <t>4309-hospital-course-7-4</t>
  </si>
  <si>
    <t>CRRT was initiated on
[**2167-1-22**] around 2pm for worsening renal function as seen via
creatinine and potassium elevations.</t>
  </si>
  <si>
    <t>4309-hospital-course-7-5</t>
  </si>
  <si>
    <t>It was also felt that
significant fluid overload could be contributing to pulmonary
edema which would explain his dyspnea.</t>
  </si>
  <si>
    <t>4309-hospital-course-8-0</t>
  </si>
  <si>
    <t xml:space="preserve">
Pt was maintained as full code throughout the course of this
hospitalization.</t>
  </si>
  <si>
    <t>4309-hospital-course-9-0</t>
  </si>
  <si>
    <t>contact: son [**Name (NI) 18659**] cell [</t>
  </si>
  <si>
    <t>4309-medication-history-0-0</t>
  </si>
  <si>
    <t>Mucinex 600 mg PO BID
2.</t>
  </si>
  <si>
    <t>4309-medication-history-0-1</t>
  </si>
  <si>
    <t>ASA 81 mg PO qAM
3.</t>
  </si>
  <si>
    <t>4309-medication-history-0-2</t>
  </si>
  <si>
    <t>Renal Caps PO qAM
4.</t>
  </si>
  <si>
    <t>4309-medication-history-0-3</t>
  </si>
  <si>
    <t>Trazodone 50 mg PO qHS
5.</t>
  </si>
  <si>
    <t>4309-medication-history-0-4</t>
  </si>
  <si>
    <t>Clonazepam 0.5 mg PO before dialysis and qHS
6.</t>
  </si>
  <si>
    <t>4309-medication-history-0-5</t>
  </si>
  <si>
    <t>Midodrine 5 mg PO before dialysis
7.</t>
  </si>
  <si>
    <t>4309-medication-history-0-6</t>
  </si>
  <si>
    <t>Albuterol 2.5 mg ?</t>
  </si>
  <si>
    <t>4309-medication-history-0-7</t>
  </si>
  <si>
    <t>INH 2x/day
8.</t>
  </si>
  <si>
    <t>4309-medication-history-0-8</t>
  </si>
  <si>
    <t>Align PO qD
9.</t>
  </si>
  <si>
    <t>4309-medication-history-0-9</t>
  </si>
  <si>
    <t>Levemir insulin
10.</t>
  </si>
  <si>
    <t>4309-medication-history-0-10</t>
  </si>
  <si>
    <t>Clobetasol propionate ointment
11.</t>
  </si>
  <si>
    <t>4309-medication-history-0-11</t>
  </si>
  <si>
    <t>Pravastatin 40 mg PO qHS
12.</t>
  </si>
  <si>
    <t>4309-medication-history-0-12</t>
  </si>
  <si>
    <t>Isosorbide 60 mg PO BID
13.</t>
  </si>
  <si>
    <t>4309-medication-history-0-13</t>
  </si>
  <si>
    <t>Ranexa 1000 mg PO qAM
14.</t>
  </si>
  <si>
    <t>4309-medication-history-0-14</t>
  </si>
  <si>
    <t>Nitrostat prn chest pain
15.</t>
  </si>
  <si>
    <t>4309-medication-history-0-15</t>
  </si>
  <si>
    <t>Symbicort 4.5 mg
16.</t>
  </si>
  <si>
    <t>4309-medication-history-0-16</t>
  </si>
  <si>
    <t>Diphen/atropine 2-3x/day (per patient)</t>
  </si>
  <si>
    <t>4309-discharge-medications-0-0</t>
  </si>
  <si>
    <t>n/a pt e</t>
  </si>
  <si>
    <t>4309-discharge-disposition-0-0</t>
  </si>
  <si>
    <t>E</t>
  </si>
  <si>
    <t>4309-discharge-diagnosis-0-0</t>
  </si>
  <si>
    <t>pt e</t>
  </si>
  <si>
    <t>4309-discharge-condition-0-0</t>
  </si>
  <si>
    <t>4309-discharge-instructions-0-0</t>
  </si>
  <si>
    <t>4309-discharge-instructions-1-0</t>
  </si>
  <si>
    <t>64146-patient-test-information-0-0</t>
  </si>
  <si>
    <t>Indication: Chest pain.</t>
  </si>
  <si>
    <t>64146-patient-test-information-0-1</t>
  </si>
  <si>
    <t>64146-patient-test-information-0-2</t>
  </si>
  <si>
    <t>ACS.</t>
  </si>
  <si>
    <t>64146-patient-test-information-0-3</t>
  </si>
  <si>
    <t>Height: (in) 68
Weight (lb): 177
BSA (m2): 1.94 m2
BP (mm Hg): 92/45
HR (bpm): 76
Status: Inpatient
Date/Time: [**2167-1-21**] at 10:31
Test: Portable TTE (Complete)
Doppler: Full Doppler and color Doppler
Contrast: None
Technical Quality: A</t>
  </si>
  <si>
    <t>64146-findings-0-0</t>
  </si>
  <si>
    <t>This study was compared to the prior study of [**2166-9-12**].</t>
  </si>
  <si>
    <t>64146-findings-1-0</t>
  </si>
  <si>
    <t xml:space="preserve">
LEFT ATRIUM: Mild LA enlargement.</t>
  </si>
  <si>
    <t>64146-findings-2-0</t>
  </si>
  <si>
    <t xml:space="preserve">
RIGHT ATRIUM/INTERATRIAL SEPTUM: Normal RA size.</t>
  </si>
  <si>
    <t>64146-findings-3-0</t>
  </si>
  <si>
    <t>64146-findings-3-1</t>
  </si>
  <si>
    <t>Moderately dilated LV cavity.</t>
  </si>
  <si>
    <t>64146-findings-3-2</t>
  </si>
  <si>
    <t xml:space="preserve">
Moderate regional LV systolic dysfunction.</t>
  </si>
  <si>
    <t>64146-findings-3-3</t>
  </si>
  <si>
    <t>Mild resting LVOT gradient.</t>
  </si>
  <si>
    <t>64146-findings-4-0</t>
  </si>
  <si>
    <t>.
AORTIC VALVE: ?# aortic valve leaflets. Moderately thickened aortic valve
leaflets. Small vegetation on aortic valve. Mild AS (area 1.2-1.9cm2).
Moderate (2+) AR.
MITRAL VALVE: Mildly thickened mitral val</t>
  </si>
  <si>
    <t>64146-findings-5-0</t>
  </si>
  <si>
    <t xml:space="preserve"> leaflets. No MVP. Mild thickening
of mi</t>
  </si>
  <si>
    <t>64146-findings-5-1</t>
  </si>
  <si>
    <t>Mild global RV free wall hypokinesis.</t>
  </si>
  <si>
    <t>64146-findings-6-0</t>
  </si>
  <si>
    <t>64146-findings-7-0</t>
  </si>
  <si>
    <t xml:space="preserve">
AORTIC VALVE: ?# aortic valve leaflets.</t>
  </si>
  <si>
    <t>64146-findings-7-1</t>
  </si>
  <si>
    <t>64146-findings-7-2</t>
  </si>
  <si>
    <t>Small vegetation on aortic valve.</t>
  </si>
  <si>
    <t>64146-findings-7-3</t>
  </si>
  <si>
    <t>64146-findings-7-4</t>
  </si>
  <si>
    <t xml:space="preserve">
Moderate (2+) AR.</t>
  </si>
  <si>
    <t>64146-findings-8-0</t>
  </si>
  <si>
    <t>64146-findings-8-1</t>
  </si>
  <si>
    <t>64146-findings-8-2</t>
  </si>
  <si>
    <t>Mild thickening
of mitral valve chordae.</t>
  </si>
  <si>
    <t>64146-findings-8-3</t>
  </si>
  <si>
    <t>Moderate (2+) MR.</t>
  </si>
  <si>
    <t>64146-findings-9-0</t>
  </si>
  <si>
    <t>64146-findings-9-1</t>
  </si>
  <si>
    <t>Mild [1+] TR. [Due to
acoustic shadowing, the severity of tricuspid regurgitation may be
significantly UNDERestimated.</t>
  </si>
  <si>
    <t>64146-findings-9-2</t>
  </si>
  <si>
    <t>] Moderate PA systolic hypertension.</t>
  </si>
  <si>
    <t>64146-findings-10-0</t>
  </si>
  <si>
    <t xml:space="preserve">
PULMONIC VALVE/PULMONARY ARTERY: Pulmonic valve not well seen.</t>
  </si>
  <si>
    <t>64146-findings-10-1</t>
  </si>
  <si>
    <t>64146-findings-10-2</t>
  </si>
  <si>
    <t xml:space="preserve">
Significant PR.</t>
  </si>
  <si>
    <t>64146-findings-11-0</t>
  </si>
  <si>
    <t>64146-findings-12-0</t>
  </si>
  <si>
    <t xml:space="preserve">
GENERAL COMMENTS: Left pleural effusion.</t>
  </si>
  <si>
    <t>64146-conclusions-0-0</t>
  </si>
  <si>
    <t>64146-conclusions-0-1</t>
  </si>
  <si>
    <t>64146-conclusions-0-2</t>
  </si>
  <si>
    <t>The left ventricular cavity is moderately dilated.</t>
  </si>
  <si>
    <t>64146-conclusions-0-3</t>
  </si>
  <si>
    <t>There is moderate
regional left ventricular systolic dysfunction with focal hypokinesis of the
basal to apical septum, anterior wall, and distal inferior wall.</t>
  </si>
  <si>
    <t>64146-conclusions-0-4</t>
  </si>
  <si>
    <t>The remaining
segments contract normally (LVEF = 30-35 %).</t>
  </si>
  <si>
    <t>64146-conclusions-0-5</t>
  </si>
  <si>
    <t>There is a mild resting left
ventricular outflow tract obstruction.</t>
  </si>
  <si>
    <t>64146-conclusions-0-6</t>
  </si>
  <si>
    <t>Right ventricular chamber size is
normal.</t>
  </si>
  <si>
    <t>64146-conclusions-0-7</t>
  </si>
  <si>
    <t>with mild global free wall hypokinesis.</t>
  </si>
  <si>
    <t>64146-conclusions-0-8</t>
  </si>
  <si>
    <t>The diameters of aorta at the
sinus, ascending and arch levels are normal.</t>
  </si>
  <si>
    <t>64146-conclusions-0-9</t>
  </si>
  <si>
    <t>The number of aortic valve
leaflets cannot be determined.</t>
  </si>
  <si>
    <t>64146-conclusions-0-10</t>
  </si>
  <si>
    <t>The aortic valve leaflets are moderately
thickened.</t>
  </si>
  <si>
    <t>64146-conclusions-0-11</t>
  </si>
  <si>
    <t>There is a small vegetation on the aortic valve.</t>
  </si>
  <si>
    <t>64146-conclusions-0-12</t>
  </si>
  <si>
    <t>There is mild
aortic valve stenosis (valve area 1.2-1.9cm2).</t>
  </si>
  <si>
    <t>64146-conclusions-0-13</t>
  </si>
  <si>
    <t>Moderate (2+) aortic
regurgitation is seen.</t>
  </si>
  <si>
    <t>64146-conclusions-0-14</t>
  </si>
  <si>
    <t>64146-conclusions-0-15</t>
  </si>
  <si>
    <t>There
is no mitral valve prolapse.</t>
  </si>
  <si>
    <t>64146-conclusions-0-16</t>
  </si>
  <si>
    <t>Moderate (2+) mitral regurgitation is seen.</t>
  </si>
  <si>
    <t>64146-conclusions-0-17</t>
  </si>
  <si>
    <t>There
is moderate pulmonary artery systolic hypertension.</t>
  </si>
  <si>
    <t>64146-conclusions-0-18</t>
  </si>
  <si>
    <t>Significant pulmonic
regurgitation is seen.</t>
  </si>
  <si>
    <t>64146-conclusions-0-19</t>
  </si>
  <si>
    <t>64146-impression-0-0</t>
  </si>
  <si>
    <t>Moderately dilated left ventricle.</t>
  </si>
  <si>
    <t>64146-impression-0-1</t>
  </si>
  <si>
    <t>64146-impression-0-2</t>
  </si>
  <si>
    <t>Probable small vegetation on aortic valve, right
coronary cusp.</t>
  </si>
  <si>
    <t>64146-impression-0-3</t>
  </si>
  <si>
    <t>Moderate aortic regurgitation.</t>
  </si>
  <si>
    <t>64146-impression-0-4</t>
  </si>
  <si>
    <t>64146-impression-0-5</t>
  </si>
  <si>
    <t xml:space="preserve">
At least moderate pulmonary hypertension.</t>
  </si>
  <si>
    <t>64146-impression-0-6</t>
  </si>
  <si>
    <t>64146-impression-1-0</t>
  </si>
  <si>
    <t xml:space="preserve">
Compared with the prior study (images reviewed) of [**2166-9-12**], regional left
ventricular systolic dysfunction is more extensive (distal LAD territory).</t>
  </si>
  <si>
    <t>64146-impression-1-1</t>
  </si>
  <si>
    <t>The
severity of pulmonary hypertension has increased.</t>
  </si>
  <si>
    <t>64146-impression-1-2</t>
  </si>
  <si>
    <t>64146-impression-1-3</t>
  </si>
  <si>
    <t>The aortic valve vegetation appears similar in size.</t>
  </si>
  <si>
    <t>503162-chief-complaint-0-0</t>
  </si>
  <si>
    <t>27M with DM admitted with MSSA PNA c/b klebsiella VAP,
   ARF requiring HD, septic shock.</t>
  </si>
  <si>
    <t>503162-chief-complaint-0-1</t>
  </si>
  <si>
    <t>Found to have WCT then narrow complex
   tachcyardia yesterday during HD that resolved with adenosine, likely
   SVT with aberrancy.</t>
  </si>
  <si>
    <t>503162-24-hour-events-0-0</t>
  </si>
  <si>
    <t>FEVER - 102.6
F - [**2117-11-1**] 03:00 PM
   -no further episodes of tachycardia since yesterday afternoon
   -started on metoprolol 12.5 [</t>
  </si>
  <si>
    <t>503162-current-medications-0-0</t>
  </si>
  <si>
    <t>Vancomycin - [**2117-10-31**] 12:00 AM
   Cefipime - [**2117-10-31**] 04:00 AM
   Gentamicin - [**2117-11-1**] 03:18 PM
   Meropenem - [**2117-11-1**] 08:00 PM
   Nafcillin - [**2117-11-2**] 06:12 AM
   Infusions:
   Midazolam (Versed) - 3 mg/hour
   Fentanyl - 80 mcg/hour
   Amiodarone - 0.5 mg/min
   Other ICU medications:
   Heparin Sodium (Prophylaxis) - [**2117-11-2**] 12:00 AM
   Famotidine (Pepcid) - [**2117-11-2**] 04:06 AM
   Other medications:
   Metoprolol 12.5mg [**Hospital1 **]
   Changes to medical and family history:
   Review of systems is unchanged from admission except as noted b</t>
  </si>
  <si>
    <t>503162-physical-examination-0-0</t>
  </si>
  <si>
    <t>Gen: intubated, sedated
   CV: s1/s2, rrr, no mrg
   Chest: CTA anteriorly
   Abd: soft, nt/nd +bs
   Ext: no c/c/e</t>
  </si>
  <si>
    <t>503162-labs-imaging-0-0</t>
  </si>
  <si>
    <t>261 K/uL
   8.8 g/dL
   172 mg/dL
   8.8 mg/dL
   24 mEq/L
   4.5 mEq/L
   84 mg/dL
   97 mEq/L
   137 mEq/L
   26.5 %
   9.5 K/uL
        [image002.jpg]
                            [**2117-11-1**]  03:49 AM
                            [**2117-11-1**]  03:58 AM
                            [**2117-11-1**]  11:13 AM
                            [**2117-11-1**]  01:50 PM
                            [**2117-11-1**]  01:55 PM
                            [**2117-11-1**]  01:58 PM
                             [**2117-11-2**]  02:16 AM
                             [**2117-11-2**]  02:33 AM
                             [**2117-11-2**]  05:09 AM
                             [**2117-11-2**]  06:15 AM
   WBC
   10.3
   11.2
   9.5
   Hct
   30.0
   27.1
   26.5
   Plt
   292
   286
   261
   Cr
   9.4
   7.5
   8.8
   TCO2
   26
   25
   29
   28
   29
   28
   Glucose
   199
   191
   172
   Other labs: PT / PTT / INR:15.0/33.5/1.3, CK / CKMB /
   Troponin-T:550/2/0.21, ALT / AST:50/85, Alk Phos / T Bili:246/2.4,
   Amylase / Lipase:57/, Differential-Neuts:82.0 %, Band:1.0 %, Lymph:10.0
   %, Mono:6.0 %, Eos:1.0 %, Lactic Acid:1.4 mmol/L, Albumin:1.9 g/dL,
   LDH:321 IU/L, Ca++:7.7 mg/dL, Mg++:2.2 mg/dL, PO4:5.9 mg/d</t>
  </si>
  <si>
    <t>503162-assessment-and-plan-0-0</t>
  </si>
  <si>
    <t>37M with DM in MICU with MSSA and Klebsiella PNA and ARF requiring HD,
   who had WCT and narrow-complex tachycardia during HD yesterday that
   appears most consistent with SVT with aberrancy (AVRNT vs AVRT).</t>
  </si>
  <si>
    <t>503162-assessment-and-plan-0-1</t>
  </si>
  <si>
    <t>No
   further episodes of tachycardia since yesterday and has tolerated
   metoprolol.</t>
  </si>
  <si>
    <t>503162-assessment-and-plan-0-2</t>
  </si>
  <si>
    <t xml:space="preserve">
   -Continue metoprolol, would uptitrate as tolerated by blood pressure
   -No need for further amiodarone once 24hr drip has been completed
   -We will sign off for now but please call with any questions.</t>
  </si>
  <si>
    <t>503162-assessment-and-plan-0-3</t>
  </si>
  <si>
    <t>Thank you
   for this consult.</t>
  </si>
  <si>
    <t>37337-allergies-0-0</t>
  </si>
  <si>
    <t>37337-chief-complaint-0-0</t>
  </si>
  <si>
    <t>Sepsis, respiratory failure, p</t>
  </si>
  <si>
    <t>37337-major-surgical-or-invasive-procedure-0-0</t>
  </si>
  <si>
    <t>intubation and mechanical ventilation
electrical and chemical cardioversion
placement of left subclavian central venous HD catheter
placement of right IJ venous catheter
placement of right radial arterial line
h</t>
  </si>
  <si>
    <t>37337-history-of-present-illness-0-0</t>
  </si>
  <si>
    <t>Mr. [**Known lastname 83984**] is 37 year old man, with a history of DM, who
presented to [**Hospital6 **] on [**2117-10-21**] after a
syncopal episode.</t>
  </si>
  <si>
    <t>37337-history-of-present-illness-0-1</t>
  </si>
  <si>
    <t>There was a question of a seizure in the field
prior to arrival.</t>
  </si>
  <si>
    <t>37337-history-of-present-illness-0-2</t>
  </si>
  <si>
    <t>Per his family he had a upper respiratory
illness (starting [**10-12**]) with sneezing, cough  for 7-10 days
with decreased PO intake and general malasie prior to
presentation.</t>
  </si>
  <si>
    <t>37337-history-of-present-illness-0-3</t>
  </si>
  <si>
    <t>He was in shock on admission, was intubated and
started on levophed and Tamiflu, Levaquin, and Vancomycin.</t>
  </si>
  <si>
    <t>37337-history-of-present-illness-0-4</t>
  </si>
  <si>
    <t>H1N1
was originally suspected, however Flu swab has remained
negative.</t>
  </si>
  <si>
    <t>37337-history-of-present-illness-0-5</t>
  </si>
  <si>
    <t>He developed MSSA in the blood cultures and his
antibiotics were narrowed to naficillin.</t>
  </si>
  <si>
    <t>37337-history-of-present-illness-0-6</t>
  </si>
  <si>
    <t>He remained on
vasopressors until [**10-24**].</t>
  </si>
  <si>
    <t>37337-history-of-present-illness-1-0</t>
  </si>
  <si>
    <t xml:space="preserve">
His course was complicated by ARF with Cr of 1.9 worsening to
7.2 thought to be [**1-4**] ATN and requiring HD for hyperkalemia to
6.</t>
  </si>
  <si>
    <t>37337-history-of-present-illness-1-1</t>
  </si>
  <si>
    <t>He had a HD line placed on [**10-24**].</t>
  </si>
  <si>
    <t>37337-history-of-present-illness-1-2</t>
  </si>
  <si>
    <t xml:space="preserve"> He also had intermittant
A.</t>
  </si>
  <si>
    <t>37337-history-of-present-illness-1-3</t>
  </si>
  <si>
    <t>fib treated with Cardizem as well as a wide complex
tachycardia.</t>
  </si>
  <si>
    <t>37337-history-of-present-illness-1-4</t>
  </si>
  <si>
    <t>Echo showed a preserved EF without evidence of
vegitation.</t>
  </si>
  <si>
    <t>37337-history-of-present-illness-2-0</t>
  </si>
  <si>
    <t xml:space="preserve">
On transport on [**2117-10-27**] he was paralysized and given boluses of
versed and fentanyl.</t>
  </si>
  <si>
    <t>37337-history-of-present-illness-2-1</t>
  </si>
  <si>
    <t>HR remained tachycardic in the 140s.</t>
  </si>
  <si>
    <t>37337-past-medical-history-0-0</t>
  </si>
  <si>
    <t>DM - diet controlled
H</t>
  </si>
  <si>
    <t>37337-social-history-0-0</t>
  </si>
  <si>
    <t>Works as a chef.</t>
  </si>
  <si>
    <t>37337-social-history-0-1</t>
  </si>
  <si>
    <t>Lives in [**Location 9583**] with parents.</t>
  </si>
  <si>
    <t>37337-social-history-0-2</t>
  </si>
  <si>
    <t>No tobacco
or illicts.</t>
  </si>
  <si>
    <t>37337-social-history-0-3</t>
  </si>
  <si>
    <t>Heavy drinker.</t>
  </si>
  <si>
    <t>37337-family-history-0-0</t>
  </si>
  <si>
    <t>DMII.</t>
  </si>
  <si>
    <t>37337-family-history-0-1</t>
  </si>
  <si>
    <t>Father CAD.</t>
  </si>
  <si>
    <t>37337-family-history-0-2</t>
  </si>
  <si>
    <t>Mom RA, CVA, DM.</t>
  </si>
  <si>
    <t>37337-family-history-0-3</t>
  </si>
  <si>
    <t>Two brothers with CAD.</t>
  </si>
  <si>
    <t>37337-physical-examination-0-0</t>
  </si>
  <si>
    <t>On Admission:
Vitals T 100.6 P 147 BP152/90 O2 sat.</t>
  </si>
  <si>
    <t>37337-physical-examination-0-1</t>
  </si>
  <si>
    <t>92% on CMV
General: Alert, oriented, no acute distress
HEENT: Sclera anicteric, MMM,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t>
  </si>
  <si>
    <t>37337-labs-imaging-0-0</t>
  </si>
  <si>
    <t xml:space="preserve">
valve. The mitral valve appears structurally normal with trivial
mitral regurgitation. There is no mitral valve prolapse. No mass
or vegetation is seen on the mitral valve. The pulmonary artery
systolic pressure could not be determined. No vegetation/mass is
seen on the pulmonic valve. There is no pericardial effusion.
.
CHEST (PORTABLE AP) Study Date of [**2117-11-16**]
FINDINGS: In comparison with study of [**11-15**], there is little
overall change in the appearance of the cardiomediastinal
silhouette with extensive right paratracheal thickening.
Extensive left lung consolidation has somewhat decreased since
the previous study</t>
  </si>
  <si>
    <t>37337-labs-imaging-1-0</t>
  </si>
  <si>
    <t>lso, the area of opacification in the right
lung has improved.
.
MR HEAD W/O CONTRAST Study Date of [**2117-11-22**</t>
  </si>
  <si>
    <t>37337-labs-imaging-2-0</t>
  </si>
  <si>
    <t>MPRESSION:
1. Extensive confluent T2 and FLAIR hyperintensities throughout
the ce</t>
  </si>
  <si>
    <t>37337-labs-imaging-3-0</t>
  </si>
  <si>
    <t>semiovale and peritrigonal regions without
restricted diffusion. The findin</t>
  </si>
  <si>
    <t>37337-labs-imaging-3-1</t>
  </si>
  <si>
    <t>Incomplete right bundle-branch block.</t>
  </si>
  <si>
    <t>37337-labs-imaging-3-2</t>
  </si>
  <si>
    <t xml:space="preserve">
Non-specific
ST-T wave changes.</t>
  </si>
  <si>
    <t>37337-labs-imaging-3-3</t>
  </si>
  <si>
    <t>The P-R interval is 160 milliseconds.</t>
  </si>
  <si>
    <t>37337-labs-imaging-3-4</t>
  </si>
  <si>
    <t>clude infectious or HIV-related processes
such as PML or viral encepha</t>
  </si>
  <si>
    <t>37337-labs-imaging-4-0</t>
  </si>
  <si>
    <t xml:space="preserve">
ECG Study Date of [**2117-11-4**]  3:16:42 AM
Supraventricular tachycardia most likely representing
atrio-ventricular nodal reentrant tachycardia but cannot exclude
orthodromic atrio-ventricular reciprocating tachycardia.</t>
  </si>
  <si>
    <t>37337-labs-imaging-4-1</t>
  </si>
  <si>
    <t>he patient's history and followup examination
with gadolinium admi</t>
  </si>
  <si>
    <t>37337-labs-imaging-5-0</t>
  </si>
  <si>
    <t xml:space="preserve">
CT HEAD W/O CONTRAST Study Date of [**2117-10-28**]
IMPRESSION: No acute intracranial process.</t>
  </si>
  <si>
    <t>37337-labs-imaging-5-1</t>
  </si>
  <si>
    <t>Evaluation for
infection is
limited on CT.</t>
  </si>
  <si>
    <t>37337-labs-imaging-5-2</t>
  </si>
  <si>
    <t>Sinus disease.</t>
  </si>
  <si>
    <t>37337-labs-imaging-5-3</t>
  </si>
  <si>
    <t>e related to recent
intubation</t>
  </si>
  <si>
    <t>37337-labs-imaging-6-0</t>
  </si>
  <si>
    <t xml:space="preserve"> HEAD W/ CON</t>
  </si>
  <si>
    <t>37337-labs-imaging-7-0</t>
  </si>
  <si>
    <t xml:space="preserve">
CT TORSO W/O CONTRAST Study Date of [**2117-10-28**]
IMPRESSION:
1.</t>
  </si>
  <si>
    <t>37337-labs-imaging-7-1</t>
  </si>
  <si>
    <t>Evaluation limited due to lack of IV contrast and streak
artifact from
overlying arms.</t>
  </si>
  <si>
    <t>37337-labs-imaging-7-2</t>
  </si>
  <si>
    <t>Multifocal pneumonia as seen on recent chest
x-ray.</t>
  </si>
  <si>
    <t>37337-labs-imaging-7-3</t>
  </si>
  <si>
    <t>Fatty liver.</t>
  </si>
  <si>
    <t>37337-labs-imaging-7-4</t>
  </si>
  <si>
    <t>Otherwise, non-contrast appearance of the
abdomen and pelvis is unremarkable except for small amount of
free fluid.</t>
  </si>
  <si>
    <t>37337-labs-imaging-8-0</t>
  </si>
  <si>
    <t xml:space="preserve">
ECHOCARDIOGRAPHY [**2117-11-1**]
The left atrium is normal in size.</t>
  </si>
  <si>
    <t>37337-labs-imaging-8-1</t>
  </si>
  <si>
    <t>No atrial septal defect is
seen by 2D or color Doppler.</t>
  </si>
  <si>
    <t>37337-labs-imaging-8-2</t>
  </si>
  <si>
    <t>Left ventricular wall thickness,
cavity size and regional/global systolic function are normal
(LVEF &gt;55%).</t>
  </si>
  <si>
    <t>37337-labs-imaging-8-3</t>
  </si>
  <si>
    <t>There is no ventricular septal defect.</t>
  </si>
  <si>
    <t>37337-labs-imaging-8-4</t>
  </si>
  <si>
    <t>The right
ventricular cavity is mildly dilated with borderline normal free
wall function.</t>
  </si>
  <si>
    <t>37337-labs-imaging-8-5</t>
  </si>
  <si>
    <t>The diameters of aorta at the sinus, ascending
and arch levels are normal.</t>
  </si>
  <si>
    <t>37337-labs-imaging-8-6</t>
  </si>
  <si>
    <t>The aortic valve leaflets (3) appear
structurally normal with good leaflet excursion and no aortic
regurgitation.</t>
  </si>
  <si>
    <t>37337-labs-imaging-8-7</t>
  </si>
  <si>
    <t>No masses or vegetations are seen on the aortic
valve.</t>
  </si>
  <si>
    <t>37337-labs-imaging-8-8</t>
  </si>
  <si>
    <t>The mitral valve appears structurally normal with trivial
mitral regurgitation.</t>
  </si>
  <si>
    <t>37337-labs-imaging-8-9</t>
  </si>
  <si>
    <t>37337-labs-imaging-8-10</t>
  </si>
  <si>
    <t>No mass
or vegetation is seen on the mitral valve.</t>
  </si>
  <si>
    <t>37337-labs-imaging-8-11</t>
  </si>
  <si>
    <t>The pulmonary artery
systolic pressure could not be determined.</t>
  </si>
  <si>
    <t>37337-labs-imaging-8-12</t>
  </si>
  <si>
    <t>No vegetation/mass is
seen on the pulmonic valve.</t>
  </si>
  <si>
    <t>37337-labs-imaging-8-13</t>
  </si>
  <si>
    <t>37337-labs-imaging-9-0</t>
  </si>
  <si>
    <t xml:space="preserve">
CHEST (PORTABLE AP) Study Date of [**2117-11-16**]
FINDINGS: In comparison with study of [**11-15**], there is little
overall change in the appearance of the cardiomediastinal
silhouette with extensive right paratracheal thickening.</t>
  </si>
  <si>
    <t>37337-labs-imaging-9-1</t>
  </si>
  <si>
    <t xml:space="preserve">
Extensive left lung consolidation has somewhat decreased since
the previous study.</t>
  </si>
  <si>
    <t>37337-labs-imaging-9-2</t>
  </si>
  <si>
    <t>Also, the area of opacification in the right
lung has improved.</t>
  </si>
  <si>
    <t>37337-labs-imaging-10-0</t>
  </si>
  <si>
    <t xml:space="preserve">
MR HEAD W/O CONTRAST Study Date of [**2117-11-22**]
IMPRESSION:
1.</t>
  </si>
  <si>
    <t>37337-labs-imaging-10-1</t>
  </si>
  <si>
    <t>Extensive confluent T2 and FLAIR hyperintensities throughout
the centrum semiovale and peritrigonal regions without
restricted diffusion.</t>
  </si>
  <si>
    <t>37337-labs-imaging-10-2</t>
  </si>
  <si>
    <t>The findings most likely represent
sequelae of a systemic metabolic/hypoxic insult with additional
considerations to include infectious or HIV-related processes
such as PML or viral encephalopathy.</t>
  </si>
  <si>
    <t>37337-labs-imaging-10-3</t>
  </si>
  <si>
    <t>Given the marked
hypotension 3 weeks prior, the findings could represent evolving
watershed infarcts with pseudonormalization of the ADC map or
even osmotic demyelination in the appropriate context.</t>
  </si>
  <si>
    <t>37337-labs-imaging-10-4</t>
  </si>
  <si>
    <t xml:space="preserve">
Correlation with the patient's history and followup examination
with gadolinium administration is recommended in further
evaluation.</t>
  </si>
  <si>
    <t>37337-labs-imaging-10-5</t>
  </si>
  <si>
    <t>Bilateral mastoid air cell effusions as well as maxillary and
sphenoid
sinus disease, which may in part be related to recent
intubation.</t>
  </si>
  <si>
    <t>37337-labs-imaging-11-0</t>
  </si>
  <si>
    <t xml:space="preserve">
MR HEAD W/ CONTRAST Study Date of [**2117-11-22**]
IMPRESSION: Patchy foci of enhancement throughout the signal
abnormality
within the centrum semiovale with primary differential
considerations again including metabolic/hypoxic processes.</t>
  </si>
  <si>
    <t>37337-labs-imaging-11-1</t>
  </si>
  <si>
    <t>The
findings could relate to subacute infarcts relating to prior
watershed event or osmotic demyelination.</t>
  </si>
  <si>
    <t>37337-labs-imaging-11-2</t>
  </si>
  <si>
    <t>Correlation with CSF
sampling is recommended.</t>
  </si>
  <si>
    <t>37337-labs-imaging-12-0</t>
  </si>
  <si>
    <t xml:space="preserve">
EMG Study Date of [**2117-11-24**]
Clinical Interpretation: Complex abnormal study.</t>
  </si>
  <si>
    <t>37337-labs-imaging-12-1</t>
  </si>
  <si>
    <t>There is
electrophysiologic evidence for a mild sensorimotor neuropathy
with demyelinating and axonal features.</t>
  </si>
  <si>
    <t>37337-labs-imaging-12-2</t>
  </si>
  <si>
    <t>Although this can be
seen in diabetes, the EMG reveals ongoing denervation and
chronic reinnervation in the upper and lower extremities,
suggesting a subacute process.</t>
  </si>
  <si>
    <t>37337-labs-imaging-12-3</t>
  </si>
  <si>
    <t>The differential diagnosis
includes critical illness polyneuropathy and axonal variant of
[**First Name9 (NamePattern2) 7816**] [**Location (un) **] syndrome.</t>
  </si>
  <si>
    <t>37337-labs-imaging-12-4</t>
  </si>
  <si>
    <t>An incidental moderate median
neuropathy at the left wrist is noted (as in carpal tunnel
syndrome).</t>
  </si>
  <si>
    <t>37337-labs-imaging-13-0</t>
  </si>
  <si>
    <t>37337-labs-imaging-14-0</t>
  </si>
  <si>
    <t>N------------  =&gt;16 R
MEROPENEM-------------     1 S
PIPERACI</t>
  </si>
  <si>
    <t>37337-labs-imaging-15-0</t>
  </si>
  <si>
    <t xml:space="preserve">CIN------------  =&gt;16 R
</t>
  </si>
  <si>
    <t>37337-labs-imaging-16-0</t>
  </si>
  <si>
    <t>37337-labs-imaging-16-1</t>
  </si>
  <si>
    <t xml:space="preserve">
         WARNING! This isolate is an extended-spectrum
beta-lactamase
         (ESBL) producer and should be considered resistant to
all
         penicillins, cephalosporins, and aztreonam.</t>
  </si>
  <si>
    <t>37337-labs-imaging-16-2</t>
  </si>
  <si>
    <t>Consider
Infectious
         Disease consultation for serious infections caused by
         ESBL-producing species.</t>
  </si>
  <si>
    <t>37337-labs-imaging-16-3</t>
  </si>
  <si>
    <t xml:space="preserve"> FINAL SENSITIVITIES.</t>
  </si>
  <si>
    <t>37337-labs-imaging-16-4</t>
  </si>
  <si>
    <t xml:space="preserve">
         sensitivity testing performed by Microscan.</t>
  </si>
  <si>
    <t>37337-labs-imaging-16-5</t>
  </si>
  <si>
    <t xml:space="preserve">
         MEROPENEM = SENSITIVE ( &lt;=1 MCG/ML ).</t>
  </si>
  <si>
    <t>37337-labs-imaging-16-6</t>
  </si>
  <si>
    <t xml:space="preserve">
         CEFEPIME = RESISTANT ( &gt;=16 MCG/ML ).</t>
  </si>
  <si>
    <t>37337-labs-imaging-16-7</t>
  </si>
  <si>
    <t xml:space="preserve">
         UNASYN (AMPICILLIN/SULBACTAM) = RESISTANT ( &gt;=16 MCG/ML
).</t>
  </si>
  <si>
    <t>37337-labs-imaging-17-0</t>
  </si>
  <si>
    <t>37337-labs-imaging-18-0</t>
  </si>
  <si>
    <t>37337-labs-imaging-19-0</t>
  </si>
  <si>
    <t>37337-labs-imaging-19-1</t>
  </si>
  <si>
    <t xml:space="preserve">
      GRAM NEGATIVE ROD(S).</t>
  </si>
  <si>
    <t>37337-labs-imaging-20-0</t>
  </si>
  <si>
    <t xml:space="preserve">
   Aerobic Bottle Gram Stain (Final [**2117-11-1**]):    GRAM NEGATIVE
ROD(S).</t>
  </si>
  <si>
    <t>37337-labs-imaging-21-0</t>
  </si>
  <si>
    <t>37337-labs-imaging-22-0</t>
  </si>
  <si>
    <t>37337-labs-imaging-23-0</t>
  </si>
  <si>
    <t>37337-labs-imaging-24-0</t>
  </si>
  <si>
    <t>37337-labs-imaging-24-1</t>
  </si>
  <si>
    <t xml:space="preserve">
      2+   (1-5 per 1000X FIELD):   GRAM NEGATIVE ROD(S).</t>
  </si>
  <si>
    <t>37337-labs-imaging-25-0</t>
  </si>
  <si>
    <t xml:space="preserve">
   RESPIRATORY CULTURE (Final [**2117-11-3**]):
      Commensal Respiratory Flora Absent.</t>
  </si>
  <si>
    <t>37337-labs-imaging-25-1</t>
  </si>
  <si>
    <t xml:space="preserve">
      KLEBSIELLA PNEUMONIAE.</t>
  </si>
  <si>
    <t>37337-labs-imaging-25-2</t>
  </si>
  <si>
    <t xml:space="preserve">   MODERATE GROWTH.</t>
  </si>
  <si>
    <t>37337-labs-imaging-25-3</t>
  </si>
  <si>
    <t xml:space="preserve">
         IDENTIFICATION AND SENSITIVITIES PERFORMED ON CULTURE #
286-2926K
         [**2117-10-28**].</t>
  </si>
  <si>
    <t>37337-labs-imaging-25-4</t>
  </si>
  <si>
    <t xml:space="preserve">
      PSEUDOMONAS AERUGINOSA.</t>
  </si>
  <si>
    <t>37337-labs-imaging-25-5</t>
  </si>
  <si>
    <t xml:space="preserve">   SPARSE GROWTH.</t>
  </si>
  <si>
    <t>37337-labs-imaging-26-0</t>
  </si>
  <si>
    <t>37337-labs-imaging-27-0</t>
  </si>
  <si>
    <t>37337-hospital-course-0-0</t>
  </si>
  <si>
    <t>This is a 37 y/o male with [**Hospital **] transfered from an OSH after
presenting in septic shock with Staph pneumonia / bacteremia
with a course complicated by ARF and tachycardia.</t>
  </si>
  <si>
    <t>37337-hospital-course-0-1</t>
  </si>
  <si>
    <t>He grew MSSA
in blood/sputum (at the OSH), Klebsiella in his blood and
klebsiella and pseudomonas in sputum at [**Hospital1 18**].</t>
  </si>
  <si>
    <t>37337-hospital-course-1-0</t>
  </si>
  <si>
    <t xml:space="preserve">
# Severe septic shock: The patient had known bacteremia,
pneumonia and sinus disease by CT scan at admission to OSH.</t>
  </si>
  <si>
    <t>37337-hospital-course-1-1</t>
  </si>
  <si>
    <t xml:space="preserve">
These findings, in addition to elevated mixed venous O2Sat of
84% and his mottled appearance suggested a septic etiology.</t>
  </si>
  <si>
    <t>37337-hospital-course-1-2</t>
  </si>
  <si>
    <t xml:space="preserve">
Cardiogenic shock was deemed unlikely, given the pt's robust BP
despite tachycardia to the 170s, high mixed venous O2sat, and
preserved LVEF on ECHO.</t>
  </si>
  <si>
    <t>37337-hospital-course-2-0</t>
  </si>
  <si>
    <t xml:space="preserve">
# Community Acquired Pneumonia: At presentation, the patient's
blood pressure was stable, off pressors.</t>
  </si>
  <si>
    <t>37337-hospital-course-2-1</t>
  </si>
  <si>
    <t>Culture data was
positive for MSSA in the sputum and blood early in OSH course.</t>
  </si>
  <si>
    <t>37337-hospital-course-2-2</t>
  </si>
  <si>
    <t xml:space="preserve">
CT scan showed a multi-focal pneumonia, with L &gt; R infiltrates,
but no sign of empyema.</t>
  </si>
  <si>
    <t>37337-hospital-course-2-3</t>
  </si>
  <si>
    <t>TTE showed no vegetations.</t>
  </si>
  <si>
    <t>37337-hospital-course-2-4</t>
  </si>
  <si>
    <t>H1N1 was a
consideration, and the pt was initially treated for flu with
Tamiflu; however, after negative influenza DFA x 2 at the OSH
and another negative DFA at [**Hospital1 18**], Tamiflu was stopped.</t>
  </si>
  <si>
    <t>37337-hospital-course-2-5</t>
  </si>
  <si>
    <t>Patient
completed a 14 day course of Meropenem (inititially
nafcillin/meropenem/gentamicin narrowed to Meropenem).</t>
  </si>
  <si>
    <t>37337-hospital-course-3-0</t>
  </si>
  <si>
    <t xml:space="preserve">
# Ventilator-Associated Pneumonia:  After intubation at the OSH,
his sputum cultures at BIDCMC grew Klebsiella pneumoniae and
pseudomonas in the sputum, and Klebsiella in the blood.</t>
  </si>
  <si>
    <t>37337-hospital-course-3-1</t>
  </si>
  <si>
    <t xml:space="preserve"> Per ID
consult, patient's antiobitic regimen was changed from
nafcillin/meropenem/gent to: solely Meropenem--with a course
from [**11-5**] (the last negative blood culture) to [**11-19**], for a
total of 14 days.</t>
  </si>
  <si>
    <t>37337-hospital-course-4-0</t>
  </si>
  <si>
    <t xml:space="preserve">
# Klebsiella Bacteremia:  Patient was treated with a 14 day
course of meropenam.</t>
  </si>
  <si>
    <t>37337-hospital-course-5-0</t>
  </si>
  <si>
    <t xml:space="preserve">
# Coagulase-negative Staphylococcus Bacteremia:  This was felt
to be line-related.</t>
  </si>
  <si>
    <t>37337-hospital-course-5-1</t>
  </si>
  <si>
    <t xml:space="preserve"> Pt was treated with 7 day course of
Vancomycin.</t>
  </si>
  <si>
    <t>37337-hospital-course-6-0</t>
  </si>
  <si>
    <t xml:space="preserve">
# Acute Respiratory Distress: The patient had bilateral
infiltrates on CXR and CT chest and high oxygen requirement.</t>
  </si>
  <si>
    <t>37337-hospital-course-6-1</t>
  </si>
  <si>
    <t xml:space="preserve"> He
had a long course of intubation (18 days), extubated on [**11-10**]
following precedex treatment.</t>
  </si>
  <si>
    <t>37337-hospital-course-6-2</t>
  </si>
  <si>
    <t>At discharge, the patient was
satting well on room air.</t>
  </si>
  <si>
    <t>37337-hospital-course-7-0</t>
  </si>
  <si>
    <t xml:space="preserve">
# Acute renal failure from Acute Tubular Necrosis: Due to
hyperkalemia in the setting of ARF, the pt required HD, and
renal consult service followed him closely.</t>
  </si>
  <si>
    <t>37337-hospital-course-7-1</t>
  </si>
  <si>
    <t>Patient was
oliguric, then had post-ATN diuresis, and renal function
improved considerably, at discharge his Cr was back to baseline.</t>
  </si>
  <si>
    <t>37337-hospital-course-7-2</t>
  </si>
  <si>
    <t xml:space="preserve">
 However, the patient had persistent hypomagnesemia on discharge
requiring daily supplementation, likely [**1-4**] magnesium wasting
from recovering ARF/ATN.</t>
  </si>
  <si>
    <t>37337-hospital-course-7-3</t>
  </si>
  <si>
    <t xml:space="preserve"> He was discharged on magnesium po
supplementation with instructions to f/u labs in rehab.</t>
  </si>
  <si>
    <t>37337-hospital-course-8-0</t>
  </si>
  <si>
    <t xml:space="preserve">
# Mental depression:  After extubation, pt was found to have
mental slowing with word-finding difficulties and inattention.</t>
  </si>
  <si>
    <t>37337-hospital-course-8-1</t>
  </si>
  <si>
    <t xml:space="preserve">
Both improved steadily during the hospitalization.</t>
  </si>
  <si>
    <t>37337-hospital-course-8-2</t>
  </si>
  <si>
    <t xml:space="preserve"> This is most
likely a hypoxic process given the extent of ventilatory support
needed.</t>
  </si>
  <si>
    <t>37337-hospital-course-8-3</t>
  </si>
  <si>
    <t xml:space="preserve"> MRI with and without contrast showed patchy foci of
enhancement throughout the signal abnormality within the centrum
semiovale with primary differential including metabolic/hypoxic
processes, subacute infarcts relating to prior watershed event,
or osmotic demyelination.</t>
  </si>
  <si>
    <t>37337-hospital-course-8-4</t>
  </si>
  <si>
    <t xml:space="preserve"> Neurology suggested that this may be
a congenital defect given the symmetry on MRI; he has no prior
MRIs.</t>
  </si>
  <si>
    <t>37337-hospital-course-8-5</t>
  </si>
  <si>
    <t xml:space="preserve"> LP showed no evidence of bacterial infection but was
notable for elevated protein, mildly low glucose, and only 4
WBCs.</t>
  </si>
  <si>
    <t>37337-hospital-course-8-6</t>
  </si>
  <si>
    <t xml:space="preserve"> This can be c/w but less likely aseptic meningitis, CSF
cultures pending at time of discharge.</t>
  </si>
  <si>
    <t>37337-hospital-course-8-7</t>
  </si>
  <si>
    <t xml:space="preserve"> Patient is scheduled for
neurology f/u as outpt with Dr.</t>
  </si>
  <si>
    <t>37337-hospital-course-8-8</t>
  </si>
  <si>
    <t>[**First Name8 (NamePattern2) **] [**Last Name (NamePattern1) 724**].</t>
  </si>
  <si>
    <t>37337-hospital-course-9-0</t>
  </si>
  <si>
    <t xml:space="preserve">
# Critical illness myopathy:  Patient developed myopathy during
his ICU stay.</t>
  </si>
  <si>
    <t>37337-hospital-course-9-1</t>
  </si>
  <si>
    <t xml:space="preserve"> This is most likely critical illness myopathy
given greater proximal than distal muscle weakness, prolonged
failure to wean from mechanical ventilation, and initially
elevated CK.</t>
  </si>
  <si>
    <t>37337-hospital-course-9-2</t>
  </si>
  <si>
    <t xml:space="preserve"> Given elevated protein in CSF and viral prodrome,
GBS is a consideration but less likely.</t>
  </si>
  <si>
    <t>37337-hospital-course-9-3</t>
  </si>
  <si>
    <t xml:space="preserve"> EMG showed mild
sensorimotor neuropathy with demyelinating and axonal features
with differential diagnosis including critical
illness polyneuropathy and axonal variant of [**First Name9 (NamePattern2) 7816**] [**Location (un) **]
syndrome.</t>
  </si>
  <si>
    <t>37337-hospital-course-9-4</t>
  </si>
  <si>
    <t xml:space="preserve"> Neurology felt his history was more consistent with
ICU myopathy.</t>
  </si>
  <si>
    <t>37337-hospital-course-9-5</t>
  </si>
  <si>
    <t xml:space="preserve"> He was followed by physical therapy and by
discharge, his proximal muscles were 4+/5 in strength.</t>
  </si>
  <si>
    <t>37337-hospital-course-10-0</t>
  </si>
  <si>
    <t xml:space="preserve">
# Magnesium deficiency:  Pt was noted to be persistently
hypomagnesiemia despite aggressive repletion.</t>
  </si>
  <si>
    <t>37337-hospital-course-10-1</t>
  </si>
  <si>
    <t xml:space="preserve"> He had no other
electrolyte abnormalities, inc.</t>
  </si>
  <si>
    <t>37337-hospital-course-10-2</t>
  </si>
  <si>
    <t>K, Ca.</t>
  </si>
  <si>
    <t>37337-hospital-course-10-3</t>
  </si>
  <si>
    <t>Urinary Mg excretion was
extremely high at 355 mg/24 hr, likely due to postATN tubular
dysfunction.</t>
  </si>
  <si>
    <t>37337-hospital-course-10-4</t>
  </si>
  <si>
    <t>He was started on po repletion and his Mg will
needed to be followed at rehab.</t>
  </si>
  <si>
    <t>37337-hospital-course-11-0</t>
  </si>
  <si>
    <t xml:space="preserve">
# Tachycardia/ AFib: Although the patient's tachycardia appeared
sinus on arrival, during his course he had couple runs of
tachycardia that appeared to be regular SVT with aberrancy that
were self-limited and well-tolerated.</t>
  </si>
  <si>
    <t>37337-hospital-course-11-1</t>
  </si>
  <si>
    <t>His OSH EKG showed RBBB as
recently as [**10-26**], and there were reports of atrial fibrillation
requiring treatment with diltiazem.</t>
  </si>
  <si>
    <t>37337-hospital-course-11-2</t>
  </si>
  <si>
    <t xml:space="preserve"> At one point, the patient
went into regular SVT with aberrancy during dialysis, which was
treated w/ lopressor 10, dilt 20 IV and dilt PO60 with
conversion back to sinus after 1-2 hours.</t>
  </si>
  <si>
    <t>37337-hospital-course-11-3</t>
  </si>
  <si>
    <t>Atrial irritation was
believed due to an IJ that was too deep, and was subsequently
pulled back.</t>
  </si>
  <si>
    <t>37337-hospital-course-11-4</t>
  </si>
  <si>
    <t xml:space="preserve"> During another HD session, he again had aberrant
SVT, thought to be due to intracellular shifts.</t>
  </si>
  <si>
    <t>37337-hospital-course-11-5</t>
  </si>
  <si>
    <t>Finally, the
patient had another episode, during which he underwent
synchronized cardioversion and was chemically cardioverted with
amiodarone and adenosine--after this episode, adenosine was kept
at the bedside.</t>
  </si>
  <si>
    <t>37337-hospital-course-11-6</t>
  </si>
  <si>
    <t>EP was consulted, and 24 hour amiodarone was
completed.</t>
  </si>
  <si>
    <t>37337-hospital-course-11-7</t>
  </si>
  <si>
    <t>The patient had persistent tachycardia and
hypertension during his hospitalization, treated with diltiazem,
metoprolol, amlodipine, and hydralazine.</t>
  </si>
  <si>
    <t>37337-hospital-course-11-8</t>
  </si>
  <si>
    <t xml:space="preserve"> Diltiazem and the
Clonidine patch were discontinued in the MICU.</t>
  </si>
  <si>
    <t>37337-hospital-course-11-9</t>
  </si>
  <si>
    <t xml:space="preserve"> Lisinopril was
initiated.</t>
  </si>
  <si>
    <t>37337-hospital-course-11-10</t>
  </si>
  <si>
    <t xml:space="preserve"> When he was transferred to the medical floor, he was
in NSR.</t>
  </si>
  <si>
    <t>37337-hospital-course-11-11</t>
  </si>
  <si>
    <t xml:space="preserve"> The patient was eventually discharged on lisinopril,
metoprolol and amlodipine (all new medications for him).</t>
  </si>
  <si>
    <t>37337-hospital-course-12-0</t>
  </si>
  <si>
    <t xml:space="preserve">
# Hypertension: The patient was frequently hypertensive to the
170s and 200s SBP.</t>
  </si>
  <si>
    <t>37337-hospital-course-12-1</t>
  </si>
  <si>
    <t>This was treated with a clonidine patch due
to concern of agitation/anxiety as trigger in addition to
diltiazem, metoprolol, amlodipine, hydralazine.</t>
  </si>
  <si>
    <t>37337-hospital-course-12-2</t>
  </si>
  <si>
    <t>Diltiazem and
the Clonidine patch were discontinued in the MICU, and
Lisinopril was initiated.</t>
  </si>
  <si>
    <t>37337-hospital-course-12-3</t>
  </si>
  <si>
    <t xml:space="preserve"> The patient was eventually discharged
on lisinopril, metoprolol and amlodipine.</t>
  </si>
  <si>
    <t>37337-hospital-course-13-0</t>
  </si>
  <si>
    <t xml:space="preserve">
# Rash on back, abdomen, thighs: Appeared to be consistent with
a drug rash, which could have been triggerred by Vanc or
Cefepime, although statistically Cefepime would be more likely.</t>
  </si>
  <si>
    <t>37337-hospital-course-13-1</t>
  </si>
  <si>
    <t xml:space="preserve">
Both drugs were discontinued on [**10-31**]; and the patient changed
to Meropenem.</t>
  </si>
  <si>
    <t>37337-hospital-course-13-2</t>
  </si>
  <si>
    <t>The rash improved clinically, became less
erythematous, and was treated with clobetasol [**Hospital1 **] 0.05% for
abdomen, and clotrimazole/hydro groin cream for rash.</t>
  </si>
  <si>
    <t>37337-hospital-course-13-3</t>
  </si>
  <si>
    <t>Vancomycin
was later added back on, without worsening of the patient's
rash--further increasing our suspicion that Cefepime was the
culprit.</t>
  </si>
  <si>
    <t>37337-hospital-course-13-4</t>
  </si>
  <si>
    <t xml:space="preserve"> This rash had resolved by discharge and the
clotrimazole and hydrocortisone cream were not continued.</t>
  </si>
  <si>
    <t>37337-hospital-course-14-0</t>
  </si>
  <si>
    <t xml:space="preserve">
# Sacral decubitus ulcer, stage 2:  This was cared for by
nursning.</t>
  </si>
  <si>
    <t>37337-hospital-course-15-0</t>
  </si>
  <si>
    <t xml:space="preserve">
# DM2:  Patient was diet controlled prior to admission.</t>
  </si>
  <si>
    <t>37337-hospital-course-15-1</t>
  </si>
  <si>
    <t>He was
treated with glargine 50 units qHS and ISS.</t>
  </si>
  <si>
    <t>37337-hospital-course-15-2</t>
  </si>
  <si>
    <t xml:space="preserve"> His insulin
requirements improved as he clinically improved.</t>
  </si>
  <si>
    <t>37337-hospital-course-15-3</t>
  </si>
  <si>
    <t>Would suggest
discharging patient on glargine and insulin sliding scale.</t>
  </si>
  <si>
    <t>37337-hospital-course-15-4</t>
  </si>
  <si>
    <t>He
will need teaching related to using insulin and using a sliding
scale.</t>
  </si>
  <si>
    <t>37337-hospital-course-15-5</t>
  </si>
  <si>
    <t>Please make sure he has close follow up with his PCP.</t>
  </si>
  <si>
    <t>37337-hospital-course-16-0</t>
  </si>
  <si>
    <t xml:space="preserve">
# Demand ischemia: During this hospitalization the patient
presented with elevated troponin and CK, but CKMB was normal
(2).</t>
  </si>
  <si>
    <t>37337-hospital-course-16-1</t>
  </si>
  <si>
    <t>This elevation was thought to be due to demand ischemia in
the setting of shock and persistent tachycardia, as well as
renal insufficiency.</t>
  </si>
  <si>
    <t>37337-hospital-course-16-2</t>
  </si>
  <si>
    <t>Cardiac enzymes were trended, and his
Troponin did not continue to rise.</t>
  </si>
  <si>
    <t>37337-hospital-course-17-0</t>
  </si>
  <si>
    <t xml:space="preserve">
# Mild LFT elevation: This was thought to be [**1-4**] prolonged
hypotension.</t>
  </si>
  <si>
    <t>37337-hospital-course-17-1</t>
  </si>
  <si>
    <t xml:space="preserve"> His LFTs normalized over the course of his
hospitalization.</t>
  </si>
  <si>
    <t>37337-hospital-course-18-0</t>
  </si>
  <si>
    <t># Code:  Full code c</t>
  </si>
  <si>
    <t>37337-medication-history-0-0</t>
  </si>
  <si>
    <t>37337-medication-history-1-0</t>
  </si>
  <si>
    <t>37337-medication-history-2-0</t>
  </si>
  <si>
    <t>previous meds in OSH:
enoxaparin 40mg daily start [**10-22**], d/c [**10-25**]
diltiazem gtt started [**10-23**], d/c [**10-25**]
levofloxacin 750mg q48h start [**10-24**], d/c [**10-25**]
digoxin 0.125 x 2 on [**10-23**]
Vancomcyin 1g IV start [</t>
  </si>
  <si>
    <t>37337-discharge-medications-0-0</t>
  </si>
  <si>
    <t>Clotrimazole 1 % Cream Sig: One (1) Appl Topical [**Hospital1 **] (2 times
a day).</t>
  </si>
  <si>
    <t>37337-discharge-medications-0-1</t>
  </si>
  <si>
    <t>Acetaminophen 500 mg Tablet Sig: Two (2) Tablet PO Q6H (every
6 hours) as needed for fever.</t>
  </si>
  <si>
    <t>37337-discharge-medications-0-2</t>
  </si>
  <si>
    <t>Metoprolol Tartrate 50 mg Tablet Sig: Three (3) Tablet PO TID
(3 times a day).</t>
  </si>
  <si>
    <t>37337-discharge-medications-0-3</t>
  </si>
  <si>
    <t>Insulin Glargine 100 unit/mL Solution Sig: Fifty (50) unit
Subcutaneous at bedtime.</t>
  </si>
  <si>
    <t>37337-discharge-medications-0-4</t>
  </si>
  <si>
    <t>37337-discharge-medications-1-0</t>
  </si>
  <si>
    <t>Amlodipine 10 mg Tablet Sig: One (1) Tablet PO once a day.</t>
  </si>
  <si>
    <t>37337-discharge-medications-1-1</t>
  </si>
  <si>
    <t>Lisinopril 40 mg Tablet Sig: One (1) Tablet PO once a day.</t>
  </si>
  <si>
    <t>37337-discharge-medications-1-2</t>
  </si>
  <si>
    <t>37337-discharge-medications-1-3</t>
  </si>
  <si>
    <t>Magnesium Oxide 400 mg Tablet Sig: 2.5 Tablets PO BID (2
times a day).</t>
  </si>
  <si>
    <t>37337-discharge-medications-1-4</t>
  </si>
  <si>
    <t>Humalog 100 unit/mL Solution Sig: One (1)  Subcutaneous four
times a day: dose based on sliding scale.</t>
  </si>
  <si>
    <t>37337-discharge-condition-0-0</t>
  </si>
  <si>
    <t>Afebrile, satting well on room air.</t>
  </si>
  <si>
    <t>37337-discharge-condition-0-1</t>
  </si>
  <si>
    <t xml:space="preserve"> Patient is alert, speaking
in short sentences and following commands/answering questions.</t>
  </si>
  <si>
    <t>37337-discharge-condition-1-0</t>
  </si>
  <si>
    <t>Mental Status:Clear and coherent
Level of Consciousness:Alert and interactive
Activity Status:Out of Bed with assistance to chair or
w</t>
  </si>
  <si>
    <t>37337-facility-0-0</t>
  </si>
  <si>
    <t>[**Hospital1 **] State H</t>
  </si>
  <si>
    <t>37337-discharge-diagnosis-0-0</t>
  </si>
  <si>
    <t>Primary Diagnoses:
- Community Acquired Pneumonia: Methicillin Sensitive Staph
Aureus pneumonia.</t>
  </si>
  <si>
    <t>37337-discharge-diagnosis-0-1</t>
  </si>
  <si>
    <t xml:space="preserve">
- Ventilator Associated Pneumonia: Multi-Drug-Resistant
Klebsiella and Pseudomonas.</t>
  </si>
  <si>
    <t>37337-discharge-diagnosis-0-2</t>
  </si>
  <si>
    <t xml:space="preserve">
- Bacteremia
- Septic shock
- Supra-Ventricular Tachycardia with aberrancy
- Intensive Care Unit myopathy.</t>
  </si>
  <si>
    <t>37337-discharge-diagnosis-0-3</t>
  </si>
  <si>
    <t>37337-discharge-diagnosis-1-0</t>
  </si>
  <si>
    <t>37337-discharge-instructions-0-0</t>
  </si>
  <si>
    <t>It was a pleasure to be involved in your care, Mr. [**Known lastname 83984**].</t>
  </si>
  <si>
    <t>37337-discharge-instructions-0-1</t>
  </si>
  <si>
    <t xml:space="preserve">
You were hospitalized at [**Hospital1 18**] for septic shock--low blood
pressure due to an infection.</t>
  </si>
  <si>
    <t>37337-discharge-instructions-0-2</t>
  </si>
  <si>
    <t>You had a severe pneumonia (a lung
infection) and blood infection, which required placement of a
breathing tube, intra-venous antibiotics and a prolonged stay in
the Medical ICU.</t>
  </si>
  <si>
    <t>37337-discharge-instructions-0-3</t>
  </si>
  <si>
    <t>As a result of your infection, your kidneys
gave out, and you required hemodialysis--however, with
improvement of your infection, your kidneys function improved
and returned to [**Location 213**].</t>
  </si>
  <si>
    <t>37337-discharge-instructions-0-4</t>
  </si>
  <si>
    <t xml:space="preserve"> At times during your hospitalization,
your heart rate became very fast and your blood pressure was
very elevated--this was treated with medications, and has since
resolved.</t>
  </si>
  <si>
    <t>37337-discharge-instructions-0-5</t>
  </si>
  <si>
    <t xml:space="preserve"> Because of prolonged ICU stay, your muscle has become
very weak, and you need aggressive physical therapy to regain
your strength.</t>
  </si>
  <si>
    <t>37337-discharge-instructions-1-0</t>
  </si>
  <si>
    <t xml:space="preserve">
You also underwent brain MRI because you had some confusion
after you were extubated.</t>
  </si>
  <si>
    <t>37337-discharge-instructions-1-1</t>
  </si>
  <si>
    <t xml:space="preserve"> The MRI had some abnormalities,
likely due to how sick you were.</t>
  </si>
  <si>
    <t>37337-discharge-instructions-1-2</t>
  </si>
  <si>
    <t xml:space="preserve"> You then underwent a procedure
called lumbar puncture to further evaluate these changes noted
in MRIs; no active infection was found.</t>
  </si>
  <si>
    <t>37337-discharge-instructions-1-3</t>
  </si>
  <si>
    <t xml:space="preserve"> You were also seen by
Neurology specialists.</t>
  </si>
  <si>
    <t>37337-discharge-instructions-2-0</t>
  </si>
  <si>
    <t>37337-discharge-instructions-3-0</t>
  </si>
  <si>
    <t>37337-discharge-instructions-3-1</t>
  </si>
  <si>
    <t>[**First Name8 (NamePattern2) **] [**Last Name (NamePattern1) 724**]
(Neurology).</t>
  </si>
  <si>
    <t>37337-discharge-instructions-3-2</t>
  </si>
  <si>
    <t xml:space="preserve">
Date: [**2116-12-30**]
Time: 11:00am
Location: [**Hospital Ward Name 516**], [**Hospital Ward Name 23**] Bldg.</t>
  </si>
  <si>
    <t>37337-discharge-instructions-3-3</t>
  </si>
  <si>
    <t>37337-discharge-instructions-4-0</t>
  </si>
  <si>
    <t>37337-discharge-instructions-4-1</t>
  </si>
  <si>
    <t>[**First Name4 (NamePattern1) **] [**Last Name (NamePattern1) 42394**] [**Telephone/Fax (1) 83987**] within 1 week of discharge from
rehab.</t>
  </si>
  <si>
    <t>37337-discharge-instructions-4-2</t>
  </si>
  <si>
    <t>Make sure you have your blood sugar checked at this visit
as you were started on an insulin regimen for diabetes while you
were an inpatient.</t>
  </si>
  <si>
    <t>503147-chief-complaint-0-0</t>
  </si>
  <si>
    <t>27M with DM admitted with MSSA PNA c/b klebsiella VAP.</t>
  </si>
  <si>
    <t>503147-chief-complaint-0-1</t>
  </si>
  <si>
    <t xml:space="preserve">
   Found to have WCT then narrow complex tachcyardia yesterday during HD
   that resolved with adenosine, likely SVT with aberrancy.</t>
  </si>
  <si>
    <t>503147-24-hour-events-0-0</t>
  </si>
  <si>
    <t>503147-current-medications-0-0</t>
  </si>
  <si>
    <t>Vancomycin - [**2117-10-31**] 12:00 AM
   Cefipime - [**2117-10-31**] 04:00 AM
   Gentamicin - [**2117-11-1**] 03:18 PM
   Meropenem - [**2117-11-1**] 08:00 PM
   Nafcillin - [**2117-11-2**] 06:12 AM
   Infusions:
   Midazolam (Versed) - 3 mg/hour
   Fentanyl - 80 mcg/hour
   Amiodarone - 0.5 mg/min
   Other ICU medications:
   Heparin Sodium (Prophylaxis) - [**2117-11-2**] 12:00 AM
   Famotidine (Pepcid) - [**2117-11-2**] 04:06 AM
   Other medications:
   Metoprolol 12.5mg [</t>
  </si>
  <si>
    <t>503147-labs-imaging-0-0</t>
  </si>
  <si>
    <t>503147-assessment-and-plan-0-0</t>
  </si>
  <si>
    <t>37M with DM in MICU with MSSA and Klebsiella PNA, who had WCT and
   narrow-complex tachycardia during HD yesterday that appears most
   consistent with SVT with aberrancy (AVRNT vs AVRT).</t>
  </si>
  <si>
    <t>503147-assessment-and-plan-0-1</t>
  </si>
  <si>
    <t>No further episodes
   of tachycardia since yesterday and has tolerated metoprolol.</t>
  </si>
  <si>
    <t>503147-assessment-and-plan-0-2</t>
  </si>
  <si>
    <t xml:space="preserve">
   -continue metoprolol, would uptitrate as tolerated by blood pressure
   -no need for further amiodarone once 24hr drip has been completed
</t>
  </si>
  <si>
    <t>503148-chief-complaint-0-0</t>
  </si>
  <si>
    <t>503148-chief-complaint-0-1</t>
  </si>
  <si>
    <t>503148-24-hour-events-0-0</t>
  </si>
  <si>
    <t>503148-current-medications-0-0</t>
  </si>
  <si>
    <t>503148-physical-examination-0-0</t>
  </si>
  <si>
    <t>503148-labs-imaging-0-0</t>
  </si>
  <si>
    <t>503148-assessment-and-plan-0-0</t>
  </si>
  <si>
    <t>503148-assessment-and-plan-0-1</t>
  </si>
  <si>
    <t>503148-assessment-and-plan-0-2</t>
  </si>
  <si>
    <t>503146-chief-complaint-0-0</t>
  </si>
  <si>
    <t>503146-chief-complaint-0-1</t>
  </si>
  <si>
    <t>503146-24-hour-events-0-0</t>
  </si>
  <si>
    <t>503146-current-medications-0-0</t>
  </si>
  <si>
    <t>503146-physical-examination-0-0</t>
  </si>
  <si>
    <t>Flowsheet Data as of  [**2117-11-2**] 09:11 AM
   Vital signs
   Hemodynamic monitoring
   Fluid balance
                                                                  24 hours
                                                               Since 12 AM
   Tmax: 39.2
C (102.6
   Tcurrent: 38.8
C (101.8
   HR: 81 (78 - 185) bpm
   BP: 111/43(63) {102/40(57) - 122/59(76)} mmHg
   RR: 25 (23 - 31) insp/min
   SpO2: 97%
   Heart rhythm:: SR (Sinus Rhythm)
   Wgt (current): 122.1 kg (admission): 119 kg
   Height: 69 Inch
   CVP: 5 (0 - 359)mmHg
   Total In:
                                                                  3,784 mL
                                                                  1,048 mL
   PO:
                                                                     60 mL
   TF:
                                                                    961 mL
                                                                    366 mL
   IVF:
                                                                  2,522 mL
                                                                    502 mL
   Blood products:
   Total out:
                                                                  2,853 mL
                                                                    410 mL
   Urine:
                                                                     53 mL
                                                                     10 mL
   NG:
   Stool:
   Drains:
   Balance:
                                                                    931 mL
                                                                    638 mL
   Respiratory support
   O2 Delivery Device: Endotracheal tube
   Ventilator mode: CMV/ASSIST/AutoFlow
   Vt (Set): 500 (500 - 500) mL
   RR (Set): 24
   RR (Spontaneous): 4
   PEEP: 10 cmH2O
   FiO2: 40%
   RSBI Deferred: PEEP &gt; 10
   PIP: 21 cmH2O
   Plateau: 18 cmH2O
   Compliance: 62.5 cmH2O/mL
   SpO2: 97%
   ABG: 7.41/43/120/24/2
   Ve: 12.5 L/min
   PaO2 / FiO2: 3</t>
  </si>
  <si>
    <t>503146-labs-imaging-0-0</t>
  </si>
  <si>
    <t>503146-assessment-and-plan-0-0</t>
  </si>
  <si>
    <t>503146-assessment-and-plan-0-1</t>
  </si>
  <si>
    <t>503146-assessment-and-plan-0-2</t>
  </si>
  <si>
    <t>88005-patient-test-information-0-0</t>
  </si>
  <si>
    <t>Indication: Endocarditis.</t>
  </si>
  <si>
    <t>88005-patient-test-information-0-1</t>
  </si>
  <si>
    <t>Height: (in) 69
Weight (lb): 220
BSA (m2): 2.15 m2
BP (mm Hg): 111/58
HR (bpm): 102
Status: Inpatient
Date/Time: [**2117-11-1**] at 15:49
Test: Portable TTE (Complete)
Doppler: Full Doppler and color Doppler
Contrast: None
Technical Quality: A</t>
  </si>
  <si>
    <t>88005-findings-0-0</t>
  </si>
  <si>
    <t>LEFT ATRIUM: Normal LA size.</t>
  </si>
  <si>
    <t>88005-findings-1-0</t>
  </si>
  <si>
    <t>88005-findings-1-1</t>
  </si>
  <si>
    <t>Normal interatrial septum.</t>
  </si>
  <si>
    <t>88005-findings-1-2</t>
  </si>
  <si>
    <t>No
ASD by 2D or color Doppler.</t>
  </si>
  <si>
    <t>88005-findings-2-0</t>
  </si>
  <si>
    <t>88005-findings-2-1</t>
  </si>
  <si>
    <t>88005-findings-2-2</t>
  </si>
  <si>
    <t>No VSD.</t>
  </si>
  <si>
    <t>88005-findings-3-0</t>
  </si>
  <si>
    <t xml:space="preserve">
RIGHT VENTRICLE: Mildly dilated RV cavity.</t>
  </si>
  <si>
    <t>88005-findings-3-1</t>
  </si>
  <si>
    <t>88005-findings-4-0</t>
  </si>
  <si>
    <t>88005-findings-5-0</t>
  </si>
  <si>
    <t>88005-findings-5-1</t>
  </si>
  <si>
    <t>88005-findings-5-2</t>
  </si>
  <si>
    <t>88005-findings-5-3</t>
  </si>
  <si>
    <t>No masses or
vegetations on aortic valve.</t>
  </si>
  <si>
    <t>88005-findings-6-0</t>
  </si>
  <si>
    <t>88005-findings-6-1</t>
  </si>
  <si>
    <t>88005-findings-6-2</t>
  </si>
  <si>
    <t>No mass or
vegetation on mitral valve.</t>
  </si>
  <si>
    <t>88005-findings-6-3</t>
  </si>
  <si>
    <t>No MS.</t>
  </si>
  <si>
    <t>88005-findings-7-0</t>
  </si>
  <si>
    <t xml:space="preserve">
TRICUSPID VALVE: Normal tricuspid valve leaflets with trivial TR.</t>
  </si>
  <si>
    <t>88005-findings-7-1</t>
  </si>
  <si>
    <t>No mass or
vegetation on tricuspid valve.</t>
  </si>
  <si>
    <t>88005-findings-7-2</t>
  </si>
  <si>
    <t>88005-findings-7-3</t>
  </si>
  <si>
    <t>Indeterminate PA systolic pressure.</t>
  </si>
  <si>
    <t>88005-findings-8-0</t>
  </si>
  <si>
    <t>88005-findings-8-1</t>
  </si>
  <si>
    <t>88005-findings-8-2</t>
  </si>
  <si>
    <t>88005-findings-8-3</t>
  </si>
  <si>
    <t>No vegetation/mass on pulmonic valve.</t>
  </si>
  <si>
    <t>88005-findings-9-0</t>
  </si>
  <si>
    <t>88005-findings-10-0</t>
  </si>
  <si>
    <t xml:space="preserve">
GENERAL COMMENTS: Resting tachycardia (HR&gt;100bpm).</t>
  </si>
  <si>
    <t>88005-conclusions-0-0</t>
  </si>
  <si>
    <t>The left atrium is normal in size.</t>
  </si>
  <si>
    <t>88005-conclusions-0-1</t>
  </si>
  <si>
    <t>No atrial septal defect is seen by 2D or
color Doppler.</t>
  </si>
  <si>
    <t>88005-conclusions-0-2</t>
  </si>
  <si>
    <t>Left ventricular wall thickness, cavity size and
regional/global systolic function are normal (LVEF &gt;55%).</t>
  </si>
  <si>
    <t>88005-conclusions-0-3</t>
  </si>
  <si>
    <t>88005-conclusions-0-4</t>
  </si>
  <si>
    <t>The right ventricular cavity is mildly dilated with
borderline normal free wall function.</t>
  </si>
  <si>
    <t>88005-conclusions-0-5</t>
  </si>
  <si>
    <t>The diameters of aorta at the sinus,
ascending and arch levels are normal.</t>
  </si>
  <si>
    <t>88005-conclusions-0-6</t>
  </si>
  <si>
    <t>The aortic valve leaflets (3) appear
structurally normal with good leaflet excursion and no aortic regurgitation.</t>
  </si>
  <si>
    <t>88005-conclusions-0-7</t>
  </si>
  <si>
    <t xml:space="preserve">
No masses or vegetations are seen on the aortic valve.</t>
  </si>
  <si>
    <t>88005-conclusions-0-8</t>
  </si>
  <si>
    <t>The mitral valve
appears structurally normal with trivial mitral regurgitation.</t>
  </si>
  <si>
    <t>88005-conclusions-0-9</t>
  </si>
  <si>
    <t>There is no
mitral valve prolapse.</t>
  </si>
  <si>
    <t>88005-conclusions-0-10</t>
  </si>
  <si>
    <t>No mass or vegetation is seen on the mitral valve.</t>
  </si>
  <si>
    <t>88005-conclusions-0-11</t>
  </si>
  <si>
    <t>The
pulmonary artery systolic pressure could not be determined.</t>
  </si>
  <si>
    <t>88005-conclusions-0-12</t>
  </si>
  <si>
    <t>No vegetation/mass
is seen on the pulmonic valve.</t>
  </si>
  <si>
    <t>88005-conclusions-0-13</t>
  </si>
  <si>
    <t>323171-chief-complaint-0-0</t>
  </si>
  <si>
    <t>Intra-op PEA a</t>
  </si>
  <si>
    <t>323171-history-of-present-illness-0-0</t>
  </si>
  <si>
    <t>49 year old female in [**Hospital Unit Name 44**] since [**3-10**]: intra-op PEA arrest during
   realignment of left femoral fracture, in the setting of severe acute
   blood loss.</t>
  </si>
  <si>
    <t>323171-history-of-present-illness-0-1</t>
  </si>
  <si>
    <t xml:space="preserve">
   24 Hour Events:
   Overnight, pt extubated.</t>
  </si>
  <si>
    <t>323171-history-of-present-illness-0-2</t>
  </si>
  <si>
    <t>CTA negative for PE.</t>
  </si>
  <si>
    <t>323171-history-of-present-illness-0-3</t>
  </si>
  <si>
    <t>Cards consults to re-echo
   in a few days to follow up possible posterior HK seen during intra-op
   arrest.</t>
  </si>
  <si>
    <t>323171-history-of-present-illness-0-4</t>
  </si>
  <si>
    <t>Cardiac enzymes wtih trop+ leak but decreasing.</t>
  </si>
  <si>
    <t>323171-history-of-present-illness-0-5</t>
  </si>
  <si>
    <t>ARTERIAL LINE - START [**2186-3-10**] 10:47 AM
 INVASIVE VENTILATION - START [**2186-3-10**] 12:33 PM
 INVASIVE VENTILATION - STOP [**2186-3-10**] 02:59 PM
   History obtained from Medical records, [**Hospital Unit Name 44**] housestaff, p</t>
  </si>
  <si>
    <t>323171-allergies-0-0</t>
  </si>
  <si>
    <t>Codeine
   severe headache
   Penicillins
   trouble breathi
   Demerol (Injection) (Meperidine Hcl/Pf)
   hot feeling all
   Ampicillin
   sob;
   Melon Flavor
   SOB
   itching [</t>
  </si>
  <si>
    <t>323171-other-medications-0-0</t>
  </si>
  <si>
    <t>Fentanyl - [**2186-3-10**] 12:34 PM
   Morphine Sulfate - [**2186-3-10**] 04:39 PM
   Other medications:</t>
  </si>
  <si>
    <t>323171-past-medical-history-0-0</t>
  </si>
  <si>
    <t>Changes to medical and family history:
   PMH, SH, FH and ROS are unchanged from Admission except where noted
   above and b</t>
  </si>
  <si>
    <t>323171-flowsheet-data-vitals-0-0</t>
  </si>
  <si>
    <t>Vital signs
   Hemodynamic monitoring
   Fluid balance
                                                                  24 hours
                                                               Since 12 AM
   Tmax: 37.7
C (99.8
   Tcurrent: 37
C (98.6
   HR: 89 (72 - 93) bpm
   BP: 102/54(66) {83/51(61) - 103/57(66)} mmHg
   RR: 16 (0 - 28) insp/min
   SpO2: 97%
   Heart rhythm: SR (Sinus Rhythm)
   Height: 60 Inch
             Total In:
                                                                  2,419 mL
                                                                     91 mL
   PO:
             TF:
   IVF:
                                                                  1,669 mL
                                                                     91 mL
   Blood products:
                                                                    750 mL
   Total out:
                                                                  1,190 mL
                                                                    560 mL
   Urine:
                                                                  1,030 mL
                                                                    560 mL
   NG:
   Stool:
   Drains:
   Balance:
                                                                  1,229 mL
                                                                   -469 mL
   Respiratory support
   O2 Delivery Device: CPAP mask
   Ventilator mode: CPAP
   Vt (Set): 600 (600 - 600) mL
   Vt (Spontaneous): 550 (438 - 550) mL
   PS : 5 cmH2O
   RR (Set): 14
   RR (Spontaneous): 17
   PEEP: 10 cmH2O
   FiO2: 21%
   PIP: 33 cmH2O
   Plateau: 27 cmH2O
   SpO2: 97%
   ABG: 7.36/47/193/23/0
   Ve: 8.2 L/min
   PaO2 / FiO2: 9</t>
  </si>
  <si>
    <t>323171-physical-examination-0-0</t>
  </si>
  <si>
    <t>General Appearance: Well nourished, No(t) No acute distress, Overweight
   / Obese, No(t) Anxious, No(t) Diaphoretic
   Eyes / Conjunctiva: PERRL, No(t) Pupils dilated, No(t) Conjunctiva
   pale, No(t) Sclera edema
   Head, Ears, Nose, Throat: Normocephalic, No(t) Endotracheal tube, No(t)
   NG tube, No(t) OG tube
   Cardiovascular: (PMI Normal, No(t) Hyperdynamic), (S1: Normal, No(t)
   Absent), (S2: Normal, No(t) Distant, No(t) Widely split , No(t) Fixed),
   No(t) S3, No(t) S4, No(t) Rub, (Murmur: No(t) Systolic, No(t)
   Diastolic)
   Peripheral Vascular: bilateral DP pulses 2+
   Respiratory / Chest: (Expansion: Symmetric), (Breath Sounds: Clear : ,
   No(t) Crackles : , No(t) Wheezes : , No(t) Diminished: , No(t)
   Rhonchorous: )
   Abdominal: Soft, Non-tender, Bowel sounds present
   Extremities: Right: Absent, Left: Absent, No(t) Cyanosis, No(t)
   Clubbing, left thigh surgical dressing
   Musculoskeletal: Unable to stand
   Skin:  Warm, no rashes
   Neurologic: Attentive, Follows simple commands, Responds to: Verbal
   stimuli, Oriented (to): , Movement: Not assessed, Tone: Not a</t>
  </si>
  <si>
    <t>323171-assessment-and-plan-0-0</t>
  </si>
  <si>
    <t>49 year old female with asthma who sustained an intra-op PEA arrest
   during attempted realignment of left femoral fracture.</t>
  </si>
  <si>
    <t>323171-assessment-and-plan-0-1</t>
  </si>
  <si>
    <t>Improved- now
   extubated, maintaining BP
   #Acute blood loss anemia: no further Hct drop since [**Hospital Unit Name 44**] transfer,
   continue serial HCT
   #Resp failure: extubated; off supplemental oxygen.</t>
  </si>
  <si>
    <t>323171-assessment-and-plan-0-2</t>
  </si>
  <si>
    <t xml:space="preserve">
   #Femoral fracture: operation was aborted due to intra-op arrest.</t>
  </si>
  <si>
    <t>323171-assessment-and-plan-0-3</t>
  </si>
  <si>
    <t>Ortho
   following
   #Echo abnormalities: possible posterior HK seen on Echo, but
   technically limited and performed in the setting of acute blood loss.</t>
  </si>
  <si>
    <t>323171-assessment-and-plan-0-4</t>
  </si>
  <si>
    <t xml:space="preserve">
   Plan repeat Echo.</t>
  </si>
  <si>
    <t>323171-assessment-and-plan-0-5</t>
  </si>
  <si>
    <t>On ASA.</t>
  </si>
  <si>
    <t>323171-assessment-and-plan-0-6</t>
  </si>
  <si>
    <t>ICU Care
   Nutrition:
   Glycemic Control:
   Lines:
   18 Gauge - [**2186-3-10**] 10:47 AM
   Prophylaxis:
   DVT: LMW Heparin
   Stress ulcer: PPI
   VAP: HOB elevation, Mouth care
   Comments:</t>
  </si>
  <si>
    <t>323171-communication-0-0</t>
  </si>
  <si>
    <t>Patient discussed on interdisciplinary rounds  Comments:</t>
  </si>
  <si>
    <t>323171-code-status-0-0</t>
  </si>
  <si>
    <t>323171-disposition-0-0</t>
  </si>
  <si>
    <t>:Transfer to f</t>
  </si>
  <si>
    <t>323048-chief-complaint-0-0</t>
  </si>
  <si>
    <t>323048-history-of-present-illness-0-0</t>
  </si>
  <si>
    <t>49 yo woman with asthma, adm for femoral fx repair to correct
   deformity.</t>
  </si>
  <si>
    <t>323048-history-of-present-illness-0-1</t>
  </si>
  <si>
    <t>Intraop EBL 1.5-2L in first 15 minutes, ET CO2 acutely
   dropped, hypoxemia with SpO2 50%, transient PEA, epi given --&gt; VF--&gt;
   sinus rhythm.</t>
  </si>
  <si>
    <t>323048-history-of-present-illness-0-2</t>
  </si>
  <si>
    <t>Unclear duration of PEA- less than 5 minutes??</t>
  </si>
  <si>
    <t>323048-history-of-present-illness-0-3</t>
  </si>
  <si>
    <t>TTE mild
   inferior hypokinesis but poor quality.</t>
  </si>
  <si>
    <t>323048-history-of-present-illness-0-4</t>
  </si>
  <si>
    <t>Surgery aborted and stapled
   closed.</t>
  </si>
  <si>
    <t>323048-history-of-present-illness-0-5</t>
  </si>
  <si>
    <t>Patient admitted from: [**Hospital1 54**] OR / PACU
   History obtained from Medical records
   Patient unable to provide history: S</t>
  </si>
  <si>
    <t>323048-allergies-0-0</t>
  </si>
  <si>
    <t>323048-other-medications-0-0</t>
  </si>
  <si>
    <t>Fentanyl - [**2186-3-10**] 12:34 PM
   Other medications:</t>
  </si>
  <si>
    <t>323048-past-medical-history-0-0</t>
  </si>
  <si>
    <t>asthma
   obesity
   left femoral fracture due to car crash with poor fusion after
   stabilization
   total knee [**1-28**]
   G</t>
  </si>
  <si>
    <t>323048-social-history-0-0</t>
  </si>
  <si>
    <t>Occupation: art teacher
   Drugs: no
   Tobacco: no
   Alcohol: no
   Other:</t>
  </si>
  <si>
    <t>323048-medication-history-0-0</t>
  </si>
  <si>
    <t>prilosec, wellbutrin, advair, tylenol, claritin, hydrocodone
   asthma, uterine ca, D</t>
  </si>
  <si>
    <t>323048-flowsheet-data-vitals-0-0</t>
  </si>
  <si>
    <t>Vital Signs
   Hemodynamic monitoring
   Fluid Balance
                                                                  24 hours
                                                               Since 12 AM
   Tmax: 36.4
C (97.6
   Tcurrent: 36.4
C (97.6
   HR: 74 (72 - 76) bpm
   BP: 117/59(79) {98/48(64) - 118/59(79)} mmHg
   RR: 28 (11 - 28) insp/min
   SpO2: 100%
   Heart rhythm: SR (Sinus Rhythm)
   Height: 60 Inch
             Total In:
             985 mL
   PO:
             TF:
   IVF:
   985 mL
   Blood products:
   Total out:
                                                                      0 mL
                                                                    725 mL
   Urine:
   565 mL
   NG:
   Stool:
   Drains:
   Balance:
                                                                      0 mL
                                                                    263 mL
   Respiratory
   Ventilator mode: CPAP
   Vt (Set): 600 (600 - 600) mL
   Vt (Spontaneous): 550 (438 - 550) mL
   PS : 5 cmH2O
   RR (Set): 14
   RR (Spontaneous): 17
   PEEP: 0 cmH2O
   FiO2: 50%
   PIP: 33 cmH2O
   Plateau: 27 cmH2O
   SpO2: 100%
   ABG: 7.39/45/275/23/2
   Ve: 8.2 L/min
   PaO2 / FiO2: 5</t>
  </si>
  <si>
    <t>323048-physical-examination-0-0</t>
  </si>
  <si>
    <t>General Appearance: Well nourished, No acute distress, Overweight /
   Obese
   Eyes / Conjunctiva: PERRL
   Head, Ears, Nose, Throat: Normocephalic, Endotracheal tube
   Lymphatic: Cervical WNL
   Cardiovascular: (S1: Normal), (S2: Normal)
   Peripheral Vascular: (Right radial pulse: Not assessed), (Left radial
   pulse: Not assessed), (Right DP pulse: Not assessed), (Left DP pulse:
   Not assessed)
   Respiratory / Chest: (Expansion: Symmetric), (Breath Sounds: Clear : )
   Abdominal: Soft, Non-tender, Bowel sounds present
   Extremities: Left: left thigh surgical wound dressings with no sig
   blood pooling/oozing, No(t) Cyanosis
   Musculoskeletal: No(t) Muscle wasting
   Skin:  Not assessed
   Neurologic: Attentive, Follows simple commands, Responds to: Verbal
   stimuli, Movement: Not assessed, No(t) Sedated, Tone: N</t>
  </si>
  <si>
    <t>323048-labs-imaging-0-0</t>
  </si>
  <si>
    <t>292 K/uL
   24.8 %
   8.4 g/dL
   115 mg/dL
   0.7 mg/dL
   17 mg/dL
   23 mEq/L
   109 mEq/L
   3.9 mEq/L
   139 mEq/L
   14.5 K/uL
        [image002.jpg]
                             [**2186-3-10**]  10:45 AM
                             [**2186-3-10**]  11:01 AM
                             [**2186-3-10**]  11:30 AM
   WBC
                                    14.5
   Hct
                                    24.8
   Plt
                                     292
   Cr
                                     0.7
   TropT
                                    0.17
   TC02
                                     28
   Glucose
                                     115
   Other labs: PT / PTT / INR:13.5/23.1/1.2, CK / CKMB /
   Troponin-T:89/4/0.17, Differential-Neuts:96.0 %, Band:0.0 %, Lymph:3.0
   %, Mono:1.0 %, Eos:0.0 %
   Imaging: CT- no PE or dissection.</t>
  </si>
  <si>
    <t>323048-labs-imaging-0-1</t>
  </si>
  <si>
    <t>Atelectasis lower lobes.</t>
  </si>
  <si>
    <t>323048-labs-imaging-0-2</t>
  </si>
  <si>
    <t xml:space="preserve">
   ECG: Sinus, 79, nl intervals, no hypertrophy or ischemic changes.</t>
  </si>
  <si>
    <t>323048-assessment-and-plan-0-0</t>
  </si>
  <si>
    <t>HYPOXEMIC RESP FAILURE
   Normalized oxygenation.</t>
  </si>
  <si>
    <t>323048-assessment-and-plan-0-1</t>
  </si>
  <si>
    <t>Resp mechanics and gas exchange good on minimal
   support.</t>
  </si>
  <si>
    <t>323048-assessment-and-plan-0-2</t>
  </si>
  <si>
    <t>Extubate now.</t>
  </si>
  <si>
    <t>323048-assessment-and-plan-0-3</t>
  </si>
  <si>
    <t xml:space="preserve">
   PEA ARREST
   Likely secondary to large vol blood loss.</t>
  </si>
  <si>
    <t>323048-assessment-and-plan-0-4</t>
  </si>
  <si>
    <t>Chronicity does not suggest
   fat embolus or PE given rapid improvement.</t>
  </si>
  <si>
    <t>323048-assessment-and-plan-0-5</t>
  </si>
  <si>
    <t xml:space="preserve">
   Repeat echo to reeval finding of hypokinesis.</t>
  </si>
  <si>
    <t>323048-assessment-and-plan-0-6</t>
  </si>
  <si>
    <t xml:space="preserve">
   ASTHMA
   Not active
   ORTHO
   To address femoral fracture repair.</t>
  </si>
  <si>
    <t>323048-assessment-and-plan-0-7</t>
  </si>
  <si>
    <t>FULL CODE
   ICU Care
   Nutrition:
   Glycemic Control:
   Lines / Intubation:
   Arterial Line - [**2186-3-10**] 10:47 AM
   18 Gauge - [**2186-3-10**] 10:47 AM
   Comments:
   Prophylaxis:
   DVT: LMW Heparin(Systemic anticoagulation: None)
   Stress ulcer: PPI
   VAP: HOB elevation, Mouth care, RSBI
   Comments:</t>
  </si>
  <si>
    <t>323048-communication-0-0</t>
  </si>
  <si>
    <t>323048-code-status-0-0</t>
  </si>
  <si>
    <t>323048-disposition-0-0</t>
  </si>
  <si>
    <t>I</t>
  </si>
  <si>
    <t>323041-chief-complaint-0-0</t>
  </si>
  <si>
    <t>hypotension/h</t>
  </si>
  <si>
    <t>323041-history-of-present-illness-0-0</t>
  </si>
  <si>
    <t>49 year old woman with hx of asthma, obesity, left femoral fracture
   presenting for elective re-alignment of the femoral fracture compicated
   by intra-op hypotension and hypoxia and transient PEA arrest.</t>
  </si>
  <si>
    <t>323041-history-of-present-illness-0-1</t>
  </si>
  <si>
    <t xml:space="preserve"> The
   patient had left femoral fracture approximately 20 years ago secondary
   to a car accident.</t>
  </si>
  <si>
    <t>323041-history-of-present-illness-0-2</t>
  </si>
  <si>
    <t xml:space="preserve"> The fracture was treated with splinting and
   traction.</t>
  </si>
  <si>
    <t>323041-history-of-present-illness-0-3</t>
  </si>
  <si>
    <t xml:space="preserve"> She developed progressive DJD of the left knee.</t>
  </si>
  <si>
    <t>323041-history-of-present-illness-0-4</t>
  </si>
  <si>
    <t xml:space="preserve"> She
   underwent a left TKA on [**2186-1-23**] which was tolerated well.</t>
  </si>
  <si>
    <t>323041-history-of-present-illness-0-5</t>
  </si>
  <si>
    <t xml:space="preserve"> She presented
   to have a left femoral osteotomy and rod placement to correct the
   angulation deformity at the fracture site.</t>
  </si>
  <si>
    <t>323041-history-of-present-illness-0-6</t>
  </si>
  <si>
    <t xml:space="preserve">
   Intra-op the surgery team was using a routing device (that continuously
   irrigates and vacuums [**Last Name (un) 2277**]) to prepare the femur for the IM rod when
   it was noticed that she lost approximately 1500-2000cc of blood within
   approximately 10-15minutes.</t>
  </si>
  <si>
    <t>323041-history-of-present-illness-0-7</t>
  </si>
  <si>
    <t xml:space="preserve"> Following that her EtCO2 acutely dropped
   to ~15.</t>
  </si>
  <si>
    <t>323041-history-of-present-illness-0-8</t>
  </si>
  <si>
    <t xml:space="preserve"> Shortly thereafter her O2sats dropped to 50%.</t>
  </si>
  <si>
    <t>323041-history-of-present-illness-0-9</t>
  </si>
  <si>
    <t xml:space="preserve"> The procedure
   was terminated.</t>
  </si>
  <si>
    <t>323041-history-of-present-illness-0-10</t>
  </si>
  <si>
    <t>She transiently lost her pulse in PEA.</t>
  </si>
  <si>
    <t>323041-history-of-present-illness-0-11</t>
  </si>
  <si>
    <t xml:space="preserve"> She received
   1mg of epinephrine in divided doses.</t>
  </si>
  <si>
    <t>323041-history-of-present-illness-0-12</t>
  </si>
  <si>
    <t xml:space="preserve"> The PEA spontaneous converted to
   VF with spontaneously converted to sinus.</t>
  </si>
  <si>
    <t>323041-history-of-present-illness-0-13</t>
  </si>
  <si>
    <t xml:space="preserve"> She recovered her pulse
   before CPR was initiated.</t>
  </si>
  <si>
    <t>323041-history-of-present-illness-0-14</t>
  </si>
  <si>
    <t xml:space="preserve"> The duration of pulselessness was estimated
   to be less than 5 minutes.</t>
  </si>
  <si>
    <t>323041-history-of-present-illness-0-15</t>
  </si>
  <si>
    <t xml:space="preserve"> Cardiology was consulted who performed a
   bedside TTE that showed mild inferior hypokinesis.</t>
  </si>
  <si>
    <t>323041-history-of-present-illness-0-16</t>
  </si>
  <si>
    <t>An EKG was only
   notable for non-specific lateral ST depressions.</t>
  </si>
  <si>
    <t>323041-history-of-present-illness-0-17</t>
  </si>
  <si>
    <t xml:space="preserve"> A stat Hct was ~30
   immediately post-op.</t>
  </si>
  <si>
    <t>323041-history-of-present-illness-0-18</t>
  </si>
  <si>
    <t xml:space="preserve">
   She was transfered to the [**Hospital Unit Name 44**] intubated and sedated.</t>
  </si>
  <si>
    <t>323041-history-of-present-illness-0-19</t>
  </si>
  <si>
    <t>Patient admitted from: [**Hospital1 54**] OR / PACU
   History obtained from Family / [**Hospital 56**] Medical records
   Patient unable to provide history: S</t>
  </si>
  <si>
    <t>323041-allergies-0-0</t>
  </si>
  <si>
    <t>323041-infusions-0-0</t>
  </si>
  <si>
    <t>infusions</t>
  </si>
  <si>
    <t>Propofol - 10 mcg/Kg/m</t>
  </si>
  <si>
    <t>323041-other-medications-0-0</t>
  </si>
  <si>
    <t>Fentanyl - [**2186-3-10**] 12:34 PM
   Other medications:
   Prilsec 20 mg daily:prn
   wellbutrin 150 mg [**Hospital1 **]
   tylenol 325-650mg prn
   claritin prn
   hydrocodone 5/500 tab prn
   advair 1 p</t>
  </si>
  <si>
    <t>323041-past-medical-history-0-0</t>
  </si>
  <si>
    <t>femoral fracture ~25 years ago
   osteoarthritis
   asthma
   seasonal allergies
   GERD
   uterine cancer, T2DM, heart disease, a</t>
  </si>
  <si>
    <t>323041-social-history-0-0</t>
  </si>
  <si>
    <t>Occupation: art teacher
   Drugs: none
   Tobacco: quit &gt;12 months ago
   Alcohol: rare
   Other: lives with partner.</t>
  </si>
  <si>
    <t>323041-review-of-systems-0-0</t>
  </si>
  <si>
    <t>Constitutional: No(t) Fatigue, No(t) Fever, No(t) Weight loss
   Eyes: No(t)  Blurry vision, No(t) Conjunctival edema
   Cardiovascular: Tachycardia
   Respiratory: Tachypnea
   Signs or concerns for abuse : No
   Pain: Unable to a</t>
  </si>
  <si>
    <t>323041-flowsheet-data-vitals-0-0</t>
  </si>
  <si>
    <t>Vital Signs
   Hemodynamic monitoring
   Fluid Balance
                                                                  24 hours
                                                               Since 12 AM
   Tmax: 36.4
C (97.6
   Tcurrent: 36.4
C (97.6
   HR: 76 (72 - 76) bpm
   BP: 118/58(79) {98/48(64) - 118/58(79)} mmHg
   RR: 27 (11 - 27) insp/min
   SpO2: 100%
   Heart rhythm: SR (Sinus Rhythm)
             Total In:
             900 mL
   PO:
             TF:
   IVF:
   900 mL
   Blood products:
   Total out:
                                                                      0 mL
                                                                    600 mL
   Urine:
   440 mL
   NG:
   Stool:
   Drains:
   Balance:
                                                                      0 mL
                                                                    300 mL
   Respiratory
   Ventilator mode: CPAP/PSV
   Vt (Set): 600 (600 - 600) mL
   Vt (Spontaneous): 438 (438 - 438) mL
   PS : 12 cmH2O
   RR (Set): 12
   RR (Spontaneous): 17
   PEEP: 5 cmH2O
   FiO2: 50%
   PIP: 33 cmH2O
   Plateau: 27 cmH2O
   SpO2: 100%
   ABG: 7.39/45/275/23/2
   Ve: 7.9 L/min
   PaO2 / FiO2: 5</t>
  </si>
  <si>
    <t>323041-physical-examination-0-0</t>
  </si>
  <si>
    <t>General Appearance: Well nourished, Overweight / Obese, No(t) Anxious
   Eyes / Conjunctiva: PERRL, Conjunctiva pale
   Head, Ears, Nose, Throat: Normocephalic, Endotracheal tube
   Lymphatic: Cervical WNL
   Cardiovascular: (S1: Normal), (S2: Normal)
   Peripheral Vascular: (Right radial pulse: Present), (Left radial pulse:
   Present), (Right DP pulse: Present), (Left DP pulse: Present)
   Respiratory / Chest: (Expansion: Symmetric), (Percussion: Resonant : ),
   (Breath Sounds: Clear : )
   Abdominal: Soft, Bowel sounds present, Obese
   Extremities: Right: Trace, Left: Trace, left thigh wound
   Skin:  Not assessed, No(t) Rash: , No(t) Jaundice
   Neurologic: Follows simple commands, Responds to: Not assessed,
   Movement: Not assessed, Tone: Not a</t>
  </si>
  <si>
    <t>323041-labs-imaging-0-0</t>
  </si>
  <si>
    <t>292 K/uL
   8.4 g/dL
   115 mg/dL
   0.7 mg/dL
   17 mg/dL
   23 mEq/L
   109 mEq/L
   3.9 mEq/L
   139 mEq/L
   24.8 %
   14.5 K/uL
        [image002.jpg]
                                  [**2183-11-24**]
                          2:33 A4/18/[**2185**]  10:45 AM
                                  [**2183-11-28**]
                         10:20 P4/18/[**2185**]  11:01 AM
                                  [**2183-11-29**]
                          1:20 P4/18/[**2185**]  11:30 AM
                                  [**2183-11-30**]
                                   11:50 P
                                  [**2183-12-1**]
                                   1:20 A
                                  [**2183-12-2**]
                                   7:20 P
                                  1//11/006
                                   1:23 P
                                  [**2183-12-25**]
                                   1:20 P
                                  [**2183-12-25**]
                                   11:20 P
                                  [**2183-12-25**]
                                   4:20 P
   WBC
                                    14.5
   Hct
                                    24.8
   Plt
                                     292
   Cr
                                     0.7
   TropT
                                    0.17
   TC02
                                     28
   Glucose
                                     115
   Other labs: PT / PTT / INR:13.5/23.1/1.2, CK / CKMB /
   Troponin-T:89/4/0.17, Differential-Neuts:96.0 %, Band:0.0 %, Lymph:3.0
   %, Mono:1.0 %, Eos:0.0 %
   Imaging: CTA - .</t>
  </si>
  <si>
    <t>323041-labs-imaging-0-1</t>
  </si>
  <si>
    <t>No central or segmental pulmonary embolism.</t>
  </si>
  <si>
    <t>323041-labs-imaging-0-2</t>
  </si>
  <si>
    <t>No aortic
   dissection.</t>
  </si>
  <si>
    <t>323041-labs-imaging-0-3</t>
  </si>
  <si>
    <t>The coronary arteries arise from normal expected anatomical
   location.</t>
  </si>
  <si>
    <t>323041-labs-imaging-0-4</t>
  </si>
  <si>
    <t>The ET tube has its tip in the right main bronchus and needs to be
   repositioned.</t>
  </si>
  <si>
    <t>323041-labs-imaging-0-5</t>
  </si>
  <si>
    <t>Passive atelectasis at the lower lobes.</t>
  </si>
  <si>
    <t>323041-labs-imaging-0-6</t>
  </si>
  <si>
    <t xml:space="preserve">
   CXR -  right main inbutation.</t>
  </si>
  <si>
    <t>323041-labs-imaging-0-7</t>
  </si>
  <si>
    <t>no effusion.</t>
  </si>
  <si>
    <t>323041-labs-imaging-0-8</t>
  </si>
  <si>
    <t>normal sized heart.</t>
  </si>
  <si>
    <t>323041-labs-imaging-0-9</t>
  </si>
  <si>
    <t>no
   pneumothorax
   TTE - The left ventricular cavity size is normal.</t>
  </si>
  <si>
    <t>323041-labs-imaging-0-10</t>
  </si>
  <si>
    <t>Overall left
   ventricular ejection fraction is normal (LVEF 60%).</t>
  </si>
  <si>
    <t>323041-labs-imaging-0-11</t>
  </si>
  <si>
    <t>However, the
   posterior wall, which was suboptimally visualized, appears hypokinetic.</t>
  </si>
  <si>
    <t>323041-labs-imaging-0-12</t>
  </si>
  <si>
    <t xml:space="preserve">
   Right ventricular chamber size and free wall motion are normal.</t>
  </si>
  <si>
    <t>323041-labs-imaging-0-13</t>
  </si>
  <si>
    <t>The
   aortic valve is not well seen.</t>
  </si>
  <si>
    <t>323041-labs-imaging-0-14</t>
  </si>
  <si>
    <t>There is no aortic valve stenosis.</t>
  </si>
  <si>
    <t>323041-labs-imaging-0-15</t>
  </si>
  <si>
    <t>No
   aortic regurgitation is seen.</t>
  </si>
  <si>
    <t>323041-labs-imaging-0-16</t>
  </si>
  <si>
    <t>The mitral valve appears structurally
   normal with trivial mitral regurgitation.</t>
  </si>
  <si>
    <t>323041-labs-imaging-0-17</t>
  </si>
  <si>
    <t>There is no mitral valve
   prolapse.</t>
  </si>
  <si>
    <t>323041-labs-imaging-0-18</t>
  </si>
  <si>
    <t>The pulmonary artery systolic pressure could not be
   determined.</t>
  </si>
  <si>
    <t>323041-labs-imaging-0-19</t>
  </si>
  <si>
    <t>323041-labs-imaging-0-20</t>
  </si>
  <si>
    <t xml:space="preserve">
   Microbiology: none
   ECG: sinus @79.</t>
  </si>
  <si>
    <t>323041-labs-imaging-0-21</t>
  </si>
  <si>
    <t>nl axis and intervals.</t>
  </si>
  <si>
    <t>323041-labs-imaging-0-22</t>
  </si>
  <si>
    <t>&lt;1mm ST depressions in V3-6</t>
  </si>
  <si>
    <t>323041-assessment-and-plan-0-0</t>
  </si>
  <si>
    <t>49 year old woman with history of asthma, DJD secondary to poorly
   healed femoral fracture admitted for hypotension, hypoxia complicated
   by PEA arrest intra-op.</t>
  </si>
  <si>
    <t>323041-assessment-and-plan-0-1</t>
  </si>
  <si>
    <t xml:space="preserve">
   1) PEA - leading differential would be for severe acute blood loss, fat
   embolism, PE, MI.</t>
  </si>
  <si>
    <t>323041-assessment-and-plan-0-2</t>
  </si>
  <si>
    <t>of these acute blood loss +/- fat embolism would be
   most likely.</t>
  </si>
  <si>
    <t>323041-assessment-and-plan-0-3</t>
  </si>
  <si>
    <t xml:space="preserve"> negative CTA for central or segmental PE.</t>
  </si>
  <si>
    <t>323041-assessment-and-plan-0-4</t>
  </si>
  <si>
    <t>with
   non-specific EKG changes would be unlikely to have coronary event that
   could have caused these events.</t>
  </si>
  <si>
    <t>323041-assessment-and-plan-0-5</t>
  </si>
  <si>
    <t xml:space="preserve">
   - cycle cardiac enzymes
   - q6hct until stable
   - cards recs
   - transfuse 2 units of autologous blood
   - d/w ortho use of aspirin post-op
   2) Respiratory: no infiltrate or PE on imaging.</t>
  </si>
  <si>
    <t>323041-assessment-and-plan-0-6</t>
  </si>
  <si>
    <t>currently gas
   exchanging adequately.</t>
  </si>
  <si>
    <t>323041-assessment-and-plan-0-7</t>
  </si>
  <si>
    <t xml:space="preserve">
   - PSV
   - then stop propofol
   - extubate once following commands
   3) S/p left femural procedure: procedure aborted prematurely due to the
   above complications.</t>
  </si>
  <si>
    <t>323041-assessment-and-plan-0-8</t>
  </si>
  <si>
    <t xml:space="preserve">
   - pain control with fentanyl while intubated then morphine
   - lovenox prophylaxis
   - ortho recs for weight bearing once extubated
   4) Asthma - not active issue.</t>
  </si>
  <si>
    <t>323041-assessment-and-plan-0-9</t>
  </si>
  <si>
    <t>albuterol nebs for now.</t>
  </si>
  <si>
    <t>323041-assessment-and-plan-0-10</t>
  </si>
  <si>
    <t>then resume home
   meds.</t>
  </si>
  <si>
    <t>323041-assessment-and-plan-0-11</t>
  </si>
  <si>
    <t>ICU Care
   Nutrition:
   Glycemic Control: Blood sugar well controlled
   Lines:
   Arterial Line - [**2186-3-10**] 10:47 AM
   18 Gauge - [**2186-3-10**] 10:47 AM
   Prophylaxis:
   DVT: LMW Heparin
   Stress ulcer:
   VAP: HOB elevation
   Comments:</t>
  </si>
  <si>
    <t>323041-communication-0-0</t>
  </si>
  <si>
    <t>Family meeting held  Comments:</t>
  </si>
  <si>
    <t>323041-code-status-0-0</t>
  </si>
  <si>
    <t>323041-disposition-0-0</t>
  </si>
  <si>
    <t>323158-chief-complaint-0-0</t>
  </si>
  <si>
    <t>49 year old woman with history of asthma, DJD
   secondary to poorly healed femoral fracture admitted for hypotension,
   hypoxia complicated by PEA arrest intra-op.</t>
  </si>
  <si>
    <t>323158-24-hour-events-0-0</t>
  </si>
  <si>
    <t>ARTERIAL LINE - START [**2186-3-10**] 10:47 AM
 INVASIVE VENTILATION - START [**2186-3-10**] 12:33 PM
 INVASIVE VENTILATION - STOP [**2186-3-10**] 02:59 PM
   -Extubated
   -CTA negative for PE
   -Cards recs: ECHO in a few days to further eval for wall motion
   abnormalities, cycle enzymes, monitor Hct; feels this is not likely
   embolic event or ACS-&gt; likely due to acute blood loss
   -CE: 1st set: CK 89 MB 4 Trop 0.17, 2nd set: CK 217 MB 7 Trop 0.44,
   next check CK 226 MB 6 Trop 0.21
   -Hct stable over multiple checks, most recent 29.2 stable from 30.2
   prior.</t>
  </si>
  <si>
    <t>323158-24-hour-events-0-1</t>
  </si>
  <si>
    <t>-A-line no longer [**Location (un) 308**] a</t>
  </si>
  <si>
    <t>323158-allergies-0-0</t>
  </si>
  <si>
    <t>323158-other-medications-0-0</t>
  </si>
  <si>
    <t>323158-past-medical-history-0-0</t>
  </si>
  <si>
    <t>Changes to medical and family history:</t>
  </si>
  <si>
    <t>323158-review-of-systems-0-0</t>
  </si>
  <si>
    <t>Review of systems is unchanged from admission except as noted below
   Review of systems:</t>
  </si>
  <si>
    <t>323158-flowsheet-data-vitals-0-0</t>
  </si>
  <si>
    <t>Vital signs
   Hemodynamic monitoring
   Fluid balance
                                                                  24 hours
                                                               Since 12 AM
   Tmax: 37.7
C (99.8
   Tcurrent: 36.8
C (98.3
   HR: 83 (72 - 93) bpm
   BP: 91/53(61) {83/51(61) - 103/57(66)} mmHg
   RR: 23 (8 - 28) insp/min
   SpO2: 95%
   Heart rhythm: SR (Sinus Rhythm)
   Height: 60 Inch
             Total In:
                                                                  2,419 mL
                                                                     67 mL
   PO:
             TF:
   IVF:
                                                                  1,669 mL
                                                                     67 mL
   Blood products:
                                                                    750 mL
   Total out:
                                                                  1,190 mL
                                                                    220 mL
   Urine:
                                                                  1,030 mL
                                                                    220 mL
   NG:
   Stool:
   Drains:
   Balance:
                                                                  1,229 mL
                                                                   -153 mL
   Respiratory support
   100% on R</t>
  </si>
  <si>
    <t>323158-physical-examination-0-0</t>
  </si>
  <si>
    <t>General Appearance: Well nourished, Overweight / Obese, No(t) Anxious
   Eyes / Conjunctiva: PERRL, Conjunctiva pale
   Head, Ears, Nose, Throat: Normocephalic, Endotracheal tube
   Lymphatic: Cervical WNL
   Cardiovascular: (S1: Normal), (S2: Normal)
   Peripheral Vascular: (Right radial pulse: Present), (Left radial pulse:
   Present), (Right DP pulse: Present), (Left DP pulse: Present)
   Respiratory / Chest: (Expansion: Symmetric), (Percussion: Resonant : ),
   (Breath Sounds: Clear : )
   Abdominal: Soft, Bowel sounds present, Obese
   Extremities: Right: Trace, Left: Trace, left thigh wound
   Skin:  No(t) Rash: , No(t) J</t>
  </si>
  <si>
    <t>323158-labs-imaging-0-0</t>
  </si>
  <si>
    <t>mEq/L
   28.2 %
        [image002.jpg]
   AM labs pending
                             [**2186-3-10**]  10:45 AM
                             [**2186-3-10**]  11:01 AM
                             [**2186-3-10**]  11:30 AM
                             [**2186-3-10**]  02:15 PM
                             [**2186-3-10**]  04:41 PM
                             [**2186-3-10**]  06:10 PM
                             [**2186-3-10**]  11:13 PM
                             [**2186-3-11**]  05:17 AM
   WBC
   14.5
   Hct
   24.8
   30.2
   29.2
   28.2
   Plt
   292
   Cr
   0.7
   TropT
   0.17
   0.44
   0.21
   TCO2
   28
   28
   Glucose
   115
   Other labs: PT / PTT / INR:13.5/23.1/1.2, CK / CKMB /
   Troponin-T:226/6/0.21, Differential-Neuts:96.0 %, Band:0.0 %, Lymph:3.0
   %, Mono:1.0 %, Eos:0.0 %
   Imaging: CTA [**3-10**]: CONCLUSION:
   1.</t>
  </si>
  <si>
    <t>323158-labs-imaging-0-1</t>
  </si>
  <si>
    <t>323158-labs-imaging-0-2</t>
  </si>
  <si>
    <t>No aortic dissection.</t>
  </si>
  <si>
    <t>323158-labs-imaging-0-3</t>
  </si>
  <si>
    <t xml:space="preserve">
   The
   coronary arteries arise from normal expected anatomical location.</t>
  </si>
  <si>
    <t>323158-labs-imaging-0-4</t>
  </si>
  <si>
    <t>323158-labs-imaging-0-5</t>
  </si>
  <si>
    <t>323158-assessment-and-plan-0-0</t>
  </si>
  <si>
    <t>323158-assessment-and-plan-0-1</t>
  </si>
  <si>
    <t xml:space="preserve">
   1) PEA - Likely due to large volume loss.</t>
  </si>
  <si>
    <t>323158-assessment-and-plan-0-2</t>
  </si>
  <si>
    <t xml:space="preserve"> Other differential includes
   fat embolism, PE, MI.</t>
  </si>
  <si>
    <t>323158-assessment-and-plan-0-3</t>
  </si>
  <si>
    <t>Of these acute blood loss +/- fat embolism would
   be most likely.</t>
  </si>
  <si>
    <t>323158-assessment-and-plan-0-4</t>
  </si>
  <si>
    <t xml:space="preserve"> Negative CTA for central or segmental PE with
   non-specific EKG changes would be unlikely to have coronary event that
   could have caused these events.</t>
  </si>
  <si>
    <t>323158-assessment-and-plan-0-5</t>
  </si>
  <si>
    <t xml:space="preserve"> Large troponin leak and CK elevation
   in the setting of PEA/VFib arrest.</t>
  </si>
  <si>
    <t>323158-assessment-and-plan-0-6</t>
  </si>
  <si>
    <t xml:space="preserve"> Trop peaked at 0.44, now
   downtrending.</t>
  </si>
  <si>
    <t>323158-assessment-and-plan-0-7</t>
  </si>
  <si>
    <t>All CE down at this point.</t>
  </si>
  <si>
    <t>323158-assessment-and-plan-0-8</t>
  </si>
  <si>
    <t>Patient is now s/p 2 units
   pRBCs.</t>
  </si>
  <si>
    <t>323158-assessment-and-plan-0-9</t>
  </si>
  <si>
    <t xml:space="preserve">
   - No need to further cycle CE
   - Continue to follow HCT q6H today as patient had large volume loss and
   HCT is slowly drifting downward
   - Appreciate cardiology recs, will get repeat ECHO in several days to
   re-eval possible posterior wall hypokinesis
   - Started on baby aspirin
   2) Respiratory: Patient successfully extubated with no complications.</t>
  </si>
  <si>
    <t>323158-assessment-and-plan-0-10</t>
  </si>
  <si>
    <t xml:space="preserve">
   Good gas exchange.</t>
  </si>
  <si>
    <t>323158-assessment-and-plan-0-11</t>
  </si>
  <si>
    <t xml:space="preserve">
   3) S/p left femural procedure: procedure aborted prematurely due to the
   above complications.</t>
  </si>
  <si>
    <t>323158-assessment-and-plan-0-12</t>
  </si>
  <si>
    <t xml:space="preserve">
   - Pain control with vicodin as per home regimen and morphine
   - Lovenox prophylaxis per ortho recommendations
   - CPM, partial weight bearing on LLE and PT consult
   4) Asthma - Stable.</t>
  </si>
  <si>
    <t>323158-assessment-and-plan-0-13</t>
  </si>
  <si>
    <t>Will resume home medications
   ICU Care
   Nutrition:
   Full diet
   Glycemic Control: Adequate
   Lines:
   Arterial Line - [**2186-3-10**] 10:47 AM
   18 Gauge - [**2186-3-10**] 10:47 AM
   Prophylaxis:
   DVT: Boots, LMW Heparin
   Stress ulcer: PPI
   VAP:  NA
   Comments:</t>
  </si>
  <si>
    <t>323158-communication-0-0</t>
  </si>
  <si>
    <t>323158-code-status-0-0</t>
  </si>
  <si>
    <t>323158-disposition-0-0</t>
  </si>
  <si>
    <t>Call out to ortho s</t>
  </si>
  <si>
    <t>323154-chief-complaint-0-0</t>
  </si>
  <si>
    <t>323154-history-of-present-illness-0-0</t>
  </si>
  <si>
    <t>323154-history-of-present-illness-0-1</t>
  </si>
  <si>
    <t xml:space="preserve">
   Overnight, pt extubated.</t>
  </si>
  <si>
    <t>323154-history-of-present-illness-0-2</t>
  </si>
  <si>
    <t>323154-history-of-present-illness-0-3</t>
  </si>
  <si>
    <t>323154-history-of-present-illness-0-4</t>
  </si>
  <si>
    <t>323154-history-of-present-illness-0-5</t>
  </si>
  <si>
    <t>24 Hour Events:
 ARTERIAL LINE - START [**2186-3-10**] 10:47 AM
 INVASIVE VENTILATION - START [**2186-3-10**] 12:33 PM
 INVASIVE VENTILATION - STOP [**2186-3-10**] 02:59 PM
   History obtained from Medical records, [**Hospital Unit Name 44**] h</t>
  </si>
  <si>
    <t>323154-allergies-0-0</t>
  </si>
  <si>
    <t>323154-other-medications-0-0</t>
  </si>
  <si>
    <t>323154-past-medical-history-0-0</t>
  </si>
  <si>
    <t>323154-flowsheet-data-vitals-0-0</t>
  </si>
  <si>
    <t>323154-physical-examination-0-0</t>
  </si>
  <si>
    <t>General Appearance: Well nourished, No(t) No acute distress, Overweight
   / Obese, No(t) Anxious, No(t) Diaphoretic
   Eyes / Conjunctiva: PERRL, No(t) Pupils dilated, No(t) Conjunctiva
   pale, No(t) Sclera edema
   Head, Ears, Nose, Throat: Normocephalic, No(t) Endotracheal tube, No(t)
   NG tube, No(t) OG tube
   Cardiovascular: (PMI Normal, No(t) Hyperdynamic), (S1: Normal, No(t)
   Absent), (S2: Normal, No(t) Distant, No(t) Widely split , No(t) Fixed),
   No(t) S3, No(t) S4, No(t) Rub, (Murmur: No(t) Systolic, No(t)
   Diastolic)
   Peripheral Vascular: (Right radial pulse: Not assessed), (Left radial
   pulse: Not assessed), (Right DP pulse: Present), (Left DP pulse:
   Present)
   Respiratory / Chest: (Expansion: Symmetric), (Breath Sounds: Clear : ,
   No(t) Crackles : , No(t) Wheezes : , No(t) Diminished: , No(t)
   Rhonchorous: )
   Abdominal: Soft, Non-tender, Bowel sounds present
   Extremities: Right: Absent, Left: Absent, No(t) Cyanosis, No(t)
   Clubbing, left thigh surgical dressing
   Musculoskeletal: Unable to stand
   Skin:  Not assessed
   Neurologic: Attentive, Follows simple commands, Responds to: Verbal
   stimuli, Oriented (to): , Movement: Not assessed, Tone: Not a</t>
  </si>
  <si>
    <t>323154-assessment-and-plan-0-0</t>
  </si>
  <si>
    <t>Acute blood loss anemia: no further Hct drop since [**Hospital Unit Name 44**] transfer,
   continue serial HCT
   Resp failure: now extubated
   Femoral fracture: operation was aborted due to intra-op arrest.</t>
  </si>
  <si>
    <t>323154-assessment-and-plan-0-1</t>
  </si>
  <si>
    <t>Ortho
   following
   Echo abnormalities: ppossible posterior HK seen on intra op Echo, but
   limited technically limited and in the setting of acute blood loss.</t>
  </si>
  <si>
    <t>323154-assessment-and-plan-0-2</t>
  </si>
  <si>
    <t>per
   cards, rec repeat Echo.</t>
  </si>
  <si>
    <t>323154-assessment-and-plan-0-3</t>
  </si>
  <si>
    <t>323154-assessment-and-plan-0-4</t>
  </si>
  <si>
    <t>323154-communication-0-0</t>
  </si>
  <si>
    <t>323154-code-status-0-0</t>
  </si>
  <si>
    <t>323154-disposition-0-0</t>
  </si>
  <si>
    <t>323138-24-hour-events-0-0</t>
  </si>
  <si>
    <t>323138-24-hour-events-0-1</t>
  </si>
  <si>
    <t>323138-allergies-0-0</t>
  </si>
  <si>
    <t>323138-other-medications-0-0</t>
  </si>
  <si>
    <t>323138-flowsheet-data-vitals-0-0</t>
  </si>
  <si>
    <t>Vital signs
   Hemodynamic monitoring
   Fluid balance
                                                                  24 hours
                                                               Since 12 AM
   Tmax: 37.7
C (99.8
   Tcurrent: 36.8
C (98.3
   HR: 83 (72 - 93) bpm
   BP: 91/53(61) {83/51(61) - 103/57(66)} mmHg
   RR: 23 (8 - 28) insp/min
   SpO2: 95%
   Heart rhythm: SR (Sinus Rhythm)
   Height: 60 Inch
             Total In:
                                                                  2,419 mL
                                                                     67 mL
   PO:
             TF:
   IVF:
                                                                  1,669 mL
                                                                     67 mL
   Blood products:
                                                                    750 mL
   Total out:
                                                                  1,190 mL
                                                                    220 mL
   Urine:
                                                                  1,030 mL
                                                                    220 mL
   NG:
   Stool:
   Drains:
   Balance:
                                                                  1,229 mL
                                                                   -153 mL
   Respiratory support
   O2 Delivery Device: CPAP mask
   Ventilator mode: CPAP
   Vt (Set): 600 (600 - 600) mL
   Vt (Spontaneous): 550 (438 - 550) mL
   PS : 5 cmH2O
   RR (Set): 14
   RR (Spontaneous): 17
   PEEP: 10 cmH2O
   FiO2: 21%
   PIP: 33 cmH2O
   Plateau: 27 cmH2O
   SpO2: 95%
   ABG: 7.36/47/193/23/0
   Ve: 8.2 L/min
   PaO2 / FiO2: 9</t>
  </si>
  <si>
    <t>323138-physical-examination-0-0</t>
  </si>
  <si>
    <t>323138-labs-imaging-0-0</t>
  </si>
  <si>
    <t>292 K/uL
   8.4 g/dL
   115 mg/dL
   0.7 mg/dL
   23 mEq/L
   3.9 mEq/L
   17 mg/dL
   109 mEq/L
   139 mEq/L
   28.2 %
   14.5 K/uL
        [image002.jpg]
                             [**2186-3-10**]  10:45 AM
                             [**2186-3-10**]  11:01 AM
                             [**2186-3-10**]  11:30 AM
                             [**2186-3-10**]  02:15 PM
                             [**2186-3-10**]  04:41 PM
                             [**2186-3-10**]  06:10 PM
                             [**2186-3-10**]  11:13 PM
                             [**2186-3-11**]  05:17 AM
   WBC
   14.5
   Hct
   24.8
   30.2
   29.2
   28.2
   Plt
   292
   Cr
   0.7
   TropT
   0.17
   0.44
   0.21
   TCO2
   28
   28
   Glucose
   115
   Other labs: PT / PTT / INR:13.5/23.1/1.2, CK / CKMB /
   Troponin-T:226/6/0.21, Differential-Neuts:96.0 %, Band:0.0 %, Lymph:3.0
   %, Mono:1.0 %, Eos:0.0 %
   Imaging: CTA [**3-10**]: CONCLUSION:
   1.</t>
  </si>
  <si>
    <t>323138-labs-imaging-0-1</t>
  </si>
  <si>
    <t>323138-labs-imaging-0-2</t>
  </si>
  <si>
    <t>323138-labs-imaging-0-3</t>
  </si>
  <si>
    <t>323138-labs-imaging-0-4</t>
  </si>
  <si>
    <t>323138-labs-imaging-0-5</t>
  </si>
  <si>
    <t>323138-assessment-and-plan-0-0</t>
  </si>
  <si>
    <t>323138-assessment-and-plan-0-1</t>
  </si>
  <si>
    <t>323138-assessment-and-plan-0-2</t>
  </si>
  <si>
    <t xml:space="preserve"> leading differential would
   be for severe acute blood loss, fat embolism, PE, MI.</t>
  </si>
  <si>
    <t>323138-assessment-and-plan-0-3</t>
  </si>
  <si>
    <t>of these acute
   blood loss +/- fat embolism would be most likely.</t>
  </si>
  <si>
    <t>323138-assessment-and-plan-0-4</t>
  </si>
  <si>
    <t xml:space="preserve"> negative CTA for
   central or segmental PE.</t>
  </si>
  <si>
    <t>323138-assessment-and-plan-0-5</t>
  </si>
  <si>
    <t>with non-specific EKG changes would be
   unlikely to have coronary event that could have caused these events.</t>
  </si>
  <si>
    <t>323138-assessment-and-plan-0-6</t>
  </si>
  <si>
    <t xml:space="preserve">
   Large troponin leak and CK elevation in the setting of PEA/VFib
   arrest.</t>
  </si>
  <si>
    <t>323138-assessment-and-plan-0-7</t>
  </si>
  <si>
    <t xml:space="preserve"> Trop peaked at 0.44, now downtrending.</t>
  </si>
  <si>
    <t>323138-assessment-and-plan-0-8</t>
  </si>
  <si>
    <t>CK stil rising.</t>
  </si>
  <si>
    <t>323138-assessment-and-plan-0-9</t>
  </si>
  <si>
    <t>Patient
   is now s/p 2 units pRBCs.</t>
  </si>
  <si>
    <t>323138-assessment-and-plan-0-10</t>
  </si>
  <si>
    <t xml:space="preserve">
   - Cycle CK until downtrending
   - Continue to follow HCT q6H today as patient had large volume loss and
   HCT is slowly drifting downward
   - Appreciate cardiology recs, will get repeat ECHO in several days to
   re-eval possible posterior wall hypokinesis
   - Started on baby aspirin
   2) Respiratory: Patient successfully extubated with no complications.</t>
  </si>
  <si>
    <t>323138-assessment-and-plan-0-11</t>
  </si>
  <si>
    <t>323138-assessment-and-plan-0-12</t>
  </si>
  <si>
    <t>323138-assessment-and-plan-0-13</t>
  </si>
  <si>
    <t xml:space="preserve">
   - pain control with fentanyl while intubated then morphine
   - lovenox prophylaxis per ortho recommendations
   - Plan for CPM, partial weight bearing on LLE and CPM device per ortho
   today
   4) Asthma - Stable.</t>
  </si>
  <si>
    <t>323138-assessment-and-plan-0-14</t>
  </si>
  <si>
    <t>323138-communication-0-0</t>
  </si>
  <si>
    <t>323138-code-status-0-0</t>
  </si>
  <si>
    <t>323138-disposition-0-0</t>
  </si>
  <si>
    <t>Consider call out later t</t>
  </si>
  <si>
    <t>323140-chief-complaint-0-0</t>
  </si>
  <si>
    <t>323140-24-hour-events-0-0</t>
  </si>
  <si>
    <t>323140-24-hour-events-0-1</t>
  </si>
  <si>
    <t>323140-allergies-0-0</t>
  </si>
  <si>
    <t>323140-other-medications-0-0</t>
  </si>
  <si>
    <t>323140-flowsheet-data-vitals-0-0</t>
  </si>
  <si>
    <t>323140-physical-examination-0-0</t>
  </si>
  <si>
    <t>323140-labs-imaging-0-0</t>
  </si>
  <si>
    <t>115 mg/dL
   0.7 mg/dL
   23 mEq/L
   3.9 mEq/L
   17 mg/dL
   109 mEq/L
   139 mEq/L
   28.2 %
        [image002.jpg] OLD
                             [**2186-3-10**]  10:45 AM
                             [**2186-3-10**]  11:01 AM
                             [**2186-3-10**]  11:30 AM
                             [**2186-3-10**]  02:15 PM
                             [**2186-3-10**]  04:41 PM
                             [**2186-3-10**]  06:10 PM
                             [**2186-3-10**]  11:13 PM
                             [**2186-3-11**]  05:17 AM
   WBC
   14.5
   Hct
   24.8
   30.2
   29.2
   28.2
   Plt
   292
   Cr
   0.7
   TropT
   0.17
   0.44
   0.21
   TCO2
   28
   28
   Glucose
   115
   Other labs: PT / PTT / INR:13.5/23.1/1.2, CK / CKMB /
   Troponin-T:226/6/0.21, Differential-Neuts:96.0 %, Band:0.0 %, Lymph:3.0
   %, Mono:1.0 %, Eos:0.0 %
   Imaging: CTA [**3-10**]: CONCLUSION:
   1.</t>
  </si>
  <si>
    <t>323140-labs-imaging-0-1</t>
  </si>
  <si>
    <t>323140-labs-imaging-0-2</t>
  </si>
  <si>
    <t>323140-labs-imaging-0-3</t>
  </si>
  <si>
    <t>323140-labs-imaging-0-4</t>
  </si>
  <si>
    <t>323140-labs-imaging-0-5</t>
  </si>
  <si>
    <t>323140-assessment-and-plan-0-0</t>
  </si>
  <si>
    <t>323140-assessment-and-plan-0-1</t>
  </si>
  <si>
    <t>323140-assessment-and-plan-0-2</t>
  </si>
  <si>
    <t>323140-assessment-and-plan-0-3</t>
  </si>
  <si>
    <t>323140-assessment-and-plan-0-4</t>
  </si>
  <si>
    <t>323140-assessment-and-plan-0-5</t>
  </si>
  <si>
    <t>323140-assessment-and-plan-0-6</t>
  </si>
  <si>
    <t>323140-assessment-and-plan-0-7</t>
  </si>
  <si>
    <t>323140-assessment-and-plan-0-8</t>
  </si>
  <si>
    <t>323140-assessment-and-plan-0-9</t>
  </si>
  <si>
    <t>323140-assessment-and-plan-0-10</t>
  </si>
  <si>
    <t>323140-assessment-and-plan-0-11</t>
  </si>
  <si>
    <t>323140-assessment-and-plan-0-12</t>
  </si>
  <si>
    <t>323140-assessment-and-plan-0-13</t>
  </si>
  <si>
    <t>323140-assessment-and-plan-0-14</t>
  </si>
  <si>
    <t>323140-communication-0-0</t>
  </si>
  <si>
    <t>323140-code-status-0-0</t>
  </si>
  <si>
    <t>323140-disposition-0-0</t>
  </si>
  <si>
    <t>22966-allergies-0-0</t>
  </si>
  <si>
    <t>Codeine / Penicillins / Demerol / Ampicillin / Melon F</t>
  </si>
  <si>
    <t>22966-chief-complaint-0-0</t>
  </si>
  <si>
    <t>Left femur d</t>
  </si>
  <si>
    <t>22966-major-surgical-or-invasive-procedure-0-0</t>
  </si>
  <si>
    <t>[**2186-3-10**]: attempted femoral O</t>
  </si>
  <si>
    <t>22966-history-of-present-illness-0-0</t>
  </si>
  <si>
    <t>The patient is a 49 year old female who had a left femur
fracture approximately 25 years ago which was treated with
traction.</t>
  </si>
  <si>
    <t>22966-history-of-present-illness-0-1</t>
  </si>
  <si>
    <t xml:space="preserve"> She was left with a left leg deformity.</t>
  </si>
  <si>
    <t>22966-history-of-present-illness-0-2</t>
  </si>
  <si>
    <t xml:space="preserve"> She now
presents for treatment.</t>
  </si>
  <si>
    <t>22966-past-medical-history-0-0</t>
  </si>
  <si>
    <t>L femur fracture 25years ago treated by traction
Left t</t>
  </si>
  <si>
    <t>22966-social-history-0-0</t>
  </si>
  <si>
    <t>art teach; former smoker; rare e</t>
  </si>
  <si>
    <t>22966-family-history-0-0</t>
  </si>
  <si>
    <t>22966-physical-examination-0-0</t>
  </si>
  <si>
    <t>Upon discharge
AVSS
NAD
A+O
CTA b/l
RRR
S/NT/ND
LLE: incision c/d/i
     NVI d</t>
  </si>
  <si>
    <t>22966-labs-imaging-0-0</t>
  </si>
  <si>
    <t>[**2186-3-10**] 11:13PM   CK(CPK)-226*
[**2186-3-10**] 11:13PM   CK-MB-6 cTropnT-0.21*
[**2186-3-10**] 11:13PM   HCT-29.2*
[**2186-3-10**] 06:10PM   HCT-30.2*
[**2186-3-10**] 04:41PM   CK(CPK)-217*
[**2186-3-10**] 04:41PM   CK-MB-7 cTropnT-0.44*
[**2186-3-10**] 02:15PM   TYPE-ART TEMP-36.2 RATES-/17 O2-50 PO2-193*
PCO2-47* PH-7.36 TOTAL CO2-28 BASE XS-0 INTUBATED-INTUBATED
[**2186-3-10**] 11:30AM   GLUCOSE-115* UREA N-17 CREAT-0.7 SODIUM-139
POTASSIUM-3.9 CHLORIDE-109* TOTAL CO2-23 ANION GAP-11
[**2186-3-10**] 11:30AM   estGFR-Using this
[**2186-3-10**] 11:30AM   CK(CPK)-89
[**2186-3-10**] 11:30AM   CK-MB-4 cTropnT-0.17*
[**2186-3-10**] 11:01AM   TYPE-ART PO2-275* PCO2-45 PH-7.39 TOTAL
CO2-28 BASE XS-2
[**2186-3-10**] 10:45AM   WBC-14.5*# RBC-2.97* HGB-8.4* HCT-24.8*
MCV-83 MCH-28.1 MCHC-33.8 RDW-13.7
[**2186-3-10**] 10:45AM   NEUTS-96* BANDS-0 LYMPHS-3* MONOS-1* EOS-0
BASOS-0 ATYPS-0 METAS-0 MYELOS-0
[**2186-3-10**] 10:45AM   HYPOCHROM-1+ ANISOCYT-NORMAL POIKILOCY-NORMAL
MACROCYT-NORMAL MICROCYT-2+ POLYCHROM-NORMAL
[**2186-3-10**] 10:45AM   PLT SMR-NORMAL PLT COUNT-292
[**2186-3-10**] 10:45AM   PT-13.5* PTT-23.1 INR(PT)-1.2*</t>
  </si>
  <si>
    <t>22966-labs-imaging-0-1</t>
  </si>
  <si>
    <t>[**2186-3-10**] 10:45AM   RET AUT-1.3
[**2186-3-10**] 09:20AM   TYPE-ART PO2-36* PCO2-44 PH-7.37 TOTAL CO2-26
BASE XS-0
[**2186-3-10**] 09:20AM   GLUCOSE-196* LACTATE-4.0* NA+-137 K+-2.9*
CL--104
[**2186-3-10**] 09:20AM   HGB-10.0* calcHCT-30
[**2186-3-10**] 09:20AM   f</t>
  </si>
  <si>
    <t>22966-hospital-course-0-0</t>
  </si>
  <si>
    <t>The patient was brought to the operating room on [**2186-3-14**] for a
left femur osteotomy.</t>
  </si>
  <si>
    <t>22966-hospital-course-0-1</t>
  </si>
  <si>
    <t xml:space="preserve"> See operative note for details.</t>
  </si>
  <si>
    <t>22966-hospital-course-0-2</t>
  </si>
  <si>
    <t xml:space="preserve"> Her
operation was complicated by desaturation and hypotension and
was aborted.</t>
  </si>
  <si>
    <t>22966-hospital-course-0-3</t>
  </si>
  <si>
    <t xml:space="preserve"> The wound was closed and she was transferred to
the ICU for further management.</t>
  </si>
  <si>
    <t>22966-hospital-course-0-4</t>
  </si>
  <si>
    <t xml:space="preserve"> A CTA was done that was
negative.</t>
  </si>
  <si>
    <t>22966-hospital-course-0-5</t>
  </si>
  <si>
    <t xml:space="preserve"> Differential diagnosis was fat emboli versus acute
blood loss.</t>
  </si>
  <si>
    <t>22966-hospital-course-0-6</t>
  </si>
  <si>
    <t xml:space="preserve"> She was stabilized and extubated in the ICU and
transferred to the floor to the orthopedic service.</t>
  </si>
  <si>
    <t>22966-hospital-course-0-7</t>
  </si>
  <si>
    <t xml:space="preserve"> Her labs
and vital signs remained stable.</t>
  </si>
  <si>
    <t>22966-hospital-course-0-8</t>
  </si>
  <si>
    <t xml:space="preserve"> She was evaluated by physical
therapy and progressed well.</t>
  </si>
  <si>
    <t>22966-hospital-course-0-9</t>
  </si>
  <si>
    <t xml:space="preserve"> Her hospital course was otherwise
wihout incident.</t>
  </si>
  <si>
    <t>22966-hospital-course-0-10</t>
  </si>
  <si>
    <t xml:space="preserve"> She is being dicharged today in stable
condition.</t>
  </si>
  <si>
    <t>22966-discharge-medications-0-0</t>
  </si>
  <si>
    <t>Hydrocodone-Acetaminophen 5-500 mg Tablet Sig: 1-2 Tablets PO
Q6H (every 6 hours) as needed for hip pain.</t>
  </si>
  <si>
    <t>22966-discharge-medications-0-1</t>
  </si>
  <si>
    <t xml:space="preserve">
Disp:*90 Tablet(s)* Refills:*0*
2.</t>
  </si>
  <si>
    <t>22966-discharge-medications-0-2</t>
  </si>
  <si>
    <t>Bupropion 150 mg Tablet Sustained Release Sig: One (1) Tablet
Sustained Release PO BID (2 times a day).</t>
  </si>
  <si>
    <t>22966-discharge-medications-0-3</t>
  </si>
  <si>
    <t>Fluticasone-Salmeterol 100-50 mcg/Dose Disk with Device Sig:
One (1) Disk with Device Inhalation [**Hospital1 **] (2 times a day).</t>
  </si>
  <si>
    <t>22966-discharge-medications-0-4</t>
  </si>
  <si>
    <t>22966-discharge-medications-0-5</t>
  </si>
  <si>
    <t>Enoxaparin 30 mg/0.3 mL Syringe Sig: One (1) 30 mg syringe
Subcutaneous Q12H (every 12 hours) for 3 weeks.</t>
  </si>
  <si>
    <t>22966-discharge-medications-0-6</t>
  </si>
  <si>
    <t xml:space="preserve">
Disp:*42 30 mg syringe* Refills:*0*
6.</t>
  </si>
  <si>
    <t>22966-discharge-medications-0-7</t>
  </si>
  <si>
    <t>Outpatient Physical Therapy
s/p attempted L femoral osteotomy
generalized ROM + strengthening, gait training
2x/wk x 6 w</t>
  </si>
  <si>
    <t>22966-discharge-disposition-0-0</t>
  </si>
  <si>
    <t>22966-discharge-diagnosis-0-0</t>
  </si>
  <si>
    <t>Left femur malunion
Demand i</t>
  </si>
  <si>
    <t>22966-discharge-condition-0-0</t>
  </si>
  <si>
    <t>S</t>
  </si>
  <si>
    <t>22966-discharge-instructions-0-0</t>
  </si>
  <si>
    <t>You may continue to bear weight on your left leg.</t>
  </si>
  <si>
    <t>22966-discharge-instructions-1-0</t>
  </si>
  <si>
    <t xml:space="preserve">
Please keep incision clean and dry.</t>
  </si>
  <si>
    <t>22966-discharge-instructions-1-1</t>
  </si>
  <si>
    <t xml:space="preserve"> Dry dressing daily as
needed.  If you notice any increased rednesss, swelling,
drainage, temperature &gt;101.4, or difficulty breathing please
[**Name8 (MD) 138**] MD or report to the emergency room.</t>
  </si>
  <si>
    <t>22966-discharge-instructions-2-0</t>
  </si>
  <si>
    <t xml:space="preserve">
Please take all medications as prescribed.</t>
  </si>
  <si>
    <t>22966-discharge-instructions-2-1</t>
  </si>
  <si>
    <t xml:space="preserve"> You need to take the
lovenox injections for 3 weeks to prevent blood clots.</t>
  </si>
  <si>
    <t>22966-discharge-instructions-2-2</t>
  </si>
  <si>
    <t xml:space="preserve"> You may
resume any normal home medications.</t>
  </si>
  <si>
    <t>22966-discharge-instructions-3-0</t>
  </si>
  <si>
    <t xml:space="preserve">
Please follow up as below.</t>
  </si>
  <si>
    <t>22966-discharge-instructions-3-1</t>
  </si>
  <si>
    <t xml:space="preserve"> Call with any questions or concerns.</t>
  </si>
  <si>
    <t>22966-discharge-instructions-4-0</t>
  </si>
  <si>
    <t xml:space="preserve">
Followup Instructions:
Please follow up with Dr.</t>
  </si>
  <si>
    <t>22966-discharge-instructions-4-1</t>
  </si>
  <si>
    <t>[**First Name (STitle) **] is 2 weeks.</t>
  </si>
  <si>
    <t>22966-discharge-instructions-4-2</t>
  </si>
  <si>
    <t xml:space="preserve"> Call [**Telephone/Fax (1) **]
to make that appointment.</t>
  </si>
  <si>
    <t>how correct</t>
  </si>
  <si>
    <t>Bio-medical examples</t>
  </si>
  <si>
    <t>Non-bio medical examples</t>
  </si>
  <si>
    <t>Examples</t>
  </si>
  <si>
    <t>Propbank</t>
  </si>
  <si>
    <t>AMR Proofing Page</t>
  </si>
  <si>
    <t>Resources</t>
  </si>
  <si>
    <t>maybe the holder (you) is wrong</t>
  </si>
  <si>
    <t>diff is thing held is a product vs molecule</t>
  </si>
  <si>
    <t>not a complete sentence</t>
  </si>
  <si>
    <t>makes baseline a location</t>
  </si>
  <si>
    <t>added "spaceship"</t>
  </si>
  <si>
    <t>adds "drink-01" and seveal wrong nodes under it</t>
  </si>
  <si>
    <t>Missed "hayfever" token</t>
  </si>
  <si>
    <t>added several many nodes not given in the text</t>
  </si>
  <si>
    <t>added spurious disease node; added '(' token in name and several repitiions of "sodium"</t>
  </si>
  <si>
    <t>misclassifies spell-01 (spelling); adds 'amr-unknown' node; questionable :time role</t>
  </si>
  <si>
    <t>comments</t>
  </si>
  <si>
    <t>poorly written</t>
  </si>
  <si>
    <t>issue with prophylaxis, but ambiguous from text; poor metabolizer is wrong CUI</t>
  </si>
  <si>
    <t>breaks up diseases but still correct</t>
  </si>
  <si>
    <t>wrong "present" propbank; missed "RAD", repeated TKR; missed respiratory distriess with out of playce tachycardia; repeats TKR; combined 02 and diastolic</t>
  </si>
  <si>
    <t>go should be connected with down; incorrect use of down-01; halucinated CUI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</si>
</sst>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ont>
    <font>
      <sz val="10"/>
      <color rgb="FF000000"/>
      <name val="Tahoma"/>
      <family val="2"/>
    </font>
    <font>
      <b/>
      <sz val="10"/>
      <color rgb="FF000000"/>
      <name val="Tahoma"/>
      <family val="2"/>
    </font>
    <font>
      <u/>
      <sz val="11"/>
      <color theme="10"/>
      <name val="Calibri"/>
      <family val="2"/>
      <scheme val="minor"/>
    </font>
    <font>
      <sz val="16"/>
      <color theme="1"/>
      <name val="Calibri"/>
      <family val="2"/>
      <scheme val="minor"/>
    </font>
    <font>
      <u/>
      <sz val="16"/>
      <color theme="10"/>
      <name val="Calibri"/>
      <family val="2"/>
      <scheme val="minor"/>
    </font>
    <font>
      <b/>
      <sz val="16"/>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5" fillId="0" borderId="0" xfId="0" applyFont="1"/>
    <xf numFmtId="0" fontId="6" fillId="0" borderId="0" xfId="1" applyFont="1"/>
    <xf numFmtId="0" fontId="7"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nlpdeep.cs.uic.edu:8080/examples/" TargetMode="External"/><Relationship Id="rId2" Type="http://schemas.openxmlformats.org/officeDocument/2006/relationships/hyperlink" Target="http://nlpdeep.cs.uic.edu:8080/examples/bio/" TargetMode="External"/><Relationship Id="rId1" Type="http://schemas.openxmlformats.org/officeDocument/2006/relationships/hyperlink" Target="http://nlpdeep.cs.uic.edu:8080/examples/bank-struct/" TargetMode="External"/><Relationship Id="rId5" Type="http://schemas.openxmlformats.org/officeDocument/2006/relationships/hyperlink" Target="http://nlpdeep.cs.uic.edu:8080/" TargetMode="External"/><Relationship Id="rId4" Type="http://schemas.openxmlformats.org/officeDocument/2006/relationships/hyperlink" Target="http://nlpdeep.cs.uic.edu:8080/propba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78"/>
  <sheetViews>
    <sheetView workbookViewId="0">
      <selection activeCell="B1" sqref="B1"/>
    </sheetView>
  </sheetViews>
  <sheetFormatPr baseColWidth="10" defaultColWidth="8.83203125" defaultRowHeight="15" x14ac:dyDescent="0.2"/>
  <cols>
    <col min="1" max="1" width="34.5" customWidth="1"/>
    <col min="2" max="2" width="23.33203125" customWidth="1"/>
    <col min="3" max="3" width="16.83203125" customWidth="1"/>
    <col min="9" max="9" width="164.1640625" customWidth="1"/>
  </cols>
  <sheetData>
    <row r="1" spans="1:9" x14ac:dyDescent="0.2">
      <c r="A1" s="1" t="s">
        <v>0</v>
      </c>
      <c r="B1" s="1" t="s">
        <v>5578</v>
      </c>
      <c r="C1" s="1" t="s">
        <v>1</v>
      </c>
      <c r="D1" s="1" t="s">
        <v>2</v>
      </c>
      <c r="E1" s="1" t="s">
        <v>3</v>
      </c>
      <c r="F1" s="1" t="s">
        <v>4</v>
      </c>
      <c r="G1" s="1" t="s">
        <v>5</v>
      </c>
      <c r="H1" s="1" t="s">
        <v>6</v>
      </c>
      <c r="I1" s="1" t="s">
        <v>7</v>
      </c>
    </row>
    <row r="2" spans="1:9" x14ac:dyDescent="0.2">
      <c r="A2" t="s">
        <v>8</v>
      </c>
      <c r="D2" t="str">
        <f>HYPERLINK("http://nlpdeep.cs.uic.edu:8080/proofing/t5/532406-chief-complaint-0-0.pdf","t5/532406-chief-complaint-0-0.pdf")</f>
        <v>t5/532406-chief-complaint-0-0.pdf</v>
      </c>
      <c r="E2">
        <v>119960</v>
      </c>
      <c r="F2">
        <v>532406</v>
      </c>
      <c r="G2" t="s">
        <v>9</v>
      </c>
      <c r="H2" t="s">
        <v>10</v>
      </c>
      <c r="I2" t="s">
        <v>11</v>
      </c>
    </row>
    <row r="3" spans="1:9" x14ac:dyDescent="0.2">
      <c r="A3" t="s">
        <v>8</v>
      </c>
      <c r="D3" t="str">
        <f>HYPERLINK("http://nlpdeep.cs.uic.edu:8080/proofing/gsii/532406-chief-complaint-0-0.pdf","gsii/532406-chief-complaint-0-0.pdf")</f>
        <v>gsii/532406-chief-complaint-0-0.pdf</v>
      </c>
      <c r="E3">
        <v>119960</v>
      </c>
      <c r="F3">
        <v>532406</v>
      </c>
      <c r="G3" t="s">
        <v>9</v>
      </c>
      <c r="H3" t="s">
        <v>10</v>
      </c>
      <c r="I3" t="s">
        <v>11</v>
      </c>
    </row>
    <row r="4" spans="1:9" x14ac:dyDescent="0.2">
      <c r="A4" t="s">
        <v>12</v>
      </c>
      <c r="D4" t="str">
        <f>HYPERLINK("http://nlpdeep.cs.uic.edu:8080/proofing/t5/532406-history-of-present-illness-0-0.pdf","t5/532406-history-of-present-illness-0-0.pdf")</f>
        <v>t5/532406-history-of-present-illness-0-0.pdf</v>
      </c>
      <c r="E4">
        <v>119960</v>
      </c>
      <c r="F4">
        <v>532406</v>
      </c>
      <c r="G4" t="s">
        <v>9</v>
      </c>
      <c r="H4" t="s">
        <v>13</v>
      </c>
      <c r="I4" t="s">
        <v>14</v>
      </c>
    </row>
    <row r="5" spans="1:9" x14ac:dyDescent="0.2">
      <c r="A5" t="s">
        <v>12</v>
      </c>
      <c r="D5" t="str">
        <f>HYPERLINK("http://nlpdeep.cs.uic.edu:8080/proofing/gsii/532406-history-of-present-illness-0-0.pdf","gsii/532406-history-of-present-illness-0-0.pdf")</f>
        <v>gsii/532406-history-of-present-illness-0-0.pdf</v>
      </c>
      <c r="E5">
        <v>119960</v>
      </c>
      <c r="F5">
        <v>532406</v>
      </c>
      <c r="G5" t="s">
        <v>9</v>
      </c>
      <c r="H5" t="s">
        <v>13</v>
      </c>
      <c r="I5" t="s">
        <v>14</v>
      </c>
    </row>
    <row r="6" spans="1:9" x14ac:dyDescent="0.2">
      <c r="A6" t="s">
        <v>15</v>
      </c>
      <c r="D6" t="str">
        <f>HYPERLINK("http://nlpdeep.cs.uic.edu:8080/proofing/t5/532406-history-of-present-illness-0-1.pdf","t5/532406-history-of-present-illness-0-1.pdf")</f>
        <v>t5/532406-history-of-present-illness-0-1.pdf</v>
      </c>
      <c r="E6">
        <v>119960</v>
      </c>
      <c r="F6">
        <v>532406</v>
      </c>
      <c r="G6" t="s">
        <v>9</v>
      </c>
      <c r="H6" t="s">
        <v>13</v>
      </c>
      <c r="I6" t="s">
        <v>16</v>
      </c>
    </row>
    <row r="7" spans="1:9" x14ac:dyDescent="0.2">
      <c r="A7" t="s">
        <v>15</v>
      </c>
      <c r="D7" t="str">
        <f>HYPERLINK("http://nlpdeep.cs.uic.edu:8080/proofing/gsii/532406-history-of-present-illness-0-1.pdf","gsii/532406-history-of-present-illness-0-1.pdf")</f>
        <v>gsii/532406-history-of-present-illness-0-1.pdf</v>
      </c>
      <c r="E7">
        <v>119960</v>
      </c>
      <c r="F7">
        <v>532406</v>
      </c>
      <c r="G7" t="s">
        <v>9</v>
      </c>
      <c r="H7" t="s">
        <v>13</v>
      </c>
      <c r="I7" t="s">
        <v>16</v>
      </c>
    </row>
    <row r="8" spans="1:9" x14ac:dyDescent="0.2">
      <c r="A8" t="s">
        <v>17</v>
      </c>
      <c r="D8" t="str">
        <f>HYPERLINK("http://nlpdeep.cs.uic.edu:8080/proofing/t5/532406-history-of-present-illness-0-2.pdf","t5/532406-history-of-present-illness-0-2.pdf")</f>
        <v>t5/532406-history-of-present-illness-0-2.pdf</v>
      </c>
      <c r="E8">
        <v>119960</v>
      </c>
      <c r="F8">
        <v>532406</v>
      </c>
      <c r="G8" t="s">
        <v>9</v>
      </c>
      <c r="H8" t="s">
        <v>13</v>
      </c>
      <c r="I8" t="s">
        <v>18</v>
      </c>
    </row>
    <row r="9" spans="1:9" x14ac:dyDescent="0.2">
      <c r="A9" t="s">
        <v>17</v>
      </c>
      <c r="D9" t="str">
        <f>HYPERLINK("http://nlpdeep.cs.uic.edu:8080/proofing/gsii/532406-history-of-present-illness-0-2.pdf","gsii/532406-history-of-present-illness-0-2.pdf")</f>
        <v>gsii/532406-history-of-present-illness-0-2.pdf</v>
      </c>
      <c r="E9">
        <v>119960</v>
      </c>
      <c r="F9">
        <v>532406</v>
      </c>
      <c r="G9" t="s">
        <v>9</v>
      </c>
      <c r="H9" t="s">
        <v>13</v>
      </c>
      <c r="I9" t="s">
        <v>18</v>
      </c>
    </row>
    <row r="10" spans="1:9" x14ac:dyDescent="0.2">
      <c r="A10" t="s">
        <v>19</v>
      </c>
      <c r="D10" t="str">
        <f>HYPERLINK("http://nlpdeep.cs.uic.edu:8080/proofing/t5/532406-history-of-present-illness-0-3.pdf","t5/532406-history-of-present-illness-0-3.pdf")</f>
        <v>t5/532406-history-of-present-illness-0-3.pdf</v>
      </c>
      <c r="E10">
        <v>119960</v>
      </c>
      <c r="F10">
        <v>532406</v>
      </c>
      <c r="G10" t="s">
        <v>9</v>
      </c>
      <c r="H10" t="s">
        <v>13</v>
      </c>
      <c r="I10" t="s">
        <v>20</v>
      </c>
    </row>
    <row r="11" spans="1:9" x14ac:dyDescent="0.2">
      <c r="A11" t="s">
        <v>19</v>
      </c>
      <c r="D11" t="str">
        <f>HYPERLINK("http://nlpdeep.cs.uic.edu:8080/proofing/gsii/532406-history-of-present-illness-0-3.pdf","gsii/532406-history-of-present-illness-0-3.pdf")</f>
        <v>gsii/532406-history-of-present-illness-0-3.pdf</v>
      </c>
      <c r="E11">
        <v>119960</v>
      </c>
      <c r="F11">
        <v>532406</v>
      </c>
      <c r="G11" t="s">
        <v>9</v>
      </c>
      <c r="H11" t="s">
        <v>13</v>
      </c>
      <c r="I11" t="s">
        <v>20</v>
      </c>
    </row>
    <row r="12" spans="1:9" x14ac:dyDescent="0.2">
      <c r="A12" t="s">
        <v>21</v>
      </c>
      <c r="D12" t="str">
        <f>HYPERLINK("http://nlpdeep.cs.uic.edu:8080/proofing/t5/532406-history-of-present-illness-0-4.pdf","t5/532406-history-of-present-illness-0-4.pdf")</f>
        <v>t5/532406-history-of-present-illness-0-4.pdf</v>
      </c>
      <c r="E12">
        <v>119960</v>
      </c>
      <c r="F12">
        <v>532406</v>
      </c>
      <c r="G12" t="s">
        <v>9</v>
      </c>
      <c r="H12" t="s">
        <v>13</v>
      </c>
      <c r="I12" t="s">
        <v>22</v>
      </c>
    </row>
    <row r="13" spans="1:9" x14ac:dyDescent="0.2">
      <c r="A13" t="s">
        <v>21</v>
      </c>
      <c r="D13" t="str">
        <f>HYPERLINK("http://nlpdeep.cs.uic.edu:8080/proofing/gsii/532406-history-of-present-illness-0-4.pdf","gsii/532406-history-of-present-illness-0-4.pdf")</f>
        <v>gsii/532406-history-of-present-illness-0-4.pdf</v>
      </c>
      <c r="E13">
        <v>119960</v>
      </c>
      <c r="F13">
        <v>532406</v>
      </c>
      <c r="G13" t="s">
        <v>9</v>
      </c>
      <c r="H13" t="s">
        <v>13</v>
      </c>
      <c r="I13" t="s">
        <v>22</v>
      </c>
    </row>
    <row r="14" spans="1:9" x14ac:dyDescent="0.2">
      <c r="A14" t="s">
        <v>23</v>
      </c>
      <c r="D14" t="str">
        <f>HYPERLINK("http://nlpdeep.cs.uic.edu:8080/proofing/t5/532406-history-of-present-illness-0-5.pdf","t5/532406-history-of-present-illness-0-5.pdf")</f>
        <v>t5/532406-history-of-present-illness-0-5.pdf</v>
      </c>
      <c r="E14">
        <v>119960</v>
      </c>
      <c r="F14">
        <v>532406</v>
      </c>
      <c r="G14" t="s">
        <v>9</v>
      </c>
      <c r="H14" t="s">
        <v>13</v>
      </c>
      <c r="I14" t="s">
        <v>24</v>
      </c>
    </row>
    <row r="15" spans="1:9" x14ac:dyDescent="0.2">
      <c r="A15" t="s">
        <v>23</v>
      </c>
      <c r="D15" t="str">
        <f>HYPERLINK("http://nlpdeep.cs.uic.edu:8080/proofing/gsii/532406-history-of-present-illness-0-5.pdf","gsii/532406-history-of-present-illness-0-5.pdf")</f>
        <v>gsii/532406-history-of-present-illness-0-5.pdf</v>
      </c>
      <c r="E15">
        <v>119960</v>
      </c>
      <c r="F15">
        <v>532406</v>
      </c>
      <c r="G15" t="s">
        <v>9</v>
      </c>
      <c r="H15" t="s">
        <v>13</v>
      </c>
      <c r="I15" t="s">
        <v>24</v>
      </c>
    </row>
    <row r="16" spans="1:9" x14ac:dyDescent="0.2">
      <c r="A16" t="s">
        <v>25</v>
      </c>
      <c r="D16" t="str">
        <f>HYPERLINK("http://nlpdeep.cs.uic.edu:8080/proofing/t5/532406-history-of-present-illness-0-6.pdf","t5/532406-history-of-present-illness-0-6.pdf")</f>
        <v>t5/532406-history-of-present-illness-0-6.pdf</v>
      </c>
      <c r="E16">
        <v>119960</v>
      </c>
      <c r="F16">
        <v>532406</v>
      </c>
      <c r="G16" t="s">
        <v>9</v>
      </c>
      <c r="H16" t="s">
        <v>13</v>
      </c>
      <c r="I16" t="s">
        <v>26</v>
      </c>
    </row>
    <row r="17" spans="1:9" x14ac:dyDescent="0.2">
      <c r="A17" t="s">
        <v>25</v>
      </c>
      <c r="D17" t="str">
        <f>HYPERLINK("http://nlpdeep.cs.uic.edu:8080/proofing/gsii/532406-history-of-present-illness-0-6.pdf","gsii/532406-history-of-present-illness-0-6.pdf")</f>
        <v>gsii/532406-history-of-present-illness-0-6.pdf</v>
      </c>
      <c r="E17">
        <v>119960</v>
      </c>
      <c r="F17">
        <v>532406</v>
      </c>
      <c r="G17" t="s">
        <v>9</v>
      </c>
      <c r="H17" t="s">
        <v>13</v>
      </c>
      <c r="I17" t="s">
        <v>26</v>
      </c>
    </row>
    <row r="18" spans="1:9" x14ac:dyDescent="0.2">
      <c r="A18" t="s">
        <v>27</v>
      </c>
      <c r="D18" t="str">
        <f>HYPERLINK("http://nlpdeep.cs.uic.edu:8080/proofing/t5/532406-history-of-present-illness-1-0.pdf","t5/532406-history-of-present-illness-1-0.pdf")</f>
        <v>t5/532406-history-of-present-illness-1-0.pdf</v>
      </c>
      <c r="E18">
        <v>119960</v>
      </c>
      <c r="F18">
        <v>532406</v>
      </c>
      <c r="G18" t="s">
        <v>9</v>
      </c>
      <c r="H18" t="s">
        <v>13</v>
      </c>
      <c r="I18" t="s">
        <v>28</v>
      </c>
    </row>
    <row r="19" spans="1:9" x14ac:dyDescent="0.2">
      <c r="A19" t="s">
        <v>27</v>
      </c>
      <c r="D19" t="str">
        <f>HYPERLINK("http://nlpdeep.cs.uic.edu:8080/proofing/gsii/532406-history-of-present-illness-1-0.pdf","gsii/532406-history-of-present-illness-1-0.pdf")</f>
        <v>gsii/532406-history-of-present-illness-1-0.pdf</v>
      </c>
      <c r="E19">
        <v>119960</v>
      </c>
      <c r="F19">
        <v>532406</v>
      </c>
      <c r="G19" t="s">
        <v>9</v>
      </c>
      <c r="H19" t="s">
        <v>13</v>
      </c>
      <c r="I19" t="s">
        <v>28</v>
      </c>
    </row>
    <row r="20" spans="1:9" x14ac:dyDescent="0.2">
      <c r="A20" t="s">
        <v>29</v>
      </c>
      <c r="D20" t="str">
        <f>HYPERLINK("http://nlpdeep.cs.uic.edu:8080/proofing/t5/532406-history-of-present-illness-1-1.pdf","t5/532406-history-of-present-illness-1-1.pdf")</f>
        <v>t5/532406-history-of-present-illness-1-1.pdf</v>
      </c>
      <c r="E20">
        <v>119960</v>
      </c>
      <c r="F20">
        <v>532406</v>
      </c>
      <c r="G20" t="s">
        <v>9</v>
      </c>
      <c r="H20" t="s">
        <v>13</v>
      </c>
      <c r="I20" t="s">
        <v>30</v>
      </c>
    </row>
    <row r="21" spans="1:9" x14ac:dyDescent="0.2">
      <c r="A21" t="s">
        <v>29</v>
      </c>
      <c r="D21" t="str">
        <f>HYPERLINK("http://nlpdeep.cs.uic.edu:8080/proofing/gsii/532406-history-of-present-illness-1-1.pdf","gsii/532406-history-of-present-illness-1-1.pdf")</f>
        <v>gsii/532406-history-of-present-illness-1-1.pdf</v>
      </c>
      <c r="E21">
        <v>119960</v>
      </c>
      <c r="F21">
        <v>532406</v>
      </c>
      <c r="G21" t="s">
        <v>9</v>
      </c>
      <c r="H21" t="s">
        <v>13</v>
      </c>
      <c r="I21" t="s">
        <v>30</v>
      </c>
    </row>
    <row r="22" spans="1:9" x14ac:dyDescent="0.2">
      <c r="A22" t="s">
        <v>31</v>
      </c>
      <c r="D22" t="str">
        <f>HYPERLINK("http://nlpdeep.cs.uic.edu:8080/proofing/t5/532406-history-of-present-illness-1-2.pdf","t5/532406-history-of-present-illness-1-2.pdf")</f>
        <v>t5/532406-history-of-present-illness-1-2.pdf</v>
      </c>
      <c r="E22">
        <v>119960</v>
      </c>
      <c r="F22">
        <v>532406</v>
      </c>
      <c r="G22" t="s">
        <v>9</v>
      </c>
      <c r="H22" t="s">
        <v>13</v>
      </c>
      <c r="I22" t="s">
        <v>32</v>
      </c>
    </row>
    <row r="23" spans="1:9" x14ac:dyDescent="0.2">
      <c r="A23" t="s">
        <v>31</v>
      </c>
      <c r="D23" t="str">
        <f>HYPERLINK("http://nlpdeep.cs.uic.edu:8080/proofing/gsii/532406-history-of-present-illness-1-2.pdf","gsii/532406-history-of-present-illness-1-2.pdf")</f>
        <v>gsii/532406-history-of-present-illness-1-2.pdf</v>
      </c>
      <c r="E23">
        <v>119960</v>
      </c>
      <c r="F23">
        <v>532406</v>
      </c>
      <c r="G23" t="s">
        <v>9</v>
      </c>
      <c r="H23" t="s">
        <v>13</v>
      </c>
      <c r="I23" t="s">
        <v>32</v>
      </c>
    </row>
    <row r="24" spans="1:9" x14ac:dyDescent="0.2">
      <c r="A24" t="s">
        <v>33</v>
      </c>
      <c r="D24" t="str">
        <f>HYPERLINK("http://nlpdeep.cs.uic.edu:8080/proofing/t5/532406-history-of-present-illness-1-3.pdf","t5/532406-history-of-present-illness-1-3.pdf")</f>
        <v>t5/532406-history-of-present-illness-1-3.pdf</v>
      </c>
      <c r="E24">
        <v>119960</v>
      </c>
      <c r="F24">
        <v>532406</v>
      </c>
      <c r="G24" t="s">
        <v>9</v>
      </c>
      <c r="H24" t="s">
        <v>13</v>
      </c>
      <c r="I24" t="s">
        <v>34</v>
      </c>
    </row>
    <row r="25" spans="1:9" x14ac:dyDescent="0.2">
      <c r="A25" t="s">
        <v>33</v>
      </c>
      <c r="D25" t="str">
        <f>HYPERLINK("http://nlpdeep.cs.uic.edu:8080/proofing/gsii/532406-history-of-present-illness-1-3.pdf","gsii/532406-history-of-present-illness-1-3.pdf")</f>
        <v>gsii/532406-history-of-present-illness-1-3.pdf</v>
      </c>
      <c r="E25">
        <v>119960</v>
      </c>
      <c r="F25">
        <v>532406</v>
      </c>
      <c r="G25" t="s">
        <v>9</v>
      </c>
      <c r="H25" t="s">
        <v>13</v>
      </c>
      <c r="I25" t="s">
        <v>34</v>
      </c>
    </row>
    <row r="26" spans="1:9" x14ac:dyDescent="0.2">
      <c r="A26" t="s">
        <v>35</v>
      </c>
      <c r="D26" t="str">
        <f>HYPERLINK("http://nlpdeep.cs.uic.edu:8080/proofing/t5/532406-history-of-present-illness-1-4.pdf","t5/532406-history-of-present-illness-1-4.pdf")</f>
        <v>t5/532406-history-of-present-illness-1-4.pdf</v>
      </c>
      <c r="E26">
        <v>119960</v>
      </c>
      <c r="F26">
        <v>532406</v>
      </c>
      <c r="G26" t="s">
        <v>9</v>
      </c>
      <c r="H26" t="s">
        <v>13</v>
      </c>
      <c r="I26" t="s">
        <v>36</v>
      </c>
    </row>
    <row r="27" spans="1:9" x14ac:dyDescent="0.2">
      <c r="A27" t="s">
        <v>35</v>
      </c>
      <c r="D27" t="str">
        <f>HYPERLINK("http://nlpdeep.cs.uic.edu:8080/proofing/gsii/532406-history-of-present-illness-1-4.pdf","gsii/532406-history-of-present-illness-1-4.pdf")</f>
        <v>gsii/532406-history-of-present-illness-1-4.pdf</v>
      </c>
      <c r="E27">
        <v>119960</v>
      </c>
      <c r="F27">
        <v>532406</v>
      </c>
      <c r="G27" t="s">
        <v>9</v>
      </c>
      <c r="H27" t="s">
        <v>13</v>
      </c>
      <c r="I27" t="s">
        <v>36</v>
      </c>
    </row>
    <row r="28" spans="1:9" x14ac:dyDescent="0.2">
      <c r="A28" t="s">
        <v>37</v>
      </c>
      <c r="D28" t="str">
        <f>HYPERLINK("http://nlpdeep.cs.uic.edu:8080/proofing/t5/532406-history-of-present-illness-2-0.pdf","t5/532406-history-of-present-illness-2-0.pdf")</f>
        <v>t5/532406-history-of-present-illness-2-0.pdf</v>
      </c>
      <c r="E28">
        <v>119960</v>
      </c>
      <c r="F28">
        <v>532406</v>
      </c>
      <c r="G28" t="s">
        <v>9</v>
      </c>
      <c r="H28" t="s">
        <v>13</v>
      </c>
      <c r="I28" t="s">
        <v>38</v>
      </c>
    </row>
    <row r="29" spans="1:9" x14ac:dyDescent="0.2">
      <c r="A29" t="s">
        <v>37</v>
      </c>
      <c r="D29" t="str">
        <f>HYPERLINK("http://nlpdeep.cs.uic.edu:8080/proofing/gsii/532406-history-of-present-illness-2-0.pdf","gsii/532406-history-of-present-illness-2-0.pdf")</f>
        <v>gsii/532406-history-of-present-illness-2-0.pdf</v>
      </c>
      <c r="E29">
        <v>119960</v>
      </c>
      <c r="F29">
        <v>532406</v>
      </c>
      <c r="G29" t="s">
        <v>9</v>
      </c>
      <c r="H29" t="s">
        <v>13</v>
      </c>
      <c r="I29" t="s">
        <v>38</v>
      </c>
    </row>
    <row r="30" spans="1:9" x14ac:dyDescent="0.2">
      <c r="A30" t="s">
        <v>39</v>
      </c>
      <c r="D30" t="str">
        <f>HYPERLINK("http://nlpdeep.cs.uic.edu:8080/proofing/t5/532406-history-of-present-illness-2-1.pdf","t5/532406-history-of-present-illness-2-1.pdf")</f>
        <v>t5/532406-history-of-present-illness-2-1.pdf</v>
      </c>
      <c r="E30">
        <v>119960</v>
      </c>
      <c r="F30">
        <v>532406</v>
      </c>
      <c r="G30" t="s">
        <v>9</v>
      </c>
      <c r="H30" t="s">
        <v>13</v>
      </c>
      <c r="I30" t="s">
        <v>40</v>
      </c>
    </row>
    <row r="31" spans="1:9" x14ac:dyDescent="0.2">
      <c r="A31" t="s">
        <v>39</v>
      </c>
      <c r="D31" t="str">
        <f>HYPERLINK("http://nlpdeep.cs.uic.edu:8080/proofing/gsii/532406-history-of-present-illness-2-1.pdf","gsii/532406-history-of-present-illness-2-1.pdf")</f>
        <v>gsii/532406-history-of-present-illness-2-1.pdf</v>
      </c>
      <c r="E31">
        <v>119960</v>
      </c>
      <c r="F31">
        <v>532406</v>
      </c>
      <c r="G31" t="s">
        <v>9</v>
      </c>
      <c r="H31" t="s">
        <v>13</v>
      </c>
      <c r="I31" t="s">
        <v>40</v>
      </c>
    </row>
    <row r="32" spans="1:9" x14ac:dyDescent="0.2">
      <c r="A32" t="s">
        <v>41</v>
      </c>
      <c r="D32" t="str">
        <f>HYPERLINK("http://nlpdeep.cs.uic.edu:8080/proofing/t5/532406-history-of-present-illness-2-2.pdf","t5/532406-history-of-present-illness-2-2.pdf")</f>
        <v>t5/532406-history-of-present-illness-2-2.pdf</v>
      </c>
      <c r="E32">
        <v>119960</v>
      </c>
      <c r="F32">
        <v>532406</v>
      </c>
      <c r="G32" t="s">
        <v>9</v>
      </c>
      <c r="H32" t="s">
        <v>13</v>
      </c>
      <c r="I32" t="s">
        <v>42</v>
      </c>
    </row>
    <row r="33" spans="1:9" x14ac:dyDescent="0.2">
      <c r="A33" t="s">
        <v>41</v>
      </c>
      <c r="D33" t="str">
        <f>HYPERLINK("http://nlpdeep.cs.uic.edu:8080/proofing/gsii/532406-history-of-present-illness-2-2.pdf","gsii/532406-history-of-present-illness-2-2.pdf")</f>
        <v>gsii/532406-history-of-present-illness-2-2.pdf</v>
      </c>
      <c r="E33">
        <v>119960</v>
      </c>
      <c r="F33">
        <v>532406</v>
      </c>
      <c r="G33" t="s">
        <v>9</v>
      </c>
      <c r="H33" t="s">
        <v>13</v>
      </c>
      <c r="I33" t="s">
        <v>42</v>
      </c>
    </row>
    <row r="34" spans="1:9" x14ac:dyDescent="0.2">
      <c r="A34" t="s">
        <v>43</v>
      </c>
      <c r="D34" t="str">
        <f>HYPERLINK("http://nlpdeep.cs.uic.edu:8080/proofing/t5/532406-history-of-present-illness-2-3.pdf","t5/532406-history-of-present-illness-2-3.pdf")</f>
        <v>t5/532406-history-of-present-illness-2-3.pdf</v>
      </c>
      <c r="E34">
        <v>119960</v>
      </c>
      <c r="F34">
        <v>532406</v>
      </c>
      <c r="G34" t="s">
        <v>9</v>
      </c>
      <c r="H34" t="s">
        <v>13</v>
      </c>
      <c r="I34" t="s">
        <v>44</v>
      </c>
    </row>
    <row r="35" spans="1:9" x14ac:dyDescent="0.2">
      <c r="A35" t="s">
        <v>43</v>
      </c>
      <c r="D35" t="str">
        <f>HYPERLINK("http://nlpdeep.cs.uic.edu:8080/proofing/gsii/532406-history-of-present-illness-2-3.pdf","gsii/532406-history-of-present-illness-2-3.pdf")</f>
        <v>gsii/532406-history-of-present-illness-2-3.pdf</v>
      </c>
      <c r="E35">
        <v>119960</v>
      </c>
      <c r="F35">
        <v>532406</v>
      </c>
      <c r="G35" t="s">
        <v>9</v>
      </c>
      <c r="H35" t="s">
        <v>13</v>
      </c>
      <c r="I35" t="s">
        <v>44</v>
      </c>
    </row>
    <row r="36" spans="1:9" x14ac:dyDescent="0.2">
      <c r="A36" t="s">
        <v>45</v>
      </c>
      <c r="D36" t="str">
        <f>HYPERLINK("http://nlpdeep.cs.uic.edu:8080/proofing/t5/532406-history-of-present-illness-2-4.pdf","t5/532406-history-of-present-illness-2-4.pdf")</f>
        <v>t5/532406-history-of-present-illness-2-4.pdf</v>
      </c>
      <c r="E36">
        <v>119960</v>
      </c>
      <c r="F36">
        <v>532406</v>
      </c>
      <c r="G36" t="s">
        <v>9</v>
      </c>
      <c r="H36" t="s">
        <v>13</v>
      </c>
      <c r="I36" t="s">
        <v>46</v>
      </c>
    </row>
    <row r="37" spans="1:9" x14ac:dyDescent="0.2">
      <c r="A37" t="s">
        <v>45</v>
      </c>
      <c r="D37" t="str">
        <f>HYPERLINK("http://nlpdeep.cs.uic.edu:8080/proofing/gsii/532406-history-of-present-illness-2-4.pdf","gsii/532406-history-of-present-illness-2-4.pdf")</f>
        <v>gsii/532406-history-of-present-illness-2-4.pdf</v>
      </c>
      <c r="E37">
        <v>119960</v>
      </c>
      <c r="F37">
        <v>532406</v>
      </c>
      <c r="G37" t="s">
        <v>9</v>
      </c>
      <c r="H37" t="s">
        <v>13</v>
      </c>
      <c r="I37" t="s">
        <v>46</v>
      </c>
    </row>
    <row r="38" spans="1:9" x14ac:dyDescent="0.2">
      <c r="A38" t="s">
        <v>47</v>
      </c>
      <c r="D38" t="str">
        <f>HYPERLINK("http://nlpdeep.cs.uic.edu:8080/proofing/t5/532406-history-of-present-illness-2-5.pdf","t5/532406-history-of-present-illness-2-5.pdf")</f>
        <v>t5/532406-history-of-present-illness-2-5.pdf</v>
      </c>
      <c r="E38">
        <v>119960</v>
      </c>
      <c r="F38">
        <v>532406</v>
      </c>
      <c r="G38" t="s">
        <v>9</v>
      </c>
      <c r="H38" t="s">
        <v>13</v>
      </c>
      <c r="I38" t="s">
        <v>48</v>
      </c>
    </row>
    <row r="39" spans="1:9" x14ac:dyDescent="0.2">
      <c r="A39" t="s">
        <v>47</v>
      </c>
      <c r="D39" t="str">
        <f>HYPERLINK("http://nlpdeep.cs.uic.edu:8080/proofing/gsii/532406-history-of-present-illness-2-5.pdf","gsii/532406-history-of-present-illness-2-5.pdf")</f>
        <v>gsii/532406-history-of-present-illness-2-5.pdf</v>
      </c>
      <c r="E39">
        <v>119960</v>
      </c>
      <c r="F39">
        <v>532406</v>
      </c>
      <c r="G39" t="s">
        <v>9</v>
      </c>
      <c r="H39" t="s">
        <v>13</v>
      </c>
      <c r="I39" t="s">
        <v>48</v>
      </c>
    </row>
    <row r="40" spans="1:9" x14ac:dyDescent="0.2">
      <c r="A40" t="s">
        <v>49</v>
      </c>
      <c r="D40" t="str">
        <f>HYPERLINK("http://nlpdeep.cs.uic.edu:8080/proofing/t5/532406-history-of-present-illness-2-6.pdf","t5/532406-history-of-present-illness-2-6.pdf")</f>
        <v>t5/532406-history-of-present-illness-2-6.pdf</v>
      </c>
      <c r="E40">
        <v>119960</v>
      </c>
      <c r="F40">
        <v>532406</v>
      </c>
      <c r="G40" t="s">
        <v>9</v>
      </c>
      <c r="H40" t="s">
        <v>13</v>
      </c>
      <c r="I40" t="s">
        <v>50</v>
      </c>
    </row>
    <row r="41" spans="1:9" x14ac:dyDescent="0.2">
      <c r="A41" t="s">
        <v>49</v>
      </c>
      <c r="D41" t="str">
        <f>HYPERLINK("http://nlpdeep.cs.uic.edu:8080/proofing/gsii/532406-history-of-present-illness-2-6.pdf","gsii/532406-history-of-present-illness-2-6.pdf")</f>
        <v>gsii/532406-history-of-present-illness-2-6.pdf</v>
      </c>
      <c r="E41">
        <v>119960</v>
      </c>
      <c r="F41">
        <v>532406</v>
      </c>
      <c r="G41" t="s">
        <v>9</v>
      </c>
      <c r="H41" t="s">
        <v>13</v>
      </c>
      <c r="I41" t="s">
        <v>50</v>
      </c>
    </row>
    <row r="42" spans="1:9" x14ac:dyDescent="0.2">
      <c r="A42" t="s">
        <v>51</v>
      </c>
      <c r="D42" t="str">
        <f>HYPERLINK("http://nlpdeep.cs.uic.edu:8080/proofing/t5/532406-history-of-present-illness-2-7.pdf","t5/532406-history-of-present-illness-2-7.pdf")</f>
        <v>t5/532406-history-of-present-illness-2-7.pdf</v>
      </c>
      <c r="E42">
        <v>119960</v>
      </c>
      <c r="F42">
        <v>532406</v>
      </c>
      <c r="G42" t="s">
        <v>9</v>
      </c>
      <c r="H42" t="s">
        <v>13</v>
      </c>
      <c r="I42" t="s">
        <v>52</v>
      </c>
    </row>
    <row r="43" spans="1:9" x14ac:dyDescent="0.2">
      <c r="A43" t="s">
        <v>51</v>
      </c>
      <c r="D43" t="str">
        <f>HYPERLINK("http://nlpdeep.cs.uic.edu:8080/proofing/gsii/532406-history-of-present-illness-2-7.pdf","gsii/532406-history-of-present-illness-2-7.pdf")</f>
        <v>gsii/532406-history-of-present-illness-2-7.pdf</v>
      </c>
      <c r="E43">
        <v>119960</v>
      </c>
      <c r="F43">
        <v>532406</v>
      </c>
      <c r="G43" t="s">
        <v>9</v>
      </c>
      <c r="H43" t="s">
        <v>13</v>
      </c>
      <c r="I43" t="s">
        <v>52</v>
      </c>
    </row>
    <row r="44" spans="1:9" x14ac:dyDescent="0.2">
      <c r="A44" t="s">
        <v>53</v>
      </c>
      <c r="D44" t="str">
        <f>HYPERLINK("http://nlpdeep.cs.uic.edu:8080/proofing/t5/532406-history-of-present-illness-2-8.pdf","t5/532406-history-of-present-illness-2-8.pdf")</f>
        <v>t5/532406-history-of-present-illness-2-8.pdf</v>
      </c>
      <c r="E44">
        <v>119960</v>
      </c>
      <c r="F44">
        <v>532406</v>
      </c>
      <c r="G44" t="s">
        <v>9</v>
      </c>
      <c r="H44" t="s">
        <v>13</v>
      </c>
      <c r="I44" t="s">
        <v>54</v>
      </c>
    </row>
    <row r="45" spans="1:9" x14ac:dyDescent="0.2">
      <c r="A45" t="s">
        <v>53</v>
      </c>
      <c r="D45" t="str">
        <f>HYPERLINK("http://nlpdeep.cs.uic.edu:8080/proofing/gsii/532406-history-of-present-illness-2-8.pdf","gsii/532406-history-of-present-illness-2-8.pdf")</f>
        <v>gsii/532406-history-of-present-illness-2-8.pdf</v>
      </c>
      <c r="E45">
        <v>119960</v>
      </c>
      <c r="F45">
        <v>532406</v>
      </c>
      <c r="G45" t="s">
        <v>9</v>
      </c>
      <c r="H45" t="s">
        <v>13</v>
      </c>
      <c r="I45" t="s">
        <v>54</v>
      </c>
    </row>
    <row r="46" spans="1:9" x14ac:dyDescent="0.2">
      <c r="A46" t="s">
        <v>55</v>
      </c>
      <c r="D46" t="str">
        <f>HYPERLINK("http://nlpdeep.cs.uic.edu:8080/proofing/t5/532406-history-of-present-illness-3-0.pdf","t5/532406-history-of-present-illness-3-0.pdf")</f>
        <v>t5/532406-history-of-present-illness-3-0.pdf</v>
      </c>
      <c r="E46">
        <v>119960</v>
      </c>
      <c r="F46">
        <v>532406</v>
      </c>
      <c r="G46" t="s">
        <v>9</v>
      </c>
      <c r="H46" t="s">
        <v>13</v>
      </c>
      <c r="I46" t="s">
        <v>56</v>
      </c>
    </row>
    <row r="47" spans="1:9" x14ac:dyDescent="0.2">
      <c r="A47" t="s">
        <v>55</v>
      </c>
      <c r="D47" t="str">
        <f>HYPERLINK("http://nlpdeep.cs.uic.edu:8080/proofing/gsii/532406-history-of-present-illness-3-0.pdf","gsii/532406-history-of-present-illness-3-0.pdf")</f>
        <v>gsii/532406-history-of-present-illness-3-0.pdf</v>
      </c>
      <c r="E47">
        <v>119960</v>
      </c>
      <c r="F47">
        <v>532406</v>
      </c>
      <c r="G47" t="s">
        <v>9</v>
      </c>
      <c r="H47" t="s">
        <v>13</v>
      </c>
      <c r="I47" t="s">
        <v>56</v>
      </c>
    </row>
    <row r="48" spans="1:9" x14ac:dyDescent="0.2">
      <c r="A48" t="s">
        <v>57</v>
      </c>
      <c r="D48" t="str">
        <f>HYPERLINK("http://nlpdeep.cs.uic.edu:8080/proofing/t5/532406-history-of-present-illness-4-0.pdf","t5/532406-history-of-present-illness-4-0.pdf")</f>
        <v>t5/532406-history-of-present-illness-4-0.pdf</v>
      </c>
      <c r="E48">
        <v>119960</v>
      </c>
      <c r="F48">
        <v>532406</v>
      </c>
      <c r="G48" t="s">
        <v>9</v>
      </c>
      <c r="H48" t="s">
        <v>13</v>
      </c>
      <c r="I48" t="s">
        <v>58</v>
      </c>
    </row>
    <row r="49" spans="1:9" x14ac:dyDescent="0.2">
      <c r="A49" t="s">
        <v>57</v>
      </c>
      <c r="D49" t="str">
        <f>HYPERLINK("http://nlpdeep.cs.uic.edu:8080/proofing/gsii/532406-history-of-present-illness-4-0.pdf","gsii/532406-history-of-present-illness-4-0.pdf")</f>
        <v>gsii/532406-history-of-present-illness-4-0.pdf</v>
      </c>
      <c r="E49">
        <v>119960</v>
      </c>
      <c r="F49">
        <v>532406</v>
      </c>
      <c r="G49" t="s">
        <v>9</v>
      </c>
      <c r="H49" t="s">
        <v>13</v>
      </c>
      <c r="I49" t="s">
        <v>58</v>
      </c>
    </row>
    <row r="50" spans="1:9" x14ac:dyDescent="0.2">
      <c r="A50" t="s">
        <v>59</v>
      </c>
      <c r="D50" t="str">
        <f>HYPERLINK("http://nlpdeep.cs.uic.edu:8080/proofing/t5/532406-history-of-present-illness-4-1.pdf","t5/532406-history-of-present-illness-4-1.pdf")</f>
        <v>t5/532406-history-of-present-illness-4-1.pdf</v>
      </c>
      <c r="E50">
        <v>119960</v>
      </c>
      <c r="F50">
        <v>532406</v>
      </c>
      <c r="G50" t="s">
        <v>9</v>
      </c>
      <c r="H50" t="s">
        <v>13</v>
      </c>
      <c r="I50" t="s">
        <v>60</v>
      </c>
    </row>
    <row r="51" spans="1:9" x14ac:dyDescent="0.2">
      <c r="A51" t="s">
        <v>59</v>
      </c>
      <c r="D51" t="str">
        <f>HYPERLINK("http://nlpdeep.cs.uic.edu:8080/proofing/gsii/532406-history-of-present-illness-4-1.pdf","gsii/532406-history-of-present-illness-4-1.pdf")</f>
        <v>gsii/532406-history-of-present-illness-4-1.pdf</v>
      </c>
      <c r="E51">
        <v>119960</v>
      </c>
      <c r="F51">
        <v>532406</v>
      </c>
      <c r="G51" t="s">
        <v>9</v>
      </c>
      <c r="H51" t="s">
        <v>13</v>
      </c>
      <c r="I51" t="s">
        <v>60</v>
      </c>
    </row>
    <row r="52" spans="1:9" x14ac:dyDescent="0.2">
      <c r="A52" t="s">
        <v>61</v>
      </c>
      <c r="D52" t="str">
        <f>HYPERLINK("http://nlpdeep.cs.uic.edu:8080/proofing/t5/532406-history-of-present-illness-4-2.pdf","t5/532406-history-of-present-illness-4-2.pdf")</f>
        <v>t5/532406-history-of-present-illness-4-2.pdf</v>
      </c>
      <c r="E52">
        <v>119960</v>
      </c>
      <c r="F52">
        <v>532406</v>
      </c>
      <c r="G52" t="s">
        <v>9</v>
      </c>
      <c r="H52" t="s">
        <v>13</v>
      </c>
      <c r="I52" t="s">
        <v>62</v>
      </c>
    </row>
    <row r="53" spans="1:9" x14ac:dyDescent="0.2">
      <c r="A53" t="s">
        <v>61</v>
      </c>
      <c r="D53" t="str">
        <f>HYPERLINK("http://nlpdeep.cs.uic.edu:8080/proofing/gsii/532406-history-of-present-illness-4-2.pdf","gsii/532406-history-of-present-illness-4-2.pdf")</f>
        <v>gsii/532406-history-of-present-illness-4-2.pdf</v>
      </c>
      <c r="E53">
        <v>119960</v>
      </c>
      <c r="F53">
        <v>532406</v>
      </c>
      <c r="G53" t="s">
        <v>9</v>
      </c>
      <c r="H53" t="s">
        <v>13</v>
      </c>
      <c r="I53" t="s">
        <v>62</v>
      </c>
    </row>
    <row r="54" spans="1:9" x14ac:dyDescent="0.2">
      <c r="A54" t="s">
        <v>63</v>
      </c>
      <c r="D54" t="str">
        <f>HYPERLINK("http://nlpdeep.cs.uic.edu:8080/proofing/t5/532406-allergies-0-0.pdf","t5/532406-allergies-0-0.pdf")</f>
        <v>t5/532406-allergies-0-0.pdf</v>
      </c>
      <c r="E54">
        <v>119960</v>
      </c>
      <c r="F54">
        <v>532406</v>
      </c>
      <c r="G54" t="s">
        <v>9</v>
      </c>
      <c r="H54" t="s">
        <v>64</v>
      </c>
      <c r="I54" t="s">
        <v>65</v>
      </c>
    </row>
    <row r="55" spans="1:9" x14ac:dyDescent="0.2">
      <c r="A55" t="s">
        <v>63</v>
      </c>
      <c r="D55" t="str">
        <f>HYPERLINK("http://nlpdeep.cs.uic.edu:8080/proofing/gsii/532406-allergies-0-0.pdf","gsii/532406-allergies-0-0.pdf")</f>
        <v>gsii/532406-allergies-0-0.pdf</v>
      </c>
      <c r="E55">
        <v>119960</v>
      </c>
      <c r="F55">
        <v>532406</v>
      </c>
      <c r="G55" t="s">
        <v>9</v>
      </c>
      <c r="H55" t="s">
        <v>64</v>
      </c>
      <c r="I55" t="s">
        <v>65</v>
      </c>
    </row>
    <row r="56" spans="1:9" x14ac:dyDescent="0.2">
      <c r="A56" t="s">
        <v>66</v>
      </c>
      <c r="D56" t="str">
        <f>HYPERLINK("http://nlpdeep.cs.uic.edu:8080/proofing/t5/532406-other-medications-0-0.pdf","t5/532406-other-medications-0-0.pdf")</f>
        <v>t5/532406-other-medications-0-0.pdf</v>
      </c>
      <c r="E56">
        <v>119960</v>
      </c>
      <c r="F56">
        <v>532406</v>
      </c>
      <c r="G56" t="s">
        <v>9</v>
      </c>
      <c r="H56" t="s">
        <v>67</v>
      </c>
      <c r="I56" t="s">
        <v>68</v>
      </c>
    </row>
    <row r="57" spans="1:9" x14ac:dyDescent="0.2">
      <c r="A57" t="s">
        <v>66</v>
      </c>
      <c r="D57" t="str">
        <f>HYPERLINK("http://nlpdeep.cs.uic.edu:8080/proofing/gsii/532406-other-medications-0-0.pdf","gsii/532406-other-medications-0-0.pdf")</f>
        <v>gsii/532406-other-medications-0-0.pdf</v>
      </c>
      <c r="E57">
        <v>119960</v>
      </c>
      <c r="F57">
        <v>532406</v>
      </c>
      <c r="G57" t="s">
        <v>9</v>
      </c>
      <c r="H57" t="s">
        <v>67</v>
      </c>
      <c r="I57" t="s">
        <v>68</v>
      </c>
    </row>
    <row r="58" spans="1:9" x14ac:dyDescent="0.2">
      <c r="A58" t="s">
        <v>69</v>
      </c>
      <c r="D58" t="str">
        <f>HYPERLINK("http://nlpdeep.cs.uic.edu:8080/proofing/t5/532406-other-medications-0-1.pdf","t5/532406-other-medications-0-1.pdf")</f>
        <v>t5/532406-other-medications-0-1.pdf</v>
      </c>
      <c r="E58">
        <v>119960</v>
      </c>
      <c r="F58">
        <v>532406</v>
      </c>
      <c r="G58" t="s">
        <v>9</v>
      </c>
      <c r="H58" t="s">
        <v>67</v>
      </c>
      <c r="I58" t="s">
        <v>70</v>
      </c>
    </row>
    <row r="59" spans="1:9" x14ac:dyDescent="0.2">
      <c r="A59" t="s">
        <v>69</v>
      </c>
      <c r="D59" t="str">
        <f>HYPERLINK("http://nlpdeep.cs.uic.edu:8080/proofing/gsii/532406-other-medications-0-1.pdf","gsii/532406-other-medications-0-1.pdf")</f>
        <v>gsii/532406-other-medications-0-1.pdf</v>
      </c>
      <c r="E59">
        <v>119960</v>
      </c>
      <c r="F59">
        <v>532406</v>
      </c>
      <c r="G59" t="s">
        <v>9</v>
      </c>
      <c r="H59" t="s">
        <v>67</v>
      </c>
      <c r="I59" t="s">
        <v>70</v>
      </c>
    </row>
    <row r="60" spans="1:9" x14ac:dyDescent="0.2">
      <c r="A60" t="s">
        <v>71</v>
      </c>
      <c r="D60" t="str">
        <f>HYPERLINK("http://nlpdeep.cs.uic.edu:8080/proofing/t5/532406-other-medications-0-2.pdf","t5/532406-other-medications-0-2.pdf")</f>
        <v>t5/532406-other-medications-0-2.pdf</v>
      </c>
      <c r="E60">
        <v>119960</v>
      </c>
      <c r="F60">
        <v>532406</v>
      </c>
      <c r="G60" t="s">
        <v>9</v>
      </c>
      <c r="H60" t="s">
        <v>67</v>
      </c>
      <c r="I60" t="s">
        <v>72</v>
      </c>
    </row>
    <row r="61" spans="1:9" x14ac:dyDescent="0.2">
      <c r="A61" t="s">
        <v>71</v>
      </c>
      <c r="D61" t="str">
        <f>HYPERLINK("http://nlpdeep.cs.uic.edu:8080/proofing/gsii/532406-other-medications-0-2.pdf","gsii/532406-other-medications-0-2.pdf")</f>
        <v>gsii/532406-other-medications-0-2.pdf</v>
      </c>
      <c r="E61">
        <v>119960</v>
      </c>
      <c r="F61">
        <v>532406</v>
      </c>
      <c r="G61" t="s">
        <v>9</v>
      </c>
      <c r="H61" t="s">
        <v>67</v>
      </c>
      <c r="I61" t="s">
        <v>72</v>
      </c>
    </row>
    <row r="62" spans="1:9" x14ac:dyDescent="0.2">
      <c r="A62" t="s">
        <v>73</v>
      </c>
      <c r="D62" t="str">
        <f>HYPERLINK("http://nlpdeep.cs.uic.edu:8080/proofing/t5/532406-other-medications-0-3.pdf","t5/532406-other-medications-0-3.pdf")</f>
        <v>t5/532406-other-medications-0-3.pdf</v>
      </c>
      <c r="E62">
        <v>119960</v>
      </c>
      <c r="F62">
        <v>532406</v>
      </c>
      <c r="G62" t="s">
        <v>9</v>
      </c>
      <c r="H62" t="s">
        <v>67</v>
      </c>
      <c r="I62" t="s">
        <v>74</v>
      </c>
    </row>
    <row r="63" spans="1:9" x14ac:dyDescent="0.2">
      <c r="A63" t="s">
        <v>73</v>
      </c>
      <c r="D63" t="str">
        <f>HYPERLINK("http://nlpdeep.cs.uic.edu:8080/proofing/gsii/532406-other-medications-0-3.pdf","gsii/532406-other-medications-0-3.pdf")</f>
        <v>gsii/532406-other-medications-0-3.pdf</v>
      </c>
      <c r="E63">
        <v>119960</v>
      </c>
      <c r="F63">
        <v>532406</v>
      </c>
      <c r="G63" t="s">
        <v>9</v>
      </c>
      <c r="H63" t="s">
        <v>67</v>
      </c>
      <c r="I63" t="s">
        <v>74</v>
      </c>
    </row>
    <row r="64" spans="1:9" x14ac:dyDescent="0.2">
      <c r="A64" t="s">
        <v>75</v>
      </c>
      <c r="D64" t="str">
        <f>HYPERLINK("http://nlpdeep.cs.uic.edu:8080/proofing/t5/532406-past-medical-history-0-0.pdf","t5/532406-past-medical-history-0-0.pdf")</f>
        <v>t5/532406-past-medical-history-0-0.pdf</v>
      </c>
      <c r="E64">
        <v>119960</v>
      </c>
      <c r="F64">
        <v>532406</v>
      </c>
      <c r="G64" t="s">
        <v>9</v>
      </c>
      <c r="H64" t="s">
        <v>76</v>
      </c>
      <c r="I64" t="s">
        <v>77</v>
      </c>
    </row>
    <row r="65" spans="1:9" x14ac:dyDescent="0.2">
      <c r="A65" t="s">
        <v>75</v>
      </c>
      <c r="D65" t="str">
        <f>HYPERLINK("http://nlpdeep.cs.uic.edu:8080/proofing/gsii/532406-past-medical-history-0-0.pdf","gsii/532406-past-medical-history-0-0.pdf")</f>
        <v>gsii/532406-past-medical-history-0-0.pdf</v>
      </c>
      <c r="E65">
        <v>119960</v>
      </c>
      <c r="F65">
        <v>532406</v>
      </c>
      <c r="G65" t="s">
        <v>9</v>
      </c>
      <c r="H65" t="s">
        <v>76</v>
      </c>
      <c r="I65" t="s">
        <v>77</v>
      </c>
    </row>
    <row r="66" spans="1:9" x14ac:dyDescent="0.2">
      <c r="A66" t="s">
        <v>78</v>
      </c>
      <c r="D66" t="str">
        <f>HYPERLINK("http://nlpdeep.cs.uic.edu:8080/proofing/t5/532406-past-medical-history-0-1.pdf","t5/532406-past-medical-history-0-1.pdf")</f>
        <v>t5/532406-past-medical-history-0-1.pdf</v>
      </c>
      <c r="E66">
        <v>119960</v>
      </c>
      <c r="F66">
        <v>532406</v>
      </c>
      <c r="G66" t="s">
        <v>9</v>
      </c>
      <c r="H66" t="s">
        <v>76</v>
      </c>
      <c r="I66" t="s">
        <v>79</v>
      </c>
    </row>
    <row r="67" spans="1:9" x14ac:dyDescent="0.2">
      <c r="A67" t="s">
        <v>78</v>
      </c>
      <c r="D67" t="str">
        <f>HYPERLINK("http://nlpdeep.cs.uic.edu:8080/proofing/gsii/532406-past-medical-history-0-1.pdf","gsii/532406-past-medical-history-0-1.pdf")</f>
        <v>gsii/532406-past-medical-history-0-1.pdf</v>
      </c>
      <c r="E67">
        <v>119960</v>
      </c>
      <c r="F67">
        <v>532406</v>
      </c>
      <c r="G67" t="s">
        <v>9</v>
      </c>
      <c r="H67" t="s">
        <v>76</v>
      </c>
      <c r="I67" t="s">
        <v>79</v>
      </c>
    </row>
    <row r="68" spans="1:9" x14ac:dyDescent="0.2">
      <c r="A68" t="s">
        <v>80</v>
      </c>
      <c r="D68" t="str">
        <f>HYPERLINK("http://nlpdeep.cs.uic.edu:8080/proofing/t5/532406-past-medical-history-0-2.pdf","t5/532406-past-medical-history-0-2.pdf")</f>
        <v>t5/532406-past-medical-history-0-2.pdf</v>
      </c>
      <c r="E68">
        <v>119960</v>
      </c>
      <c r="F68">
        <v>532406</v>
      </c>
      <c r="G68" t="s">
        <v>9</v>
      </c>
      <c r="H68" t="s">
        <v>76</v>
      </c>
      <c r="I68" t="s">
        <v>81</v>
      </c>
    </row>
    <row r="69" spans="1:9" x14ac:dyDescent="0.2">
      <c r="A69" t="s">
        <v>80</v>
      </c>
      <c r="D69" t="str">
        <f>HYPERLINK("http://nlpdeep.cs.uic.edu:8080/proofing/gsii/532406-past-medical-history-0-2.pdf","gsii/532406-past-medical-history-0-2.pdf")</f>
        <v>gsii/532406-past-medical-history-0-2.pdf</v>
      </c>
      <c r="E69">
        <v>119960</v>
      </c>
      <c r="F69">
        <v>532406</v>
      </c>
      <c r="G69" t="s">
        <v>9</v>
      </c>
      <c r="H69" t="s">
        <v>76</v>
      </c>
      <c r="I69" t="s">
        <v>81</v>
      </c>
    </row>
    <row r="70" spans="1:9" x14ac:dyDescent="0.2">
      <c r="A70" t="s">
        <v>82</v>
      </c>
      <c r="D70" t="str">
        <f>HYPERLINK("http://nlpdeep.cs.uic.edu:8080/proofing/t5/532406-past-medical-history-0-3.pdf","t5/532406-past-medical-history-0-3.pdf")</f>
        <v>t5/532406-past-medical-history-0-3.pdf</v>
      </c>
      <c r="E70">
        <v>119960</v>
      </c>
      <c r="F70">
        <v>532406</v>
      </c>
      <c r="G70" t="s">
        <v>9</v>
      </c>
      <c r="H70" t="s">
        <v>76</v>
      </c>
      <c r="I70" t="s">
        <v>83</v>
      </c>
    </row>
    <row r="71" spans="1:9" x14ac:dyDescent="0.2">
      <c r="A71" t="s">
        <v>82</v>
      </c>
      <c r="D71" t="str">
        <f>HYPERLINK("http://nlpdeep.cs.uic.edu:8080/proofing/gsii/532406-past-medical-history-0-3.pdf","gsii/532406-past-medical-history-0-3.pdf")</f>
        <v>gsii/532406-past-medical-history-0-3.pdf</v>
      </c>
      <c r="E71">
        <v>119960</v>
      </c>
      <c r="F71">
        <v>532406</v>
      </c>
      <c r="G71" t="s">
        <v>9</v>
      </c>
      <c r="H71" t="s">
        <v>76</v>
      </c>
      <c r="I71" t="s">
        <v>83</v>
      </c>
    </row>
    <row r="72" spans="1:9" x14ac:dyDescent="0.2">
      <c r="A72" t="s">
        <v>84</v>
      </c>
      <c r="D72" t="str">
        <f>HYPERLINK("http://nlpdeep.cs.uic.edu:8080/proofing/t5/532406-past-medical-history-0-4.pdf","t5/532406-past-medical-history-0-4.pdf")</f>
        <v>t5/532406-past-medical-history-0-4.pdf</v>
      </c>
      <c r="E72">
        <v>119960</v>
      </c>
      <c r="F72">
        <v>532406</v>
      </c>
      <c r="G72" t="s">
        <v>9</v>
      </c>
      <c r="H72" t="s">
        <v>76</v>
      </c>
      <c r="I72" t="s">
        <v>85</v>
      </c>
    </row>
    <row r="73" spans="1:9" x14ac:dyDescent="0.2">
      <c r="A73" t="s">
        <v>84</v>
      </c>
      <c r="D73" t="str">
        <f>HYPERLINK("http://nlpdeep.cs.uic.edu:8080/proofing/gsii/532406-past-medical-history-0-4.pdf","gsii/532406-past-medical-history-0-4.pdf")</f>
        <v>gsii/532406-past-medical-history-0-4.pdf</v>
      </c>
      <c r="E73">
        <v>119960</v>
      </c>
      <c r="F73">
        <v>532406</v>
      </c>
      <c r="G73" t="s">
        <v>9</v>
      </c>
      <c r="H73" t="s">
        <v>76</v>
      </c>
      <c r="I73" t="s">
        <v>85</v>
      </c>
    </row>
    <row r="74" spans="1:9" x14ac:dyDescent="0.2">
      <c r="A74" t="s">
        <v>86</v>
      </c>
      <c r="D74" t="str">
        <f>HYPERLINK("http://nlpdeep.cs.uic.edu:8080/proofing/t5/532406-past-medical-history-0-5.pdf","t5/532406-past-medical-history-0-5.pdf")</f>
        <v>t5/532406-past-medical-history-0-5.pdf</v>
      </c>
      <c r="E74">
        <v>119960</v>
      </c>
      <c r="F74">
        <v>532406</v>
      </c>
      <c r="G74" t="s">
        <v>9</v>
      </c>
      <c r="H74" t="s">
        <v>76</v>
      </c>
    </row>
    <row r="75" spans="1:9" x14ac:dyDescent="0.2">
      <c r="A75" t="s">
        <v>86</v>
      </c>
      <c r="D75" t="str">
        <f>HYPERLINK("http://nlpdeep.cs.uic.edu:8080/proofing/gsii/532406-past-medical-history-0-5.pdf","gsii/532406-past-medical-history-0-5.pdf")</f>
        <v>gsii/532406-past-medical-history-0-5.pdf</v>
      </c>
      <c r="E75">
        <v>119960</v>
      </c>
      <c r="F75">
        <v>532406</v>
      </c>
      <c r="G75" t="s">
        <v>9</v>
      </c>
      <c r="H75" t="s">
        <v>76</v>
      </c>
    </row>
    <row r="76" spans="1:9" x14ac:dyDescent="0.2">
      <c r="A76" t="s">
        <v>87</v>
      </c>
      <c r="D76" t="str">
        <f>HYPERLINK("http://nlpdeep.cs.uic.edu:8080/proofing/t5/532406-past-medical-history-1-0.pdf","t5/532406-past-medical-history-1-0.pdf")</f>
        <v>t5/532406-past-medical-history-1-0.pdf</v>
      </c>
      <c r="E76">
        <v>119960</v>
      </c>
      <c r="F76">
        <v>532406</v>
      </c>
      <c r="G76" t="s">
        <v>9</v>
      </c>
      <c r="H76" t="s">
        <v>76</v>
      </c>
    </row>
    <row r="77" spans="1:9" x14ac:dyDescent="0.2">
      <c r="A77" t="s">
        <v>87</v>
      </c>
      <c r="D77" t="str">
        <f>HYPERLINK("http://nlpdeep.cs.uic.edu:8080/proofing/gsii/532406-past-medical-history-1-0.pdf","gsii/532406-past-medical-history-1-0.pdf")</f>
        <v>gsii/532406-past-medical-history-1-0.pdf</v>
      </c>
      <c r="E77">
        <v>119960</v>
      </c>
      <c r="F77">
        <v>532406</v>
      </c>
      <c r="G77" t="s">
        <v>9</v>
      </c>
      <c r="H77" t="s">
        <v>76</v>
      </c>
    </row>
    <row r="78" spans="1:9" x14ac:dyDescent="0.2">
      <c r="A78" t="s">
        <v>88</v>
      </c>
      <c r="D78" t="str">
        <f>HYPERLINK("http://nlpdeep.cs.uic.edu:8080/proofing/t5/532406-past-medical-history-2-0.pdf","t5/532406-past-medical-history-2-0.pdf")</f>
        <v>t5/532406-past-medical-history-2-0.pdf</v>
      </c>
      <c r="E78">
        <v>119960</v>
      </c>
      <c r="F78">
        <v>532406</v>
      </c>
      <c r="G78" t="s">
        <v>9</v>
      </c>
      <c r="H78" t="s">
        <v>76</v>
      </c>
      <c r="I78" t="s">
        <v>89</v>
      </c>
    </row>
    <row r="79" spans="1:9" x14ac:dyDescent="0.2">
      <c r="A79" t="s">
        <v>88</v>
      </c>
      <c r="D79" t="str">
        <f>HYPERLINK("http://nlpdeep.cs.uic.edu:8080/proofing/gsii/532406-past-medical-history-2-0.pdf","gsii/532406-past-medical-history-2-0.pdf")</f>
        <v>gsii/532406-past-medical-history-2-0.pdf</v>
      </c>
      <c r="E79">
        <v>119960</v>
      </c>
      <c r="F79">
        <v>532406</v>
      </c>
      <c r="G79" t="s">
        <v>9</v>
      </c>
      <c r="H79" t="s">
        <v>76</v>
      </c>
      <c r="I79" t="s">
        <v>89</v>
      </c>
    </row>
    <row r="80" spans="1:9" x14ac:dyDescent="0.2">
      <c r="A80" t="s">
        <v>90</v>
      </c>
      <c r="D80" t="str">
        <f>HYPERLINK("http://nlpdeep.cs.uic.edu:8080/proofing/t5/532406-past-medical-history-2-1.pdf","t5/532406-past-medical-history-2-1.pdf")</f>
        <v>t5/532406-past-medical-history-2-1.pdf</v>
      </c>
      <c r="E80">
        <v>119960</v>
      </c>
      <c r="F80">
        <v>532406</v>
      </c>
      <c r="G80" t="s">
        <v>9</v>
      </c>
      <c r="H80" t="s">
        <v>76</v>
      </c>
    </row>
    <row r="81" spans="1:9" x14ac:dyDescent="0.2">
      <c r="A81" t="s">
        <v>90</v>
      </c>
      <c r="D81" t="str">
        <f>HYPERLINK("http://nlpdeep.cs.uic.edu:8080/proofing/gsii/532406-past-medical-history-2-1.pdf","gsii/532406-past-medical-history-2-1.pdf")</f>
        <v>gsii/532406-past-medical-history-2-1.pdf</v>
      </c>
      <c r="E81">
        <v>119960</v>
      </c>
      <c r="F81">
        <v>532406</v>
      </c>
      <c r="G81" t="s">
        <v>9</v>
      </c>
      <c r="H81" t="s">
        <v>76</v>
      </c>
    </row>
    <row r="82" spans="1:9" x14ac:dyDescent="0.2">
      <c r="A82" t="s">
        <v>91</v>
      </c>
      <c r="D82" t="str">
        <f>HYPERLINK("http://nlpdeep.cs.uic.edu:8080/proofing/t5/532406-past-medical-history-3-0.pdf","t5/532406-past-medical-history-3-0.pdf")</f>
        <v>t5/532406-past-medical-history-3-0.pdf</v>
      </c>
      <c r="E82">
        <v>119960</v>
      </c>
      <c r="F82">
        <v>532406</v>
      </c>
      <c r="G82" t="s">
        <v>9</v>
      </c>
      <c r="H82" t="s">
        <v>76</v>
      </c>
    </row>
    <row r="83" spans="1:9" x14ac:dyDescent="0.2">
      <c r="A83" t="s">
        <v>91</v>
      </c>
      <c r="D83" t="str">
        <f>HYPERLINK("http://nlpdeep.cs.uic.edu:8080/proofing/gsii/532406-past-medical-history-3-0.pdf","gsii/532406-past-medical-history-3-0.pdf")</f>
        <v>gsii/532406-past-medical-history-3-0.pdf</v>
      </c>
      <c r="E83">
        <v>119960</v>
      </c>
      <c r="F83">
        <v>532406</v>
      </c>
      <c r="G83" t="s">
        <v>9</v>
      </c>
      <c r="H83" t="s">
        <v>76</v>
      </c>
    </row>
    <row r="84" spans="1:9" x14ac:dyDescent="0.2">
      <c r="A84" t="s">
        <v>92</v>
      </c>
      <c r="D84" t="str">
        <f>HYPERLINK("http://nlpdeep.cs.uic.edu:8080/proofing/t5/532406-past-medical-history-4-0.pdf","t5/532406-past-medical-history-4-0.pdf")</f>
        <v>t5/532406-past-medical-history-4-0.pdf</v>
      </c>
      <c r="E84">
        <v>119960</v>
      </c>
      <c r="F84">
        <v>532406</v>
      </c>
      <c r="G84" t="s">
        <v>9</v>
      </c>
      <c r="H84" t="s">
        <v>76</v>
      </c>
      <c r="I84" t="s">
        <v>93</v>
      </c>
    </row>
    <row r="85" spans="1:9" x14ac:dyDescent="0.2">
      <c r="A85" t="s">
        <v>92</v>
      </c>
      <c r="D85" t="str">
        <f>HYPERLINK("http://nlpdeep.cs.uic.edu:8080/proofing/gsii/532406-past-medical-history-4-0.pdf","gsii/532406-past-medical-history-4-0.pdf")</f>
        <v>gsii/532406-past-medical-history-4-0.pdf</v>
      </c>
      <c r="E85">
        <v>119960</v>
      </c>
      <c r="F85">
        <v>532406</v>
      </c>
      <c r="G85" t="s">
        <v>9</v>
      </c>
      <c r="H85" t="s">
        <v>76</v>
      </c>
      <c r="I85" t="s">
        <v>93</v>
      </c>
    </row>
    <row r="86" spans="1:9" x14ac:dyDescent="0.2">
      <c r="A86" t="s">
        <v>94</v>
      </c>
      <c r="D86" t="str">
        <f>HYPERLINK("http://nlpdeep.cs.uic.edu:8080/proofing/t5/532406-past-medical-history-4-1.pdf","t5/532406-past-medical-history-4-1.pdf")</f>
        <v>t5/532406-past-medical-history-4-1.pdf</v>
      </c>
      <c r="E86">
        <v>119960</v>
      </c>
      <c r="F86">
        <v>532406</v>
      </c>
      <c r="G86" t="s">
        <v>9</v>
      </c>
      <c r="H86" t="s">
        <v>76</v>
      </c>
      <c r="I86" t="s">
        <v>95</v>
      </c>
    </row>
    <row r="87" spans="1:9" x14ac:dyDescent="0.2">
      <c r="A87" t="s">
        <v>94</v>
      </c>
      <c r="D87" t="str">
        <f>HYPERLINK("http://nlpdeep.cs.uic.edu:8080/proofing/gsii/532406-past-medical-history-4-1.pdf","gsii/532406-past-medical-history-4-1.pdf")</f>
        <v>gsii/532406-past-medical-history-4-1.pdf</v>
      </c>
      <c r="E87">
        <v>119960</v>
      </c>
      <c r="F87">
        <v>532406</v>
      </c>
      <c r="G87" t="s">
        <v>9</v>
      </c>
      <c r="H87" t="s">
        <v>76</v>
      </c>
      <c r="I87" t="s">
        <v>95</v>
      </c>
    </row>
    <row r="88" spans="1:9" x14ac:dyDescent="0.2">
      <c r="A88" t="s">
        <v>96</v>
      </c>
      <c r="D88" t="str">
        <f>HYPERLINK("http://nlpdeep.cs.uic.edu:8080/proofing/t5/532406-past-medical-history-4-2.pdf","t5/532406-past-medical-history-4-2.pdf")</f>
        <v>t5/532406-past-medical-history-4-2.pdf</v>
      </c>
      <c r="E88">
        <v>119960</v>
      </c>
      <c r="F88">
        <v>532406</v>
      </c>
      <c r="G88" t="s">
        <v>9</v>
      </c>
      <c r="H88" t="s">
        <v>76</v>
      </c>
      <c r="I88" t="s">
        <v>97</v>
      </c>
    </row>
    <row r="89" spans="1:9" x14ac:dyDescent="0.2">
      <c r="A89" t="s">
        <v>96</v>
      </c>
      <c r="D89" t="str">
        <f>HYPERLINK("http://nlpdeep.cs.uic.edu:8080/proofing/gsii/532406-past-medical-history-4-2.pdf","gsii/532406-past-medical-history-4-2.pdf")</f>
        <v>gsii/532406-past-medical-history-4-2.pdf</v>
      </c>
      <c r="E89">
        <v>119960</v>
      </c>
      <c r="F89">
        <v>532406</v>
      </c>
      <c r="G89" t="s">
        <v>9</v>
      </c>
      <c r="H89" t="s">
        <v>76</v>
      </c>
      <c r="I89" t="s">
        <v>97</v>
      </c>
    </row>
    <row r="90" spans="1:9" x14ac:dyDescent="0.2">
      <c r="A90" t="s">
        <v>98</v>
      </c>
      <c r="D90" t="str">
        <f>HYPERLINK("http://nlpdeep.cs.uic.edu:8080/proofing/t5/532406-past-medical-history-4-3.pdf","t5/532406-past-medical-history-4-3.pdf")</f>
        <v>t5/532406-past-medical-history-4-3.pdf</v>
      </c>
      <c r="E90">
        <v>119960</v>
      </c>
      <c r="F90">
        <v>532406</v>
      </c>
      <c r="G90" t="s">
        <v>9</v>
      </c>
      <c r="H90" t="s">
        <v>76</v>
      </c>
      <c r="I90" t="s">
        <v>99</v>
      </c>
    </row>
    <row r="91" spans="1:9" x14ac:dyDescent="0.2">
      <c r="A91" t="s">
        <v>98</v>
      </c>
      <c r="D91" t="str">
        <f>HYPERLINK("http://nlpdeep.cs.uic.edu:8080/proofing/gsii/532406-past-medical-history-4-3.pdf","gsii/532406-past-medical-history-4-3.pdf")</f>
        <v>gsii/532406-past-medical-history-4-3.pdf</v>
      </c>
      <c r="E91">
        <v>119960</v>
      </c>
      <c r="F91">
        <v>532406</v>
      </c>
      <c r="G91" t="s">
        <v>9</v>
      </c>
      <c r="H91" t="s">
        <v>76</v>
      </c>
      <c r="I91" t="s">
        <v>99</v>
      </c>
    </row>
    <row r="92" spans="1:9" x14ac:dyDescent="0.2">
      <c r="A92" t="s">
        <v>100</v>
      </c>
      <c r="D92" t="str">
        <f>HYPERLINK("http://nlpdeep.cs.uic.edu:8080/proofing/t5/532406-past-medical-history-4-4.pdf","t5/532406-past-medical-history-4-4.pdf")</f>
        <v>t5/532406-past-medical-history-4-4.pdf</v>
      </c>
      <c r="E92">
        <v>119960</v>
      </c>
      <c r="F92">
        <v>532406</v>
      </c>
      <c r="G92" t="s">
        <v>9</v>
      </c>
      <c r="H92" t="s">
        <v>76</v>
      </c>
      <c r="I92" t="s">
        <v>101</v>
      </c>
    </row>
    <row r="93" spans="1:9" x14ac:dyDescent="0.2">
      <c r="A93" t="s">
        <v>100</v>
      </c>
      <c r="D93" t="str">
        <f>HYPERLINK("http://nlpdeep.cs.uic.edu:8080/proofing/gsii/532406-past-medical-history-4-4.pdf","gsii/532406-past-medical-history-4-4.pdf")</f>
        <v>gsii/532406-past-medical-history-4-4.pdf</v>
      </c>
      <c r="E93">
        <v>119960</v>
      </c>
      <c r="F93">
        <v>532406</v>
      </c>
      <c r="G93" t="s">
        <v>9</v>
      </c>
      <c r="H93" t="s">
        <v>76</v>
      </c>
      <c r="I93" t="s">
        <v>101</v>
      </c>
    </row>
    <row r="94" spans="1:9" x14ac:dyDescent="0.2">
      <c r="A94" t="s">
        <v>102</v>
      </c>
      <c r="D94" t="str">
        <f>HYPERLINK("http://nlpdeep.cs.uic.edu:8080/proofing/t5/532406-past-medical-history-4-5.pdf","t5/532406-past-medical-history-4-5.pdf")</f>
        <v>t5/532406-past-medical-history-4-5.pdf</v>
      </c>
      <c r="E94">
        <v>119960</v>
      </c>
      <c r="F94">
        <v>532406</v>
      </c>
      <c r="G94" t="s">
        <v>9</v>
      </c>
      <c r="H94" t="s">
        <v>76</v>
      </c>
      <c r="I94" t="s">
        <v>103</v>
      </c>
    </row>
    <row r="95" spans="1:9" x14ac:dyDescent="0.2">
      <c r="A95" t="s">
        <v>102</v>
      </c>
      <c r="D95" t="str">
        <f>HYPERLINK("http://nlpdeep.cs.uic.edu:8080/proofing/gsii/532406-past-medical-history-4-5.pdf","gsii/532406-past-medical-history-4-5.pdf")</f>
        <v>gsii/532406-past-medical-history-4-5.pdf</v>
      </c>
      <c r="E95">
        <v>119960</v>
      </c>
      <c r="F95">
        <v>532406</v>
      </c>
      <c r="G95" t="s">
        <v>9</v>
      </c>
      <c r="H95" t="s">
        <v>76</v>
      </c>
      <c r="I95" t="s">
        <v>103</v>
      </c>
    </row>
    <row r="96" spans="1:9" x14ac:dyDescent="0.2">
      <c r="A96" t="s">
        <v>104</v>
      </c>
      <c r="D96" t="str">
        <f>HYPERLINK("http://nlpdeep.cs.uic.edu:8080/proofing/t5/532406-past-medical-history-4-6.pdf","t5/532406-past-medical-history-4-6.pdf")</f>
        <v>t5/532406-past-medical-history-4-6.pdf</v>
      </c>
      <c r="E96">
        <v>119960</v>
      </c>
      <c r="F96">
        <v>532406</v>
      </c>
      <c r="G96" t="s">
        <v>9</v>
      </c>
      <c r="H96" t="s">
        <v>76</v>
      </c>
      <c r="I96" t="s">
        <v>105</v>
      </c>
    </row>
    <row r="97" spans="1:9" x14ac:dyDescent="0.2">
      <c r="A97" t="s">
        <v>104</v>
      </c>
      <c r="D97" t="str">
        <f>HYPERLINK("http://nlpdeep.cs.uic.edu:8080/proofing/gsii/532406-past-medical-history-4-6.pdf","gsii/532406-past-medical-history-4-6.pdf")</f>
        <v>gsii/532406-past-medical-history-4-6.pdf</v>
      </c>
      <c r="E97">
        <v>119960</v>
      </c>
      <c r="F97">
        <v>532406</v>
      </c>
      <c r="G97" t="s">
        <v>9</v>
      </c>
      <c r="H97" t="s">
        <v>76</v>
      </c>
      <c r="I97" t="s">
        <v>105</v>
      </c>
    </row>
    <row r="98" spans="1:9" x14ac:dyDescent="0.2">
      <c r="A98" t="s">
        <v>106</v>
      </c>
      <c r="D98" t="str">
        <f>HYPERLINK("http://nlpdeep.cs.uic.edu:8080/proofing/t5/532406-family-history-0-0.pdf","t5/532406-family-history-0-0.pdf")</f>
        <v>t5/532406-family-history-0-0.pdf</v>
      </c>
      <c r="E98">
        <v>119960</v>
      </c>
      <c r="F98">
        <v>532406</v>
      </c>
      <c r="G98" t="s">
        <v>9</v>
      </c>
      <c r="H98" t="s">
        <v>107</v>
      </c>
      <c r="I98" t="s">
        <v>108</v>
      </c>
    </row>
    <row r="99" spans="1:9" x14ac:dyDescent="0.2">
      <c r="A99" t="s">
        <v>106</v>
      </c>
      <c r="D99" t="str">
        <f>HYPERLINK("http://nlpdeep.cs.uic.edu:8080/proofing/gsii/532406-family-history-0-0.pdf","gsii/532406-family-history-0-0.pdf")</f>
        <v>gsii/532406-family-history-0-0.pdf</v>
      </c>
      <c r="E99">
        <v>119960</v>
      </c>
      <c r="F99">
        <v>532406</v>
      </c>
      <c r="G99" t="s">
        <v>9</v>
      </c>
      <c r="H99" t="s">
        <v>107</v>
      </c>
      <c r="I99" t="s">
        <v>108</v>
      </c>
    </row>
    <row r="100" spans="1:9" x14ac:dyDescent="0.2">
      <c r="A100" t="s">
        <v>109</v>
      </c>
      <c r="D100" t="str">
        <f>HYPERLINK("http://nlpdeep.cs.uic.edu:8080/proofing/t5/532406-family-history-0-1.pdf","t5/532406-family-history-0-1.pdf")</f>
        <v>t5/532406-family-history-0-1.pdf</v>
      </c>
      <c r="E100">
        <v>119960</v>
      </c>
      <c r="F100">
        <v>532406</v>
      </c>
      <c r="G100" t="s">
        <v>9</v>
      </c>
      <c r="H100" t="s">
        <v>107</v>
      </c>
      <c r="I100" t="s">
        <v>110</v>
      </c>
    </row>
    <row r="101" spans="1:9" x14ac:dyDescent="0.2">
      <c r="A101" t="s">
        <v>109</v>
      </c>
      <c r="D101" t="str">
        <f>HYPERLINK("http://nlpdeep.cs.uic.edu:8080/proofing/gsii/532406-family-history-0-1.pdf","gsii/532406-family-history-0-1.pdf")</f>
        <v>gsii/532406-family-history-0-1.pdf</v>
      </c>
      <c r="E101">
        <v>119960</v>
      </c>
      <c r="F101">
        <v>532406</v>
      </c>
      <c r="G101" t="s">
        <v>9</v>
      </c>
      <c r="H101" t="s">
        <v>107</v>
      </c>
      <c r="I101" t="s">
        <v>110</v>
      </c>
    </row>
    <row r="102" spans="1:9" x14ac:dyDescent="0.2">
      <c r="A102" t="s">
        <v>111</v>
      </c>
      <c r="D102" t="str">
        <f>HYPERLINK("http://nlpdeep.cs.uic.edu:8080/proofing/t5/532406-family-history-0-2.pdf","t5/532406-family-history-0-2.pdf")</f>
        <v>t5/532406-family-history-0-2.pdf</v>
      </c>
      <c r="E102">
        <v>119960</v>
      </c>
      <c r="F102">
        <v>532406</v>
      </c>
      <c r="G102" t="s">
        <v>9</v>
      </c>
      <c r="H102" t="s">
        <v>107</v>
      </c>
      <c r="I102" t="s">
        <v>112</v>
      </c>
    </row>
    <row r="103" spans="1:9" x14ac:dyDescent="0.2">
      <c r="A103" t="s">
        <v>111</v>
      </c>
      <c r="D103" t="str">
        <f>HYPERLINK("http://nlpdeep.cs.uic.edu:8080/proofing/gsii/532406-family-history-0-2.pdf","gsii/532406-family-history-0-2.pdf")</f>
        <v>gsii/532406-family-history-0-2.pdf</v>
      </c>
      <c r="E103">
        <v>119960</v>
      </c>
      <c r="F103">
        <v>532406</v>
      </c>
      <c r="G103" t="s">
        <v>9</v>
      </c>
      <c r="H103" t="s">
        <v>107</v>
      </c>
      <c r="I103" t="s">
        <v>112</v>
      </c>
    </row>
    <row r="104" spans="1:9" x14ac:dyDescent="0.2">
      <c r="A104" t="s">
        <v>113</v>
      </c>
      <c r="D104" t="str">
        <f>HYPERLINK("http://nlpdeep.cs.uic.edu:8080/proofing/t5/532406-family-history-0-3.pdf","t5/532406-family-history-0-3.pdf")</f>
        <v>t5/532406-family-history-0-3.pdf</v>
      </c>
      <c r="E104">
        <v>119960</v>
      </c>
      <c r="F104">
        <v>532406</v>
      </c>
      <c r="G104" t="s">
        <v>9</v>
      </c>
      <c r="H104" t="s">
        <v>107</v>
      </c>
      <c r="I104" t="s">
        <v>114</v>
      </c>
    </row>
    <row r="105" spans="1:9" x14ac:dyDescent="0.2">
      <c r="A105" t="s">
        <v>113</v>
      </c>
      <c r="D105" t="str">
        <f>HYPERLINK("http://nlpdeep.cs.uic.edu:8080/proofing/gsii/532406-family-history-0-3.pdf","gsii/532406-family-history-0-3.pdf")</f>
        <v>gsii/532406-family-history-0-3.pdf</v>
      </c>
      <c r="E105">
        <v>119960</v>
      </c>
      <c r="F105">
        <v>532406</v>
      </c>
      <c r="G105" t="s">
        <v>9</v>
      </c>
      <c r="H105" t="s">
        <v>107</v>
      </c>
      <c r="I105" t="s">
        <v>114</v>
      </c>
    </row>
    <row r="106" spans="1:9" x14ac:dyDescent="0.2">
      <c r="A106" t="s">
        <v>115</v>
      </c>
      <c r="D106" t="str">
        <f>HYPERLINK("http://nlpdeep.cs.uic.edu:8080/proofing/t5/532406-family-history-0-4.pdf","t5/532406-family-history-0-4.pdf")</f>
        <v>t5/532406-family-history-0-4.pdf</v>
      </c>
      <c r="E106">
        <v>119960</v>
      </c>
      <c r="F106">
        <v>532406</v>
      </c>
      <c r="G106" t="s">
        <v>9</v>
      </c>
      <c r="H106" t="s">
        <v>107</v>
      </c>
      <c r="I106" t="s">
        <v>116</v>
      </c>
    </row>
    <row r="107" spans="1:9" x14ac:dyDescent="0.2">
      <c r="A107" t="s">
        <v>115</v>
      </c>
      <c r="D107" t="str">
        <f>HYPERLINK("http://nlpdeep.cs.uic.edu:8080/proofing/gsii/532406-family-history-0-4.pdf","gsii/532406-family-history-0-4.pdf")</f>
        <v>gsii/532406-family-history-0-4.pdf</v>
      </c>
      <c r="E107">
        <v>119960</v>
      </c>
      <c r="F107">
        <v>532406</v>
      </c>
      <c r="G107" t="s">
        <v>9</v>
      </c>
      <c r="H107" t="s">
        <v>107</v>
      </c>
      <c r="I107" t="s">
        <v>116</v>
      </c>
    </row>
    <row r="108" spans="1:9" x14ac:dyDescent="0.2">
      <c r="A108" t="s">
        <v>117</v>
      </c>
      <c r="D108" t="str">
        <f>HYPERLINK("http://nlpdeep.cs.uic.edu:8080/proofing/t5/532406-social-history-0-0.pdf","t5/532406-social-history-0-0.pdf")</f>
        <v>t5/532406-social-history-0-0.pdf</v>
      </c>
      <c r="E108">
        <v>119960</v>
      </c>
      <c r="F108">
        <v>532406</v>
      </c>
      <c r="G108" t="s">
        <v>9</v>
      </c>
      <c r="H108" t="s">
        <v>118</v>
      </c>
      <c r="I108" t="s">
        <v>119</v>
      </c>
    </row>
    <row r="109" spans="1:9" x14ac:dyDescent="0.2">
      <c r="A109" t="s">
        <v>117</v>
      </c>
      <c r="D109" t="str">
        <f>HYPERLINK("http://nlpdeep.cs.uic.edu:8080/proofing/gsii/532406-social-history-0-0.pdf","gsii/532406-social-history-0-0.pdf")</f>
        <v>gsii/532406-social-history-0-0.pdf</v>
      </c>
      <c r="E109">
        <v>119960</v>
      </c>
      <c r="F109">
        <v>532406</v>
      </c>
      <c r="G109" t="s">
        <v>9</v>
      </c>
      <c r="H109" t="s">
        <v>118</v>
      </c>
      <c r="I109" t="s">
        <v>119</v>
      </c>
    </row>
    <row r="110" spans="1:9" x14ac:dyDescent="0.2">
      <c r="A110" t="s">
        <v>120</v>
      </c>
      <c r="D110" t="str">
        <f>HYPERLINK("http://nlpdeep.cs.uic.edu:8080/proofing/t5/532406-social-history-0-1.pdf","t5/532406-social-history-0-1.pdf")</f>
        <v>t5/532406-social-history-0-1.pdf</v>
      </c>
      <c r="E110">
        <v>119960</v>
      </c>
      <c r="F110">
        <v>532406</v>
      </c>
      <c r="G110" t="s">
        <v>9</v>
      </c>
      <c r="H110" t="s">
        <v>118</v>
      </c>
      <c r="I110" t="s">
        <v>121</v>
      </c>
    </row>
    <row r="111" spans="1:9" x14ac:dyDescent="0.2">
      <c r="A111" t="s">
        <v>120</v>
      </c>
      <c r="D111" t="str">
        <f>HYPERLINK("http://nlpdeep.cs.uic.edu:8080/proofing/gsii/532406-social-history-0-1.pdf","gsii/532406-social-history-0-1.pdf")</f>
        <v>gsii/532406-social-history-0-1.pdf</v>
      </c>
      <c r="E111">
        <v>119960</v>
      </c>
      <c r="F111">
        <v>532406</v>
      </c>
      <c r="G111" t="s">
        <v>9</v>
      </c>
      <c r="H111" t="s">
        <v>118</v>
      </c>
      <c r="I111" t="s">
        <v>121</v>
      </c>
    </row>
    <row r="112" spans="1:9" x14ac:dyDescent="0.2">
      <c r="A112" t="s">
        <v>122</v>
      </c>
      <c r="D112" t="str">
        <f>HYPERLINK("http://nlpdeep.cs.uic.edu:8080/proofing/t5/532406-social-history-0-2.pdf","t5/532406-social-history-0-2.pdf")</f>
        <v>t5/532406-social-history-0-2.pdf</v>
      </c>
      <c r="E112">
        <v>119960</v>
      </c>
      <c r="F112">
        <v>532406</v>
      </c>
      <c r="G112" t="s">
        <v>9</v>
      </c>
      <c r="H112" t="s">
        <v>118</v>
      </c>
      <c r="I112" t="s">
        <v>123</v>
      </c>
    </row>
    <row r="113" spans="1:9" x14ac:dyDescent="0.2">
      <c r="A113" t="s">
        <v>122</v>
      </c>
      <c r="D113" t="str">
        <f>HYPERLINK("http://nlpdeep.cs.uic.edu:8080/proofing/gsii/532406-social-history-0-2.pdf","gsii/532406-social-history-0-2.pdf")</f>
        <v>gsii/532406-social-history-0-2.pdf</v>
      </c>
      <c r="E113">
        <v>119960</v>
      </c>
      <c r="F113">
        <v>532406</v>
      </c>
      <c r="G113" t="s">
        <v>9</v>
      </c>
      <c r="H113" t="s">
        <v>118</v>
      </c>
      <c r="I113" t="s">
        <v>123</v>
      </c>
    </row>
    <row r="114" spans="1:9" x14ac:dyDescent="0.2">
      <c r="A114" t="s">
        <v>124</v>
      </c>
      <c r="D114" t="str">
        <f>HYPERLINK("http://nlpdeep.cs.uic.edu:8080/proofing/t5/532406-social-history-0-3.pdf","t5/532406-social-history-0-3.pdf")</f>
        <v>t5/532406-social-history-0-3.pdf</v>
      </c>
      <c r="E114">
        <v>119960</v>
      </c>
      <c r="F114">
        <v>532406</v>
      </c>
      <c r="G114" t="s">
        <v>9</v>
      </c>
      <c r="H114" t="s">
        <v>118</v>
      </c>
      <c r="I114" t="s">
        <v>125</v>
      </c>
    </row>
    <row r="115" spans="1:9" x14ac:dyDescent="0.2">
      <c r="A115" t="s">
        <v>124</v>
      </c>
      <c r="D115" t="str">
        <f>HYPERLINK("http://nlpdeep.cs.uic.edu:8080/proofing/gsii/532406-social-history-0-3.pdf","gsii/532406-social-history-0-3.pdf")</f>
        <v>gsii/532406-social-history-0-3.pdf</v>
      </c>
      <c r="E115">
        <v>119960</v>
      </c>
      <c r="F115">
        <v>532406</v>
      </c>
      <c r="G115" t="s">
        <v>9</v>
      </c>
      <c r="H115" t="s">
        <v>118</v>
      </c>
      <c r="I115" t="s">
        <v>125</v>
      </c>
    </row>
    <row r="116" spans="1:9" x14ac:dyDescent="0.2">
      <c r="A116" t="s">
        <v>126</v>
      </c>
      <c r="D116" t="str">
        <f>HYPERLINK("http://nlpdeep.cs.uic.edu:8080/proofing/t5/532406-social-history-0-4.pdf","t5/532406-social-history-0-4.pdf")</f>
        <v>t5/532406-social-history-0-4.pdf</v>
      </c>
      <c r="E116">
        <v>119960</v>
      </c>
      <c r="F116">
        <v>532406</v>
      </c>
      <c r="G116" t="s">
        <v>9</v>
      </c>
      <c r="H116" t="s">
        <v>118</v>
      </c>
      <c r="I116" t="s">
        <v>127</v>
      </c>
    </row>
    <row r="117" spans="1:9" x14ac:dyDescent="0.2">
      <c r="A117" t="s">
        <v>126</v>
      </c>
      <c r="D117" t="str">
        <f>HYPERLINK("http://nlpdeep.cs.uic.edu:8080/proofing/gsii/532406-social-history-0-4.pdf","gsii/532406-social-history-0-4.pdf")</f>
        <v>gsii/532406-social-history-0-4.pdf</v>
      </c>
      <c r="E117">
        <v>119960</v>
      </c>
      <c r="F117">
        <v>532406</v>
      </c>
      <c r="G117" t="s">
        <v>9</v>
      </c>
      <c r="H117" t="s">
        <v>118</v>
      </c>
      <c r="I117" t="s">
        <v>127</v>
      </c>
    </row>
    <row r="118" spans="1:9" x14ac:dyDescent="0.2">
      <c r="A118" t="s">
        <v>128</v>
      </c>
      <c r="D118" t="str">
        <f>HYPERLINK("http://nlpdeep.cs.uic.edu:8080/proofing/t5/532406-social-history-0-5.pdf","t5/532406-social-history-0-5.pdf")</f>
        <v>t5/532406-social-history-0-5.pdf</v>
      </c>
      <c r="E118">
        <v>119960</v>
      </c>
      <c r="F118">
        <v>532406</v>
      </c>
      <c r="G118" t="s">
        <v>9</v>
      </c>
      <c r="H118" t="s">
        <v>118</v>
      </c>
      <c r="I118" t="s">
        <v>129</v>
      </c>
    </row>
    <row r="119" spans="1:9" x14ac:dyDescent="0.2">
      <c r="A119" t="s">
        <v>128</v>
      </c>
      <c r="D119" t="str">
        <f>HYPERLINK("http://nlpdeep.cs.uic.edu:8080/proofing/gsii/532406-social-history-0-5.pdf","gsii/532406-social-history-0-5.pdf")</f>
        <v>gsii/532406-social-history-0-5.pdf</v>
      </c>
      <c r="E119">
        <v>119960</v>
      </c>
      <c r="F119">
        <v>532406</v>
      </c>
      <c r="G119" t="s">
        <v>9</v>
      </c>
      <c r="H119" t="s">
        <v>118</v>
      </c>
      <c r="I119" t="s">
        <v>129</v>
      </c>
    </row>
    <row r="120" spans="1:9" x14ac:dyDescent="0.2">
      <c r="A120" t="s">
        <v>130</v>
      </c>
      <c r="D120" t="str">
        <f>HYPERLINK("http://nlpdeep.cs.uic.edu:8080/proofing/t5/532406-social-history-0-6.pdf","t5/532406-social-history-0-6.pdf")</f>
        <v>t5/532406-social-history-0-6.pdf</v>
      </c>
      <c r="E120">
        <v>119960</v>
      </c>
      <c r="F120">
        <v>532406</v>
      </c>
      <c r="G120" t="s">
        <v>9</v>
      </c>
      <c r="H120" t="s">
        <v>118</v>
      </c>
      <c r="I120" t="s">
        <v>131</v>
      </c>
    </row>
    <row r="121" spans="1:9" x14ac:dyDescent="0.2">
      <c r="A121" t="s">
        <v>130</v>
      </c>
      <c r="D121" t="str">
        <f>HYPERLINK("http://nlpdeep.cs.uic.edu:8080/proofing/gsii/532406-social-history-0-6.pdf","gsii/532406-social-history-0-6.pdf")</f>
        <v>gsii/532406-social-history-0-6.pdf</v>
      </c>
      <c r="E121">
        <v>119960</v>
      </c>
      <c r="F121">
        <v>532406</v>
      </c>
      <c r="G121" t="s">
        <v>9</v>
      </c>
      <c r="H121" t="s">
        <v>118</v>
      </c>
      <c r="I121" t="s">
        <v>131</v>
      </c>
    </row>
    <row r="122" spans="1:9" x14ac:dyDescent="0.2">
      <c r="A122" t="s">
        <v>132</v>
      </c>
      <c r="D122" t="str">
        <f>HYPERLINK("http://nlpdeep.cs.uic.edu:8080/proofing/t5/532406-social-history-0-7.pdf","t5/532406-social-history-0-7.pdf")</f>
        <v>t5/532406-social-history-0-7.pdf</v>
      </c>
      <c r="E122">
        <v>119960</v>
      </c>
      <c r="F122">
        <v>532406</v>
      </c>
      <c r="G122" t="s">
        <v>9</v>
      </c>
      <c r="H122" t="s">
        <v>118</v>
      </c>
      <c r="I122" t="s">
        <v>133</v>
      </c>
    </row>
    <row r="123" spans="1:9" x14ac:dyDescent="0.2">
      <c r="A123" t="s">
        <v>132</v>
      </c>
      <c r="D123" t="str">
        <f>HYPERLINK("http://nlpdeep.cs.uic.edu:8080/proofing/gsii/532406-social-history-0-7.pdf","gsii/532406-social-history-0-7.pdf")</f>
        <v>gsii/532406-social-history-0-7.pdf</v>
      </c>
      <c r="E123">
        <v>119960</v>
      </c>
      <c r="F123">
        <v>532406</v>
      </c>
      <c r="G123" t="s">
        <v>9</v>
      </c>
      <c r="H123" t="s">
        <v>118</v>
      </c>
      <c r="I123" t="s">
        <v>133</v>
      </c>
    </row>
    <row r="124" spans="1:9" x14ac:dyDescent="0.2">
      <c r="A124" t="s">
        <v>134</v>
      </c>
      <c r="D124" t="str">
        <f>HYPERLINK("http://nlpdeep.cs.uic.edu:8080/proofing/t5/532406-flowsheet-data-vitals-0-0.pdf","t5/532406-flowsheet-data-vitals-0-0.pdf")</f>
        <v>t5/532406-flowsheet-data-vitals-0-0.pdf</v>
      </c>
      <c r="E124">
        <v>119960</v>
      </c>
      <c r="F124">
        <v>532406</v>
      </c>
      <c r="G124" t="s">
        <v>9</v>
      </c>
      <c r="H124" t="s">
        <v>135</v>
      </c>
      <c r="I124" t="s">
        <v>136</v>
      </c>
    </row>
    <row r="125" spans="1:9" x14ac:dyDescent="0.2">
      <c r="A125" t="s">
        <v>134</v>
      </c>
      <c r="D125" t="str">
        <f>HYPERLINK("http://nlpdeep.cs.uic.edu:8080/proofing/gsii/532406-flowsheet-data-vitals-0-0.pdf","gsii/532406-flowsheet-data-vitals-0-0.pdf")</f>
        <v>gsii/532406-flowsheet-data-vitals-0-0.pdf</v>
      </c>
      <c r="E125">
        <v>119960</v>
      </c>
      <c r="F125">
        <v>532406</v>
      </c>
      <c r="G125" t="s">
        <v>9</v>
      </c>
      <c r="H125" t="s">
        <v>135</v>
      </c>
      <c r="I125" t="s">
        <v>136</v>
      </c>
    </row>
    <row r="126" spans="1:9" x14ac:dyDescent="0.2">
      <c r="A126" t="s">
        <v>137</v>
      </c>
      <c r="D126" t="str">
        <f>HYPERLINK("http://nlpdeep.cs.uic.edu:8080/proofing/t5/532406-physical-examination-0-0.pdf","t5/532406-physical-examination-0-0.pdf")</f>
        <v>t5/532406-physical-examination-0-0.pdf</v>
      </c>
      <c r="E126">
        <v>119960</v>
      </c>
      <c r="F126">
        <v>532406</v>
      </c>
      <c r="G126" t="s">
        <v>9</v>
      </c>
      <c r="H126" t="s">
        <v>138</v>
      </c>
      <c r="I126" t="s">
        <v>139</v>
      </c>
    </row>
    <row r="127" spans="1:9" x14ac:dyDescent="0.2">
      <c r="A127" t="s">
        <v>137</v>
      </c>
      <c r="D127" t="str">
        <f>HYPERLINK("http://nlpdeep.cs.uic.edu:8080/proofing/gsii/532406-physical-examination-0-0.pdf","gsii/532406-physical-examination-0-0.pdf")</f>
        <v>gsii/532406-physical-examination-0-0.pdf</v>
      </c>
      <c r="E127">
        <v>119960</v>
      </c>
      <c r="F127">
        <v>532406</v>
      </c>
      <c r="G127" t="s">
        <v>9</v>
      </c>
      <c r="H127" t="s">
        <v>138</v>
      </c>
      <c r="I127" t="s">
        <v>139</v>
      </c>
    </row>
    <row r="128" spans="1:9" x14ac:dyDescent="0.2">
      <c r="A128" t="s">
        <v>140</v>
      </c>
      <c r="D128" t="str">
        <f>HYPERLINK("http://nlpdeep.cs.uic.edu:8080/proofing/t5/532406-physical-examination-0-1.pdf","t5/532406-physical-examination-0-1.pdf")</f>
        <v>t5/532406-physical-examination-0-1.pdf</v>
      </c>
      <c r="E128">
        <v>119960</v>
      </c>
      <c r="F128">
        <v>532406</v>
      </c>
      <c r="G128" t="s">
        <v>9</v>
      </c>
      <c r="H128" t="s">
        <v>138</v>
      </c>
      <c r="I128" t="s">
        <v>141</v>
      </c>
    </row>
    <row r="129" spans="1:9" x14ac:dyDescent="0.2">
      <c r="A129" t="s">
        <v>140</v>
      </c>
      <c r="D129" t="str">
        <f>HYPERLINK("http://nlpdeep.cs.uic.edu:8080/proofing/gsii/532406-physical-examination-0-1.pdf","gsii/532406-physical-examination-0-1.pdf")</f>
        <v>gsii/532406-physical-examination-0-1.pdf</v>
      </c>
      <c r="E129">
        <v>119960</v>
      </c>
      <c r="F129">
        <v>532406</v>
      </c>
      <c r="G129" t="s">
        <v>9</v>
      </c>
      <c r="H129" t="s">
        <v>138</v>
      </c>
      <c r="I129" t="s">
        <v>141</v>
      </c>
    </row>
    <row r="130" spans="1:9" x14ac:dyDescent="0.2">
      <c r="A130" t="s">
        <v>142</v>
      </c>
      <c r="D130" t="str">
        <f>HYPERLINK("http://nlpdeep.cs.uic.edu:8080/proofing/t5/532406-physical-examination-0-2.pdf","t5/532406-physical-examination-0-2.pdf")</f>
        <v>t5/532406-physical-examination-0-2.pdf</v>
      </c>
      <c r="E130">
        <v>119960</v>
      </c>
      <c r="F130">
        <v>532406</v>
      </c>
      <c r="G130" t="s">
        <v>9</v>
      </c>
      <c r="H130" t="s">
        <v>138</v>
      </c>
      <c r="I130" t="s">
        <v>143</v>
      </c>
    </row>
    <row r="131" spans="1:9" x14ac:dyDescent="0.2">
      <c r="A131" t="s">
        <v>142</v>
      </c>
      <c r="D131" t="str">
        <f>HYPERLINK("http://nlpdeep.cs.uic.edu:8080/proofing/gsii/532406-physical-examination-0-2.pdf","gsii/532406-physical-examination-0-2.pdf")</f>
        <v>gsii/532406-physical-examination-0-2.pdf</v>
      </c>
      <c r="E131">
        <v>119960</v>
      </c>
      <c r="F131">
        <v>532406</v>
      </c>
      <c r="G131" t="s">
        <v>9</v>
      </c>
      <c r="H131" t="s">
        <v>138</v>
      </c>
      <c r="I131" t="s">
        <v>143</v>
      </c>
    </row>
    <row r="132" spans="1:9" x14ac:dyDescent="0.2">
      <c r="A132" t="s">
        <v>144</v>
      </c>
      <c r="D132" t="str">
        <f>HYPERLINK("http://nlpdeep.cs.uic.edu:8080/proofing/t5/532406-physical-examination-0-3.pdf","t5/532406-physical-examination-0-3.pdf")</f>
        <v>t5/532406-physical-examination-0-3.pdf</v>
      </c>
      <c r="E132">
        <v>119960</v>
      </c>
      <c r="F132">
        <v>532406</v>
      </c>
      <c r="G132" t="s">
        <v>9</v>
      </c>
      <c r="H132" t="s">
        <v>138</v>
      </c>
      <c r="I132" t="s">
        <v>145</v>
      </c>
    </row>
    <row r="133" spans="1:9" x14ac:dyDescent="0.2">
      <c r="A133" t="s">
        <v>144</v>
      </c>
      <c r="D133" t="str">
        <f>HYPERLINK("http://nlpdeep.cs.uic.edu:8080/proofing/gsii/532406-physical-examination-0-3.pdf","gsii/532406-physical-examination-0-3.pdf")</f>
        <v>gsii/532406-physical-examination-0-3.pdf</v>
      </c>
      <c r="E133">
        <v>119960</v>
      </c>
      <c r="F133">
        <v>532406</v>
      </c>
      <c r="G133" t="s">
        <v>9</v>
      </c>
      <c r="H133" t="s">
        <v>138</v>
      </c>
      <c r="I133" t="s">
        <v>145</v>
      </c>
    </row>
    <row r="134" spans="1:9" x14ac:dyDescent="0.2">
      <c r="A134" t="s">
        <v>146</v>
      </c>
      <c r="D134" t="str">
        <f>HYPERLINK("http://nlpdeep.cs.uic.edu:8080/proofing/t5/532406-labs-imaging-0-0.pdf","t5/532406-labs-imaging-0-0.pdf")</f>
        <v>t5/532406-labs-imaging-0-0.pdf</v>
      </c>
      <c r="E134">
        <v>119960</v>
      </c>
      <c r="F134">
        <v>532406</v>
      </c>
      <c r="G134" t="s">
        <v>9</v>
      </c>
      <c r="H134" t="s">
        <v>147</v>
      </c>
      <c r="I134" t="s">
        <v>148</v>
      </c>
    </row>
    <row r="135" spans="1:9" x14ac:dyDescent="0.2">
      <c r="A135" t="s">
        <v>146</v>
      </c>
      <c r="D135" t="str">
        <f>HYPERLINK("http://nlpdeep.cs.uic.edu:8080/proofing/gsii/532406-labs-imaging-0-0.pdf","gsii/532406-labs-imaging-0-0.pdf")</f>
        <v>gsii/532406-labs-imaging-0-0.pdf</v>
      </c>
      <c r="E135">
        <v>119960</v>
      </c>
      <c r="F135">
        <v>532406</v>
      </c>
      <c r="G135" t="s">
        <v>9</v>
      </c>
      <c r="H135" t="s">
        <v>147</v>
      </c>
      <c r="I135" t="s">
        <v>148</v>
      </c>
    </row>
    <row r="136" spans="1:9" x14ac:dyDescent="0.2">
      <c r="A136" t="s">
        <v>149</v>
      </c>
      <c r="D136" t="str">
        <f>HYPERLINK("http://nlpdeep.cs.uic.edu:8080/proofing/t5/532406-labs-imaging-0-1.pdf","t5/532406-labs-imaging-0-1.pdf")</f>
        <v>t5/532406-labs-imaging-0-1.pdf</v>
      </c>
      <c r="E136">
        <v>119960</v>
      </c>
      <c r="F136">
        <v>532406</v>
      </c>
      <c r="G136" t="s">
        <v>9</v>
      </c>
      <c r="H136" t="s">
        <v>147</v>
      </c>
      <c r="I136" t="s">
        <v>150</v>
      </c>
    </row>
    <row r="137" spans="1:9" x14ac:dyDescent="0.2">
      <c r="A137" t="s">
        <v>149</v>
      </c>
      <c r="D137" t="str">
        <f>HYPERLINK("http://nlpdeep.cs.uic.edu:8080/proofing/gsii/532406-labs-imaging-0-1.pdf","gsii/532406-labs-imaging-0-1.pdf")</f>
        <v>gsii/532406-labs-imaging-0-1.pdf</v>
      </c>
      <c r="E137">
        <v>119960</v>
      </c>
      <c r="F137">
        <v>532406</v>
      </c>
      <c r="G137" t="s">
        <v>9</v>
      </c>
      <c r="H137" t="s">
        <v>147</v>
      </c>
      <c r="I137" t="s">
        <v>150</v>
      </c>
    </row>
    <row r="138" spans="1:9" x14ac:dyDescent="0.2">
      <c r="A138" t="s">
        <v>151</v>
      </c>
      <c r="D138" t="str">
        <f>HYPERLINK("http://nlpdeep.cs.uic.edu:8080/proofing/t5/532406-labs-imaging-0-2.pdf","t5/532406-labs-imaging-0-2.pdf")</f>
        <v>t5/532406-labs-imaging-0-2.pdf</v>
      </c>
      <c r="E138">
        <v>119960</v>
      </c>
      <c r="F138">
        <v>532406</v>
      </c>
      <c r="G138" t="s">
        <v>9</v>
      </c>
      <c r="H138" t="s">
        <v>147</v>
      </c>
      <c r="I138" t="s">
        <v>152</v>
      </c>
    </row>
    <row r="139" spans="1:9" x14ac:dyDescent="0.2">
      <c r="A139" t="s">
        <v>151</v>
      </c>
      <c r="D139" t="str">
        <f>HYPERLINK("http://nlpdeep.cs.uic.edu:8080/proofing/gsii/532406-labs-imaging-0-2.pdf","gsii/532406-labs-imaging-0-2.pdf")</f>
        <v>gsii/532406-labs-imaging-0-2.pdf</v>
      </c>
      <c r="E139">
        <v>119960</v>
      </c>
      <c r="F139">
        <v>532406</v>
      </c>
      <c r="G139" t="s">
        <v>9</v>
      </c>
      <c r="H139" t="s">
        <v>147</v>
      </c>
      <c r="I139" t="s">
        <v>152</v>
      </c>
    </row>
    <row r="140" spans="1:9" x14ac:dyDescent="0.2">
      <c r="A140" t="s">
        <v>153</v>
      </c>
      <c r="D140" t="str">
        <f>HYPERLINK("http://nlpdeep.cs.uic.edu:8080/proofing/t5/532406-labs-imaging-0-3.pdf","t5/532406-labs-imaging-0-3.pdf")</f>
        <v>t5/532406-labs-imaging-0-3.pdf</v>
      </c>
      <c r="E140">
        <v>119960</v>
      </c>
      <c r="F140">
        <v>532406</v>
      </c>
      <c r="G140" t="s">
        <v>9</v>
      </c>
      <c r="H140" t="s">
        <v>147</v>
      </c>
      <c r="I140" t="s">
        <v>154</v>
      </c>
    </row>
    <row r="141" spans="1:9" x14ac:dyDescent="0.2">
      <c r="A141" t="s">
        <v>153</v>
      </c>
      <c r="D141" t="str">
        <f>HYPERLINK("http://nlpdeep.cs.uic.edu:8080/proofing/gsii/532406-labs-imaging-0-3.pdf","gsii/532406-labs-imaging-0-3.pdf")</f>
        <v>gsii/532406-labs-imaging-0-3.pdf</v>
      </c>
      <c r="E141">
        <v>119960</v>
      </c>
      <c r="F141">
        <v>532406</v>
      </c>
      <c r="G141" t="s">
        <v>9</v>
      </c>
      <c r="H141" t="s">
        <v>147</v>
      </c>
      <c r="I141" t="s">
        <v>154</v>
      </c>
    </row>
    <row r="142" spans="1:9" x14ac:dyDescent="0.2">
      <c r="A142" t="s">
        <v>155</v>
      </c>
      <c r="D142" t="str">
        <f>HYPERLINK("http://nlpdeep.cs.uic.edu:8080/proofing/t5/532406-labs-imaging-0-4.pdf","t5/532406-labs-imaging-0-4.pdf")</f>
        <v>t5/532406-labs-imaging-0-4.pdf</v>
      </c>
      <c r="E142">
        <v>119960</v>
      </c>
      <c r="F142">
        <v>532406</v>
      </c>
      <c r="G142" t="s">
        <v>9</v>
      </c>
      <c r="H142" t="s">
        <v>147</v>
      </c>
      <c r="I142" t="s">
        <v>156</v>
      </c>
    </row>
    <row r="143" spans="1:9" x14ac:dyDescent="0.2">
      <c r="A143" t="s">
        <v>155</v>
      </c>
      <c r="D143" t="str">
        <f>HYPERLINK("http://nlpdeep.cs.uic.edu:8080/proofing/gsii/532406-labs-imaging-0-4.pdf","gsii/532406-labs-imaging-0-4.pdf")</f>
        <v>gsii/532406-labs-imaging-0-4.pdf</v>
      </c>
      <c r="E143">
        <v>119960</v>
      </c>
      <c r="F143">
        <v>532406</v>
      </c>
      <c r="G143" t="s">
        <v>9</v>
      </c>
      <c r="H143" t="s">
        <v>147</v>
      </c>
      <c r="I143" t="s">
        <v>156</v>
      </c>
    </row>
    <row r="144" spans="1:9" x14ac:dyDescent="0.2">
      <c r="A144" t="s">
        <v>157</v>
      </c>
      <c r="D144" t="str">
        <f>HYPERLINK("http://nlpdeep.cs.uic.edu:8080/proofing/t5/532406-labs-imaging-0-5.pdf","t5/532406-labs-imaging-0-5.pdf")</f>
        <v>t5/532406-labs-imaging-0-5.pdf</v>
      </c>
      <c r="E144">
        <v>119960</v>
      </c>
      <c r="F144">
        <v>532406</v>
      </c>
      <c r="G144" t="s">
        <v>9</v>
      </c>
      <c r="H144" t="s">
        <v>147</v>
      </c>
      <c r="I144" t="s">
        <v>158</v>
      </c>
    </row>
    <row r="145" spans="1:9" x14ac:dyDescent="0.2">
      <c r="A145" t="s">
        <v>157</v>
      </c>
      <c r="D145" t="str">
        <f>HYPERLINK("http://nlpdeep.cs.uic.edu:8080/proofing/gsii/532406-labs-imaging-0-5.pdf","gsii/532406-labs-imaging-0-5.pdf")</f>
        <v>gsii/532406-labs-imaging-0-5.pdf</v>
      </c>
      <c r="E145">
        <v>119960</v>
      </c>
      <c r="F145">
        <v>532406</v>
      </c>
      <c r="G145" t="s">
        <v>9</v>
      </c>
      <c r="H145" t="s">
        <v>147</v>
      </c>
      <c r="I145" t="s">
        <v>158</v>
      </c>
    </row>
    <row r="146" spans="1:9" x14ac:dyDescent="0.2">
      <c r="A146" t="s">
        <v>159</v>
      </c>
      <c r="D146" t="str">
        <f>HYPERLINK("http://nlpdeep.cs.uic.edu:8080/proofing/t5/532406-labs-imaging-0-6.pdf","t5/532406-labs-imaging-0-6.pdf")</f>
        <v>t5/532406-labs-imaging-0-6.pdf</v>
      </c>
      <c r="E146">
        <v>119960</v>
      </c>
      <c r="F146">
        <v>532406</v>
      </c>
      <c r="G146" t="s">
        <v>9</v>
      </c>
      <c r="H146" t="s">
        <v>147</v>
      </c>
      <c r="I146" t="s">
        <v>160</v>
      </c>
    </row>
    <row r="147" spans="1:9" x14ac:dyDescent="0.2">
      <c r="A147" t="s">
        <v>159</v>
      </c>
      <c r="D147" t="str">
        <f>HYPERLINK("http://nlpdeep.cs.uic.edu:8080/proofing/gsii/532406-labs-imaging-0-6.pdf","gsii/532406-labs-imaging-0-6.pdf")</f>
        <v>gsii/532406-labs-imaging-0-6.pdf</v>
      </c>
      <c r="E147">
        <v>119960</v>
      </c>
      <c r="F147">
        <v>532406</v>
      </c>
      <c r="G147" t="s">
        <v>9</v>
      </c>
      <c r="H147" t="s">
        <v>147</v>
      </c>
      <c r="I147" t="s">
        <v>160</v>
      </c>
    </row>
    <row r="148" spans="1:9" x14ac:dyDescent="0.2">
      <c r="A148" t="s">
        <v>161</v>
      </c>
      <c r="D148" t="str">
        <f>HYPERLINK("http://nlpdeep.cs.uic.edu:8080/proofing/t5/532406-labs-imaging-0-7.pdf","t5/532406-labs-imaging-0-7.pdf")</f>
        <v>t5/532406-labs-imaging-0-7.pdf</v>
      </c>
      <c r="E148">
        <v>119960</v>
      </c>
      <c r="F148">
        <v>532406</v>
      </c>
      <c r="G148" t="s">
        <v>9</v>
      </c>
      <c r="H148" t="s">
        <v>147</v>
      </c>
      <c r="I148" t="s">
        <v>162</v>
      </c>
    </row>
    <row r="149" spans="1:9" x14ac:dyDescent="0.2">
      <c r="A149" t="s">
        <v>161</v>
      </c>
      <c r="D149" t="str">
        <f>HYPERLINK("http://nlpdeep.cs.uic.edu:8080/proofing/gsii/532406-labs-imaging-0-7.pdf","gsii/532406-labs-imaging-0-7.pdf")</f>
        <v>gsii/532406-labs-imaging-0-7.pdf</v>
      </c>
      <c r="E149">
        <v>119960</v>
      </c>
      <c r="F149">
        <v>532406</v>
      </c>
      <c r="G149" t="s">
        <v>9</v>
      </c>
      <c r="H149" t="s">
        <v>147</v>
      </c>
      <c r="I149" t="s">
        <v>162</v>
      </c>
    </row>
    <row r="150" spans="1:9" x14ac:dyDescent="0.2">
      <c r="A150" t="s">
        <v>163</v>
      </c>
      <c r="D150" t="str">
        <f>HYPERLINK("http://nlpdeep.cs.uic.edu:8080/proofing/t5/532406-labs-imaging-0-8.pdf","t5/532406-labs-imaging-0-8.pdf")</f>
        <v>t5/532406-labs-imaging-0-8.pdf</v>
      </c>
      <c r="E150">
        <v>119960</v>
      </c>
      <c r="F150">
        <v>532406</v>
      </c>
      <c r="G150" t="s">
        <v>9</v>
      </c>
      <c r="H150" t="s">
        <v>147</v>
      </c>
      <c r="I150" t="s">
        <v>164</v>
      </c>
    </row>
    <row r="151" spans="1:9" x14ac:dyDescent="0.2">
      <c r="A151" t="s">
        <v>163</v>
      </c>
      <c r="D151" t="str">
        <f>HYPERLINK("http://nlpdeep.cs.uic.edu:8080/proofing/gsii/532406-labs-imaging-0-8.pdf","gsii/532406-labs-imaging-0-8.pdf")</f>
        <v>gsii/532406-labs-imaging-0-8.pdf</v>
      </c>
      <c r="E151">
        <v>119960</v>
      </c>
      <c r="F151">
        <v>532406</v>
      </c>
      <c r="G151" t="s">
        <v>9</v>
      </c>
      <c r="H151" t="s">
        <v>147</v>
      </c>
      <c r="I151" t="s">
        <v>164</v>
      </c>
    </row>
    <row r="152" spans="1:9" x14ac:dyDescent="0.2">
      <c r="A152" t="s">
        <v>165</v>
      </c>
      <c r="D152" t="str">
        <f>HYPERLINK("http://nlpdeep.cs.uic.edu:8080/proofing/t5/532406-labs-imaging-1-0.pdf","t5/532406-labs-imaging-1-0.pdf")</f>
        <v>t5/532406-labs-imaging-1-0.pdf</v>
      </c>
      <c r="E152">
        <v>119960</v>
      </c>
      <c r="F152">
        <v>532406</v>
      </c>
      <c r="G152" t="s">
        <v>9</v>
      </c>
      <c r="H152" t="s">
        <v>147</v>
      </c>
    </row>
    <row r="153" spans="1:9" x14ac:dyDescent="0.2">
      <c r="A153" t="s">
        <v>165</v>
      </c>
      <c r="D153" t="str">
        <f>HYPERLINK("http://nlpdeep.cs.uic.edu:8080/proofing/gsii/532406-labs-imaging-1-0.pdf","gsii/532406-labs-imaging-1-0.pdf")</f>
        <v>gsii/532406-labs-imaging-1-0.pdf</v>
      </c>
      <c r="E153">
        <v>119960</v>
      </c>
      <c r="F153">
        <v>532406</v>
      </c>
      <c r="G153" t="s">
        <v>9</v>
      </c>
      <c r="H153" t="s">
        <v>147</v>
      </c>
    </row>
    <row r="154" spans="1:9" x14ac:dyDescent="0.2">
      <c r="A154" t="s">
        <v>166</v>
      </c>
      <c r="D154" t="str">
        <f>HYPERLINK("http://nlpdeep.cs.uic.edu:8080/proofing/t5/532406-labs-imaging-2-0.pdf","t5/532406-labs-imaging-2-0.pdf")</f>
        <v>t5/532406-labs-imaging-2-0.pdf</v>
      </c>
      <c r="E154">
        <v>119960</v>
      </c>
      <c r="F154">
        <v>532406</v>
      </c>
      <c r="G154" t="s">
        <v>9</v>
      </c>
      <c r="H154" t="s">
        <v>147</v>
      </c>
    </row>
    <row r="155" spans="1:9" x14ac:dyDescent="0.2">
      <c r="A155" t="s">
        <v>166</v>
      </c>
      <c r="D155" t="str">
        <f>HYPERLINK("http://nlpdeep.cs.uic.edu:8080/proofing/gsii/532406-labs-imaging-2-0.pdf","gsii/532406-labs-imaging-2-0.pdf")</f>
        <v>gsii/532406-labs-imaging-2-0.pdf</v>
      </c>
      <c r="E155">
        <v>119960</v>
      </c>
      <c r="F155">
        <v>532406</v>
      </c>
      <c r="G155" t="s">
        <v>9</v>
      </c>
      <c r="H155" t="s">
        <v>147</v>
      </c>
    </row>
    <row r="156" spans="1:9" x14ac:dyDescent="0.2">
      <c r="A156" t="s">
        <v>167</v>
      </c>
      <c r="D156" t="str">
        <f>HYPERLINK("http://nlpdeep.cs.uic.edu:8080/proofing/t5/532406-labs-imaging-3-0.pdf","t5/532406-labs-imaging-3-0.pdf")</f>
        <v>t5/532406-labs-imaging-3-0.pdf</v>
      </c>
      <c r="E156">
        <v>119960</v>
      </c>
      <c r="F156">
        <v>532406</v>
      </c>
      <c r="G156" t="s">
        <v>9</v>
      </c>
      <c r="H156" t="s">
        <v>147</v>
      </c>
    </row>
    <row r="157" spans="1:9" x14ac:dyDescent="0.2">
      <c r="A157" t="s">
        <v>167</v>
      </c>
      <c r="D157" t="str">
        <f>HYPERLINK("http://nlpdeep.cs.uic.edu:8080/proofing/gsii/532406-labs-imaging-3-0.pdf","gsii/532406-labs-imaging-3-0.pdf")</f>
        <v>gsii/532406-labs-imaging-3-0.pdf</v>
      </c>
      <c r="E157">
        <v>119960</v>
      </c>
      <c r="F157">
        <v>532406</v>
      </c>
      <c r="G157" t="s">
        <v>9</v>
      </c>
      <c r="H157" t="s">
        <v>147</v>
      </c>
    </row>
    <row r="158" spans="1:9" x14ac:dyDescent="0.2">
      <c r="A158" t="s">
        <v>168</v>
      </c>
      <c r="D158" t="str">
        <f>HYPERLINK("http://nlpdeep.cs.uic.edu:8080/proofing/t5/532406-labs-imaging-4-0.pdf","t5/532406-labs-imaging-4-0.pdf")</f>
        <v>t5/532406-labs-imaging-4-0.pdf</v>
      </c>
      <c r="E158">
        <v>119960</v>
      </c>
      <c r="F158">
        <v>532406</v>
      </c>
      <c r="G158" t="s">
        <v>9</v>
      </c>
      <c r="H158" t="s">
        <v>147</v>
      </c>
      <c r="I158" t="s">
        <v>169</v>
      </c>
    </row>
    <row r="159" spans="1:9" x14ac:dyDescent="0.2">
      <c r="A159" t="s">
        <v>168</v>
      </c>
      <c r="D159" t="str">
        <f>HYPERLINK("http://nlpdeep.cs.uic.edu:8080/proofing/gsii/532406-labs-imaging-4-0.pdf","gsii/532406-labs-imaging-4-0.pdf")</f>
        <v>gsii/532406-labs-imaging-4-0.pdf</v>
      </c>
      <c r="E159">
        <v>119960</v>
      </c>
      <c r="F159">
        <v>532406</v>
      </c>
      <c r="G159" t="s">
        <v>9</v>
      </c>
      <c r="H159" t="s">
        <v>147</v>
      </c>
      <c r="I159" t="s">
        <v>169</v>
      </c>
    </row>
    <row r="160" spans="1:9" x14ac:dyDescent="0.2">
      <c r="A160" t="s">
        <v>170</v>
      </c>
      <c r="D160" t="str">
        <f>HYPERLINK("http://nlpdeep.cs.uic.edu:8080/proofing/t5/532406-labs-imaging-4-1.pdf","t5/532406-labs-imaging-4-1.pdf")</f>
        <v>t5/532406-labs-imaging-4-1.pdf</v>
      </c>
      <c r="E160">
        <v>119960</v>
      </c>
      <c r="F160">
        <v>532406</v>
      </c>
      <c r="G160" t="s">
        <v>9</v>
      </c>
      <c r="H160" t="s">
        <v>147</v>
      </c>
      <c r="I160" t="s">
        <v>171</v>
      </c>
    </row>
    <row r="161" spans="1:9" x14ac:dyDescent="0.2">
      <c r="A161" t="s">
        <v>170</v>
      </c>
      <c r="D161" t="str">
        <f>HYPERLINK("http://nlpdeep.cs.uic.edu:8080/proofing/gsii/532406-labs-imaging-4-1.pdf","gsii/532406-labs-imaging-4-1.pdf")</f>
        <v>gsii/532406-labs-imaging-4-1.pdf</v>
      </c>
      <c r="E161">
        <v>119960</v>
      </c>
      <c r="F161">
        <v>532406</v>
      </c>
      <c r="G161" t="s">
        <v>9</v>
      </c>
      <c r="H161" t="s">
        <v>147</v>
      </c>
      <c r="I161" t="s">
        <v>171</v>
      </c>
    </row>
    <row r="162" spans="1:9" x14ac:dyDescent="0.2">
      <c r="A162" t="s">
        <v>172</v>
      </c>
      <c r="D162" t="str">
        <f>HYPERLINK("http://nlpdeep.cs.uic.edu:8080/proofing/t5/532406-labs-imaging-4-2.pdf","t5/532406-labs-imaging-4-2.pdf")</f>
        <v>t5/532406-labs-imaging-4-2.pdf</v>
      </c>
      <c r="E162">
        <v>119960</v>
      </c>
      <c r="F162">
        <v>532406</v>
      </c>
      <c r="G162" t="s">
        <v>9</v>
      </c>
      <c r="H162" t="s">
        <v>147</v>
      </c>
      <c r="I162" t="s">
        <v>173</v>
      </c>
    </row>
    <row r="163" spans="1:9" x14ac:dyDescent="0.2">
      <c r="A163" t="s">
        <v>172</v>
      </c>
      <c r="D163" t="str">
        <f>HYPERLINK("http://nlpdeep.cs.uic.edu:8080/proofing/gsii/532406-labs-imaging-4-2.pdf","gsii/532406-labs-imaging-4-2.pdf")</f>
        <v>gsii/532406-labs-imaging-4-2.pdf</v>
      </c>
      <c r="E163">
        <v>119960</v>
      </c>
      <c r="F163">
        <v>532406</v>
      </c>
      <c r="G163" t="s">
        <v>9</v>
      </c>
      <c r="H163" t="s">
        <v>147</v>
      </c>
      <c r="I163" t="s">
        <v>173</v>
      </c>
    </row>
    <row r="164" spans="1:9" x14ac:dyDescent="0.2">
      <c r="A164" t="s">
        <v>174</v>
      </c>
      <c r="D164" t="str">
        <f>HYPERLINK("http://nlpdeep.cs.uic.edu:8080/proofing/t5/532406-labs-imaging-4-3.pdf","t5/532406-labs-imaging-4-3.pdf")</f>
        <v>t5/532406-labs-imaging-4-3.pdf</v>
      </c>
      <c r="E164">
        <v>119960</v>
      </c>
      <c r="F164">
        <v>532406</v>
      </c>
      <c r="G164" t="s">
        <v>9</v>
      </c>
      <c r="H164" t="s">
        <v>147</v>
      </c>
      <c r="I164" t="s">
        <v>175</v>
      </c>
    </row>
    <row r="165" spans="1:9" x14ac:dyDescent="0.2">
      <c r="A165" t="s">
        <v>174</v>
      </c>
      <c r="D165" t="str">
        <f>HYPERLINK("http://nlpdeep.cs.uic.edu:8080/proofing/gsii/532406-labs-imaging-4-3.pdf","gsii/532406-labs-imaging-4-3.pdf")</f>
        <v>gsii/532406-labs-imaging-4-3.pdf</v>
      </c>
      <c r="E165">
        <v>119960</v>
      </c>
      <c r="F165">
        <v>532406</v>
      </c>
      <c r="G165" t="s">
        <v>9</v>
      </c>
      <c r="H165" t="s">
        <v>147</v>
      </c>
      <c r="I165" t="s">
        <v>175</v>
      </c>
    </row>
    <row r="166" spans="1:9" x14ac:dyDescent="0.2">
      <c r="A166" t="s">
        <v>176</v>
      </c>
      <c r="D166" t="str">
        <f>HYPERLINK("http://nlpdeep.cs.uic.edu:8080/proofing/t5/532406-labs-imaging-5-0.pdf","t5/532406-labs-imaging-5-0.pdf")</f>
        <v>t5/532406-labs-imaging-5-0.pdf</v>
      </c>
      <c r="E166">
        <v>119960</v>
      </c>
      <c r="F166">
        <v>532406</v>
      </c>
      <c r="G166" t="s">
        <v>9</v>
      </c>
      <c r="H166" t="s">
        <v>147</v>
      </c>
      <c r="I166" t="s">
        <v>177</v>
      </c>
    </row>
    <row r="167" spans="1:9" x14ac:dyDescent="0.2">
      <c r="A167" t="s">
        <v>176</v>
      </c>
      <c r="D167" t="str">
        <f>HYPERLINK("http://nlpdeep.cs.uic.edu:8080/proofing/gsii/532406-labs-imaging-5-0.pdf","gsii/532406-labs-imaging-5-0.pdf")</f>
        <v>gsii/532406-labs-imaging-5-0.pdf</v>
      </c>
      <c r="E167">
        <v>119960</v>
      </c>
      <c r="F167">
        <v>532406</v>
      </c>
      <c r="G167" t="s">
        <v>9</v>
      </c>
      <c r="H167" t="s">
        <v>147</v>
      </c>
      <c r="I167" t="s">
        <v>177</v>
      </c>
    </row>
    <row r="168" spans="1:9" x14ac:dyDescent="0.2">
      <c r="A168" t="s">
        <v>178</v>
      </c>
      <c r="D168" t="str">
        <f>HYPERLINK("http://nlpdeep.cs.uic.edu:8080/proofing/t5/532406-labs-imaging-5-1.pdf","t5/532406-labs-imaging-5-1.pdf")</f>
        <v>t5/532406-labs-imaging-5-1.pdf</v>
      </c>
      <c r="E168">
        <v>119960</v>
      </c>
      <c r="F168">
        <v>532406</v>
      </c>
      <c r="G168" t="s">
        <v>9</v>
      </c>
      <c r="H168" t="s">
        <v>147</v>
      </c>
      <c r="I168" t="s">
        <v>179</v>
      </c>
    </row>
    <row r="169" spans="1:9" x14ac:dyDescent="0.2">
      <c r="A169" t="s">
        <v>178</v>
      </c>
      <c r="D169" t="str">
        <f>HYPERLINK("http://nlpdeep.cs.uic.edu:8080/proofing/gsii/532406-labs-imaging-5-1.pdf","gsii/532406-labs-imaging-5-1.pdf")</f>
        <v>gsii/532406-labs-imaging-5-1.pdf</v>
      </c>
      <c r="E169">
        <v>119960</v>
      </c>
      <c r="F169">
        <v>532406</v>
      </c>
      <c r="G169" t="s">
        <v>9</v>
      </c>
      <c r="H169" t="s">
        <v>147</v>
      </c>
      <c r="I169" t="s">
        <v>179</v>
      </c>
    </row>
    <row r="170" spans="1:9" x14ac:dyDescent="0.2">
      <c r="A170" t="s">
        <v>180</v>
      </c>
      <c r="D170" t="str">
        <f>HYPERLINK("http://nlpdeep.cs.uic.edu:8080/proofing/t5/532406-labs-imaging-5-2.pdf","t5/532406-labs-imaging-5-2.pdf")</f>
        <v>t5/532406-labs-imaging-5-2.pdf</v>
      </c>
      <c r="E170">
        <v>119960</v>
      </c>
      <c r="F170">
        <v>532406</v>
      </c>
      <c r="G170" t="s">
        <v>9</v>
      </c>
      <c r="H170" t="s">
        <v>147</v>
      </c>
      <c r="I170" t="s">
        <v>181</v>
      </c>
    </row>
    <row r="171" spans="1:9" x14ac:dyDescent="0.2">
      <c r="A171" t="s">
        <v>180</v>
      </c>
      <c r="D171" t="str">
        <f>HYPERLINK("http://nlpdeep.cs.uic.edu:8080/proofing/gsii/532406-labs-imaging-5-2.pdf","gsii/532406-labs-imaging-5-2.pdf")</f>
        <v>gsii/532406-labs-imaging-5-2.pdf</v>
      </c>
      <c r="E171">
        <v>119960</v>
      </c>
      <c r="F171">
        <v>532406</v>
      </c>
      <c r="G171" t="s">
        <v>9</v>
      </c>
      <c r="H171" t="s">
        <v>147</v>
      </c>
      <c r="I171" t="s">
        <v>181</v>
      </c>
    </row>
    <row r="172" spans="1:9" x14ac:dyDescent="0.2">
      <c r="A172" t="s">
        <v>182</v>
      </c>
      <c r="D172" t="str">
        <f>HYPERLINK("http://nlpdeep.cs.uic.edu:8080/proofing/t5/532406-labs-imaging-5-3.pdf","t5/532406-labs-imaging-5-3.pdf")</f>
        <v>t5/532406-labs-imaging-5-3.pdf</v>
      </c>
      <c r="E172">
        <v>119960</v>
      </c>
      <c r="F172">
        <v>532406</v>
      </c>
      <c r="G172" t="s">
        <v>9</v>
      </c>
      <c r="H172" t="s">
        <v>147</v>
      </c>
      <c r="I172" t="s">
        <v>183</v>
      </c>
    </row>
    <row r="173" spans="1:9" x14ac:dyDescent="0.2">
      <c r="A173" t="s">
        <v>182</v>
      </c>
      <c r="D173" t="str">
        <f>HYPERLINK("http://nlpdeep.cs.uic.edu:8080/proofing/gsii/532406-labs-imaging-5-3.pdf","gsii/532406-labs-imaging-5-3.pdf")</f>
        <v>gsii/532406-labs-imaging-5-3.pdf</v>
      </c>
      <c r="E173">
        <v>119960</v>
      </c>
      <c r="F173">
        <v>532406</v>
      </c>
      <c r="G173" t="s">
        <v>9</v>
      </c>
      <c r="H173" t="s">
        <v>147</v>
      </c>
      <c r="I173" t="s">
        <v>183</v>
      </c>
    </row>
    <row r="174" spans="1:9" x14ac:dyDescent="0.2">
      <c r="A174" t="s">
        <v>184</v>
      </c>
      <c r="D174" t="str">
        <f>HYPERLINK("http://nlpdeep.cs.uic.edu:8080/proofing/t5/532406-labs-imaging-5-4.pdf","t5/532406-labs-imaging-5-4.pdf")</f>
        <v>t5/532406-labs-imaging-5-4.pdf</v>
      </c>
      <c r="E174">
        <v>119960</v>
      </c>
      <c r="F174">
        <v>532406</v>
      </c>
      <c r="G174" t="s">
        <v>9</v>
      </c>
      <c r="H174" t="s">
        <v>147</v>
      </c>
      <c r="I174" t="s">
        <v>185</v>
      </c>
    </row>
    <row r="175" spans="1:9" x14ac:dyDescent="0.2">
      <c r="A175" t="s">
        <v>184</v>
      </c>
      <c r="D175" t="str">
        <f>HYPERLINK("http://nlpdeep.cs.uic.edu:8080/proofing/gsii/532406-labs-imaging-5-4.pdf","gsii/532406-labs-imaging-5-4.pdf")</f>
        <v>gsii/532406-labs-imaging-5-4.pdf</v>
      </c>
      <c r="E175">
        <v>119960</v>
      </c>
      <c r="F175">
        <v>532406</v>
      </c>
      <c r="G175" t="s">
        <v>9</v>
      </c>
      <c r="H175" t="s">
        <v>147</v>
      </c>
      <c r="I175" t="s">
        <v>185</v>
      </c>
    </row>
    <row r="176" spans="1:9" x14ac:dyDescent="0.2">
      <c r="A176" t="s">
        <v>186</v>
      </c>
      <c r="D176" t="str">
        <f>HYPERLINK("http://nlpdeep.cs.uic.edu:8080/proofing/t5/532406-labs-imaging-6-0.pdf","t5/532406-labs-imaging-6-0.pdf")</f>
        <v>t5/532406-labs-imaging-6-0.pdf</v>
      </c>
      <c r="E176">
        <v>119960</v>
      </c>
      <c r="F176">
        <v>532406</v>
      </c>
      <c r="G176" t="s">
        <v>9</v>
      </c>
      <c r="H176" t="s">
        <v>147</v>
      </c>
      <c r="I176" t="s">
        <v>187</v>
      </c>
    </row>
    <row r="177" spans="1:9" x14ac:dyDescent="0.2">
      <c r="A177" t="s">
        <v>186</v>
      </c>
      <c r="D177" t="str">
        <f>HYPERLINK("http://nlpdeep.cs.uic.edu:8080/proofing/gsii/532406-labs-imaging-6-0.pdf","gsii/532406-labs-imaging-6-0.pdf")</f>
        <v>gsii/532406-labs-imaging-6-0.pdf</v>
      </c>
      <c r="E177">
        <v>119960</v>
      </c>
      <c r="F177">
        <v>532406</v>
      </c>
      <c r="G177" t="s">
        <v>9</v>
      </c>
      <c r="H177" t="s">
        <v>147</v>
      </c>
      <c r="I177" t="s">
        <v>187</v>
      </c>
    </row>
    <row r="178" spans="1:9" x14ac:dyDescent="0.2">
      <c r="A178" t="s">
        <v>188</v>
      </c>
      <c r="D178" t="str">
        <f>HYPERLINK("http://nlpdeep.cs.uic.edu:8080/proofing/t5/532406-labs-imaging-6-1.pdf","t5/532406-labs-imaging-6-1.pdf")</f>
        <v>t5/532406-labs-imaging-6-1.pdf</v>
      </c>
      <c r="E178">
        <v>119960</v>
      </c>
      <c r="F178">
        <v>532406</v>
      </c>
      <c r="G178" t="s">
        <v>9</v>
      </c>
      <c r="H178" t="s">
        <v>147</v>
      </c>
      <c r="I178" t="s">
        <v>189</v>
      </c>
    </row>
    <row r="179" spans="1:9" x14ac:dyDescent="0.2">
      <c r="A179" t="s">
        <v>188</v>
      </c>
      <c r="D179" t="str">
        <f>HYPERLINK("http://nlpdeep.cs.uic.edu:8080/proofing/gsii/532406-labs-imaging-6-1.pdf","gsii/532406-labs-imaging-6-1.pdf")</f>
        <v>gsii/532406-labs-imaging-6-1.pdf</v>
      </c>
      <c r="E179">
        <v>119960</v>
      </c>
      <c r="F179">
        <v>532406</v>
      </c>
      <c r="G179" t="s">
        <v>9</v>
      </c>
      <c r="H179" t="s">
        <v>147</v>
      </c>
      <c r="I179" t="s">
        <v>189</v>
      </c>
    </row>
    <row r="180" spans="1:9" x14ac:dyDescent="0.2">
      <c r="A180" t="s">
        <v>190</v>
      </c>
      <c r="D180" t="str">
        <f>HYPERLINK("http://nlpdeep.cs.uic.edu:8080/proofing/t5/532406-labs-imaging-6-2.pdf","t5/532406-labs-imaging-6-2.pdf")</f>
        <v>t5/532406-labs-imaging-6-2.pdf</v>
      </c>
      <c r="E180">
        <v>119960</v>
      </c>
      <c r="F180">
        <v>532406</v>
      </c>
      <c r="G180" t="s">
        <v>9</v>
      </c>
      <c r="H180" t="s">
        <v>147</v>
      </c>
      <c r="I180" t="s">
        <v>191</v>
      </c>
    </row>
    <row r="181" spans="1:9" x14ac:dyDescent="0.2">
      <c r="A181" t="s">
        <v>190</v>
      </c>
      <c r="D181" t="str">
        <f>HYPERLINK("http://nlpdeep.cs.uic.edu:8080/proofing/gsii/532406-labs-imaging-6-2.pdf","gsii/532406-labs-imaging-6-2.pdf")</f>
        <v>gsii/532406-labs-imaging-6-2.pdf</v>
      </c>
      <c r="E181">
        <v>119960</v>
      </c>
      <c r="F181">
        <v>532406</v>
      </c>
      <c r="G181" t="s">
        <v>9</v>
      </c>
      <c r="H181" t="s">
        <v>147</v>
      </c>
      <c r="I181" t="s">
        <v>191</v>
      </c>
    </row>
    <row r="182" spans="1:9" x14ac:dyDescent="0.2">
      <c r="A182" t="s">
        <v>192</v>
      </c>
      <c r="D182" t="str">
        <f>HYPERLINK("http://nlpdeep.cs.uic.edu:8080/proofing/t5/532406-labs-imaging-6-3.pdf","t5/532406-labs-imaging-6-3.pdf")</f>
        <v>t5/532406-labs-imaging-6-3.pdf</v>
      </c>
      <c r="E182">
        <v>119960</v>
      </c>
      <c r="F182">
        <v>532406</v>
      </c>
      <c r="G182" t="s">
        <v>9</v>
      </c>
      <c r="H182" t="s">
        <v>147</v>
      </c>
      <c r="I182" t="s">
        <v>193</v>
      </c>
    </row>
    <row r="183" spans="1:9" x14ac:dyDescent="0.2">
      <c r="A183" t="s">
        <v>192</v>
      </c>
      <c r="D183" t="str">
        <f>HYPERLINK("http://nlpdeep.cs.uic.edu:8080/proofing/gsii/532406-labs-imaging-6-3.pdf","gsii/532406-labs-imaging-6-3.pdf")</f>
        <v>gsii/532406-labs-imaging-6-3.pdf</v>
      </c>
      <c r="E183">
        <v>119960</v>
      </c>
      <c r="F183">
        <v>532406</v>
      </c>
      <c r="G183" t="s">
        <v>9</v>
      </c>
      <c r="H183" t="s">
        <v>147</v>
      </c>
      <c r="I183" t="s">
        <v>193</v>
      </c>
    </row>
    <row r="184" spans="1:9" x14ac:dyDescent="0.2">
      <c r="A184" t="s">
        <v>194</v>
      </c>
      <c r="D184" t="str">
        <f>HYPERLINK("http://nlpdeep.cs.uic.edu:8080/proofing/t5/532406-assessment-and-plan-0-0.pdf","t5/532406-assessment-and-plan-0-0.pdf")</f>
        <v>t5/532406-assessment-and-plan-0-0.pdf</v>
      </c>
      <c r="E184">
        <v>119960</v>
      </c>
      <c r="F184">
        <v>532406</v>
      </c>
      <c r="G184" t="s">
        <v>9</v>
      </c>
      <c r="H184" t="s">
        <v>195</v>
      </c>
      <c r="I184" t="s">
        <v>196</v>
      </c>
    </row>
    <row r="185" spans="1:9" x14ac:dyDescent="0.2">
      <c r="A185" t="s">
        <v>194</v>
      </c>
      <c r="D185" t="str">
        <f>HYPERLINK("http://nlpdeep.cs.uic.edu:8080/proofing/gsii/532406-assessment-and-plan-0-0.pdf","gsii/532406-assessment-and-plan-0-0.pdf")</f>
        <v>gsii/532406-assessment-and-plan-0-0.pdf</v>
      </c>
      <c r="E185">
        <v>119960</v>
      </c>
      <c r="F185">
        <v>532406</v>
      </c>
      <c r="G185" t="s">
        <v>9</v>
      </c>
      <c r="H185" t="s">
        <v>195</v>
      </c>
      <c r="I185" t="s">
        <v>196</v>
      </c>
    </row>
    <row r="186" spans="1:9" x14ac:dyDescent="0.2">
      <c r="A186" t="s">
        <v>197</v>
      </c>
      <c r="D186" t="str">
        <f>HYPERLINK("http://nlpdeep.cs.uic.edu:8080/proofing/t5/532406-communication-0-0.pdf","t5/532406-communication-0-0.pdf")</f>
        <v>t5/532406-communication-0-0.pdf</v>
      </c>
      <c r="E186">
        <v>119960</v>
      </c>
      <c r="F186">
        <v>532406</v>
      </c>
      <c r="G186" t="s">
        <v>9</v>
      </c>
      <c r="H186" t="s">
        <v>198</v>
      </c>
      <c r="I186" t="s">
        <v>199</v>
      </c>
    </row>
    <row r="187" spans="1:9" x14ac:dyDescent="0.2">
      <c r="A187" t="s">
        <v>197</v>
      </c>
      <c r="D187" t="str">
        <f>HYPERLINK("http://nlpdeep.cs.uic.edu:8080/proofing/gsii/532406-communication-0-0.pdf","gsii/532406-communication-0-0.pdf")</f>
        <v>gsii/532406-communication-0-0.pdf</v>
      </c>
      <c r="E187">
        <v>119960</v>
      </c>
      <c r="F187">
        <v>532406</v>
      </c>
      <c r="G187" t="s">
        <v>9</v>
      </c>
      <c r="H187" t="s">
        <v>198</v>
      </c>
      <c r="I187" t="s">
        <v>199</v>
      </c>
    </row>
    <row r="188" spans="1:9" x14ac:dyDescent="0.2">
      <c r="A188" t="s">
        <v>200</v>
      </c>
      <c r="D188" t="str">
        <f>HYPERLINK("http://nlpdeep.cs.uic.edu:8080/proofing/t5/532406-code-status-0-0.pdf","t5/532406-code-status-0-0.pdf")</f>
        <v>t5/532406-code-status-0-0.pdf</v>
      </c>
      <c r="E188">
        <v>119960</v>
      </c>
      <c r="F188">
        <v>532406</v>
      </c>
      <c r="G188" t="s">
        <v>9</v>
      </c>
      <c r="H188" t="s">
        <v>201</v>
      </c>
      <c r="I188" t="s">
        <v>202</v>
      </c>
    </row>
    <row r="189" spans="1:9" x14ac:dyDescent="0.2">
      <c r="A189" t="s">
        <v>200</v>
      </c>
      <c r="D189" t="str">
        <f>HYPERLINK("http://nlpdeep.cs.uic.edu:8080/proofing/gsii/532406-code-status-0-0.pdf","gsii/532406-code-status-0-0.pdf")</f>
        <v>gsii/532406-code-status-0-0.pdf</v>
      </c>
      <c r="E189">
        <v>119960</v>
      </c>
      <c r="F189">
        <v>532406</v>
      </c>
      <c r="G189" t="s">
        <v>9</v>
      </c>
      <c r="H189" t="s">
        <v>201</v>
      </c>
      <c r="I189" t="s">
        <v>202</v>
      </c>
    </row>
    <row r="190" spans="1:9" x14ac:dyDescent="0.2">
      <c r="A190" t="s">
        <v>203</v>
      </c>
      <c r="D190" t="str">
        <f>HYPERLINK("http://nlpdeep.cs.uic.edu:8080/proofing/t5/532406-disposition-0-0.pdf","t5/532406-disposition-0-0.pdf")</f>
        <v>t5/532406-disposition-0-0.pdf</v>
      </c>
      <c r="E190">
        <v>119960</v>
      </c>
      <c r="F190">
        <v>532406</v>
      </c>
      <c r="G190" t="s">
        <v>9</v>
      </c>
      <c r="H190" t="s">
        <v>204</v>
      </c>
      <c r="I190" t="s">
        <v>205</v>
      </c>
    </row>
    <row r="191" spans="1:9" x14ac:dyDescent="0.2">
      <c r="A191" t="s">
        <v>203</v>
      </c>
      <c r="D191" t="str">
        <f>HYPERLINK("http://nlpdeep.cs.uic.edu:8080/proofing/gsii/532406-disposition-0-0.pdf","gsii/532406-disposition-0-0.pdf")</f>
        <v>gsii/532406-disposition-0-0.pdf</v>
      </c>
      <c r="E191">
        <v>119960</v>
      </c>
      <c r="F191">
        <v>532406</v>
      </c>
      <c r="G191" t="s">
        <v>9</v>
      </c>
      <c r="H191" t="s">
        <v>204</v>
      </c>
      <c r="I191" t="s">
        <v>205</v>
      </c>
    </row>
    <row r="192" spans="1:9" x14ac:dyDescent="0.2">
      <c r="A192" t="s">
        <v>206</v>
      </c>
      <c r="D192" t="str">
        <f>HYPERLINK("http://nlpdeep.cs.uic.edu:8080/proofing/t5/532411-chief-complaint-0-0.pdf","t5/532411-chief-complaint-0-0.pdf")</f>
        <v>t5/532411-chief-complaint-0-0.pdf</v>
      </c>
      <c r="E192">
        <v>119960</v>
      </c>
      <c r="F192">
        <v>532411</v>
      </c>
      <c r="G192" t="s">
        <v>9</v>
      </c>
      <c r="H192" t="s">
        <v>10</v>
      </c>
      <c r="I192" t="s">
        <v>11</v>
      </c>
    </row>
    <row r="193" spans="1:9" x14ac:dyDescent="0.2">
      <c r="A193" t="s">
        <v>206</v>
      </c>
      <c r="D193" t="str">
        <f>HYPERLINK("http://nlpdeep.cs.uic.edu:8080/proofing/gsii/532411-chief-complaint-0-0.pdf","gsii/532411-chief-complaint-0-0.pdf")</f>
        <v>gsii/532411-chief-complaint-0-0.pdf</v>
      </c>
      <c r="E193">
        <v>119960</v>
      </c>
      <c r="F193">
        <v>532411</v>
      </c>
      <c r="G193" t="s">
        <v>9</v>
      </c>
      <c r="H193" t="s">
        <v>10</v>
      </c>
      <c r="I193" t="s">
        <v>11</v>
      </c>
    </row>
    <row r="194" spans="1:9" x14ac:dyDescent="0.2">
      <c r="A194" t="s">
        <v>207</v>
      </c>
      <c r="D194" t="str">
        <f>HYPERLINK("http://nlpdeep.cs.uic.edu:8080/proofing/t5/532411-history-of-present-illness-0-0.pdf","t5/532411-history-of-present-illness-0-0.pdf")</f>
        <v>t5/532411-history-of-present-illness-0-0.pdf</v>
      </c>
      <c r="E194">
        <v>119960</v>
      </c>
      <c r="F194">
        <v>532411</v>
      </c>
      <c r="G194" t="s">
        <v>9</v>
      </c>
      <c r="H194" t="s">
        <v>13</v>
      </c>
      <c r="I194" t="s">
        <v>14</v>
      </c>
    </row>
    <row r="195" spans="1:9" x14ac:dyDescent="0.2">
      <c r="A195" t="s">
        <v>207</v>
      </c>
      <c r="D195" t="str">
        <f>HYPERLINK("http://nlpdeep.cs.uic.edu:8080/proofing/gsii/532411-history-of-present-illness-0-0.pdf","gsii/532411-history-of-present-illness-0-0.pdf")</f>
        <v>gsii/532411-history-of-present-illness-0-0.pdf</v>
      </c>
      <c r="E195">
        <v>119960</v>
      </c>
      <c r="F195">
        <v>532411</v>
      </c>
      <c r="G195" t="s">
        <v>9</v>
      </c>
      <c r="H195" t="s">
        <v>13</v>
      </c>
      <c r="I195" t="s">
        <v>14</v>
      </c>
    </row>
    <row r="196" spans="1:9" x14ac:dyDescent="0.2">
      <c r="A196" t="s">
        <v>208</v>
      </c>
      <c r="D196" t="str">
        <f>HYPERLINK("http://nlpdeep.cs.uic.edu:8080/proofing/t5/532411-history-of-present-illness-0-1.pdf","t5/532411-history-of-present-illness-0-1.pdf")</f>
        <v>t5/532411-history-of-present-illness-0-1.pdf</v>
      </c>
      <c r="E196">
        <v>119960</v>
      </c>
      <c r="F196">
        <v>532411</v>
      </c>
      <c r="G196" t="s">
        <v>9</v>
      </c>
      <c r="H196" t="s">
        <v>13</v>
      </c>
      <c r="I196" t="s">
        <v>16</v>
      </c>
    </row>
    <row r="197" spans="1:9" x14ac:dyDescent="0.2">
      <c r="A197" t="s">
        <v>208</v>
      </c>
      <c r="D197" t="str">
        <f>HYPERLINK("http://nlpdeep.cs.uic.edu:8080/proofing/gsii/532411-history-of-present-illness-0-1.pdf","gsii/532411-history-of-present-illness-0-1.pdf")</f>
        <v>gsii/532411-history-of-present-illness-0-1.pdf</v>
      </c>
      <c r="E197">
        <v>119960</v>
      </c>
      <c r="F197">
        <v>532411</v>
      </c>
      <c r="G197" t="s">
        <v>9</v>
      </c>
      <c r="H197" t="s">
        <v>13</v>
      </c>
      <c r="I197" t="s">
        <v>16</v>
      </c>
    </row>
    <row r="198" spans="1:9" x14ac:dyDescent="0.2">
      <c r="A198" t="s">
        <v>209</v>
      </c>
      <c r="D198" t="str">
        <f>HYPERLINK("http://nlpdeep.cs.uic.edu:8080/proofing/t5/532411-history-of-present-illness-0-2.pdf","t5/532411-history-of-present-illness-0-2.pdf")</f>
        <v>t5/532411-history-of-present-illness-0-2.pdf</v>
      </c>
      <c r="E198">
        <v>119960</v>
      </c>
      <c r="F198">
        <v>532411</v>
      </c>
      <c r="G198" t="s">
        <v>9</v>
      </c>
      <c r="H198" t="s">
        <v>13</v>
      </c>
      <c r="I198" t="s">
        <v>18</v>
      </c>
    </row>
    <row r="199" spans="1:9" x14ac:dyDescent="0.2">
      <c r="A199" t="s">
        <v>209</v>
      </c>
      <c r="D199" t="str">
        <f>HYPERLINK("http://nlpdeep.cs.uic.edu:8080/proofing/gsii/532411-history-of-present-illness-0-2.pdf","gsii/532411-history-of-present-illness-0-2.pdf")</f>
        <v>gsii/532411-history-of-present-illness-0-2.pdf</v>
      </c>
      <c r="E199">
        <v>119960</v>
      </c>
      <c r="F199">
        <v>532411</v>
      </c>
      <c r="G199" t="s">
        <v>9</v>
      </c>
      <c r="H199" t="s">
        <v>13</v>
      </c>
      <c r="I199" t="s">
        <v>18</v>
      </c>
    </row>
    <row r="200" spans="1:9" x14ac:dyDescent="0.2">
      <c r="A200" t="s">
        <v>210</v>
      </c>
      <c r="D200" t="str">
        <f>HYPERLINK("http://nlpdeep.cs.uic.edu:8080/proofing/t5/532411-history-of-present-illness-0-3.pdf","t5/532411-history-of-present-illness-0-3.pdf")</f>
        <v>t5/532411-history-of-present-illness-0-3.pdf</v>
      </c>
      <c r="E200">
        <v>119960</v>
      </c>
      <c r="F200">
        <v>532411</v>
      </c>
      <c r="G200" t="s">
        <v>9</v>
      </c>
      <c r="H200" t="s">
        <v>13</v>
      </c>
      <c r="I200" t="s">
        <v>20</v>
      </c>
    </row>
    <row r="201" spans="1:9" x14ac:dyDescent="0.2">
      <c r="A201" t="s">
        <v>210</v>
      </c>
      <c r="D201" t="str">
        <f>HYPERLINK("http://nlpdeep.cs.uic.edu:8080/proofing/gsii/532411-history-of-present-illness-0-3.pdf","gsii/532411-history-of-present-illness-0-3.pdf")</f>
        <v>gsii/532411-history-of-present-illness-0-3.pdf</v>
      </c>
      <c r="E201">
        <v>119960</v>
      </c>
      <c r="F201">
        <v>532411</v>
      </c>
      <c r="G201" t="s">
        <v>9</v>
      </c>
      <c r="H201" t="s">
        <v>13</v>
      </c>
      <c r="I201" t="s">
        <v>20</v>
      </c>
    </row>
    <row r="202" spans="1:9" x14ac:dyDescent="0.2">
      <c r="A202" t="s">
        <v>211</v>
      </c>
      <c r="D202" t="str">
        <f>HYPERLINK("http://nlpdeep.cs.uic.edu:8080/proofing/t5/532411-history-of-present-illness-0-4.pdf","t5/532411-history-of-present-illness-0-4.pdf")</f>
        <v>t5/532411-history-of-present-illness-0-4.pdf</v>
      </c>
      <c r="E202">
        <v>119960</v>
      </c>
      <c r="F202">
        <v>532411</v>
      </c>
      <c r="G202" t="s">
        <v>9</v>
      </c>
      <c r="H202" t="s">
        <v>13</v>
      </c>
      <c r="I202" t="s">
        <v>22</v>
      </c>
    </row>
    <row r="203" spans="1:9" x14ac:dyDescent="0.2">
      <c r="A203" t="s">
        <v>211</v>
      </c>
      <c r="D203" t="str">
        <f>HYPERLINK("http://nlpdeep.cs.uic.edu:8080/proofing/gsii/532411-history-of-present-illness-0-4.pdf","gsii/532411-history-of-present-illness-0-4.pdf")</f>
        <v>gsii/532411-history-of-present-illness-0-4.pdf</v>
      </c>
      <c r="E203">
        <v>119960</v>
      </c>
      <c r="F203">
        <v>532411</v>
      </c>
      <c r="G203" t="s">
        <v>9</v>
      </c>
      <c r="H203" t="s">
        <v>13</v>
      </c>
      <c r="I203" t="s">
        <v>22</v>
      </c>
    </row>
    <row r="204" spans="1:9" x14ac:dyDescent="0.2">
      <c r="A204" t="s">
        <v>212</v>
      </c>
      <c r="D204" t="str">
        <f>HYPERLINK("http://nlpdeep.cs.uic.edu:8080/proofing/t5/532411-history-of-present-illness-0-5.pdf","t5/532411-history-of-present-illness-0-5.pdf")</f>
        <v>t5/532411-history-of-present-illness-0-5.pdf</v>
      </c>
      <c r="E204">
        <v>119960</v>
      </c>
      <c r="F204">
        <v>532411</v>
      </c>
      <c r="G204" t="s">
        <v>9</v>
      </c>
      <c r="H204" t="s">
        <v>13</v>
      </c>
      <c r="I204" t="s">
        <v>24</v>
      </c>
    </row>
    <row r="205" spans="1:9" x14ac:dyDescent="0.2">
      <c r="A205" t="s">
        <v>212</v>
      </c>
      <c r="D205" t="str">
        <f>HYPERLINK("http://nlpdeep.cs.uic.edu:8080/proofing/gsii/532411-history-of-present-illness-0-5.pdf","gsii/532411-history-of-present-illness-0-5.pdf")</f>
        <v>gsii/532411-history-of-present-illness-0-5.pdf</v>
      </c>
      <c r="E205">
        <v>119960</v>
      </c>
      <c r="F205">
        <v>532411</v>
      </c>
      <c r="G205" t="s">
        <v>9</v>
      </c>
      <c r="H205" t="s">
        <v>13</v>
      </c>
      <c r="I205" t="s">
        <v>24</v>
      </c>
    </row>
    <row r="206" spans="1:9" x14ac:dyDescent="0.2">
      <c r="A206" t="s">
        <v>213</v>
      </c>
      <c r="D206" t="str">
        <f>HYPERLINK("http://nlpdeep.cs.uic.edu:8080/proofing/t5/532411-history-of-present-illness-0-6.pdf","t5/532411-history-of-present-illness-0-6.pdf")</f>
        <v>t5/532411-history-of-present-illness-0-6.pdf</v>
      </c>
      <c r="E206">
        <v>119960</v>
      </c>
      <c r="F206">
        <v>532411</v>
      </c>
      <c r="G206" t="s">
        <v>9</v>
      </c>
      <c r="H206" t="s">
        <v>13</v>
      </c>
      <c r="I206" t="s">
        <v>26</v>
      </c>
    </row>
    <row r="207" spans="1:9" x14ac:dyDescent="0.2">
      <c r="A207" t="s">
        <v>213</v>
      </c>
      <c r="D207" t="str">
        <f>HYPERLINK("http://nlpdeep.cs.uic.edu:8080/proofing/gsii/532411-history-of-present-illness-0-6.pdf","gsii/532411-history-of-present-illness-0-6.pdf")</f>
        <v>gsii/532411-history-of-present-illness-0-6.pdf</v>
      </c>
      <c r="E207">
        <v>119960</v>
      </c>
      <c r="F207">
        <v>532411</v>
      </c>
      <c r="G207" t="s">
        <v>9</v>
      </c>
      <c r="H207" t="s">
        <v>13</v>
      </c>
      <c r="I207" t="s">
        <v>26</v>
      </c>
    </row>
    <row r="208" spans="1:9" x14ac:dyDescent="0.2">
      <c r="A208" t="s">
        <v>214</v>
      </c>
      <c r="D208" t="str">
        <f>HYPERLINK("http://nlpdeep.cs.uic.edu:8080/proofing/t5/532411-history-of-present-illness-1-0.pdf","t5/532411-history-of-present-illness-1-0.pdf")</f>
        <v>t5/532411-history-of-present-illness-1-0.pdf</v>
      </c>
      <c r="E208">
        <v>119960</v>
      </c>
      <c r="F208">
        <v>532411</v>
      </c>
      <c r="G208" t="s">
        <v>9</v>
      </c>
      <c r="H208" t="s">
        <v>13</v>
      </c>
      <c r="I208" t="s">
        <v>28</v>
      </c>
    </row>
    <row r="209" spans="1:9" x14ac:dyDescent="0.2">
      <c r="A209" t="s">
        <v>214</v>
      </c>
      <c r="D209" t="str">
        <f>HYPERLINK("http://nlpdeep.cs.uic.edu:8080/proofing/gsii/532411-history-of-present-illness-1-0.pdf","gsii/532411-history-of-present-illness-1-0.pdf")</f>
        <v>gsii/532411-history-of-present-illness-1-0.pdf</v>
      </c>
      <c r="E209">
        <v>119960</v>
      </c>
      <c r="F209">
        <v>532411</v>
      </c>
      <c r="G209" t="s">
        <v>9</v>
      </c>
      <c r="H209" t="s">
        <v>13</v>
      </c>
      <c r="I209" t="s">
        <v>28</v>
      </c>
    </row>
    <row r="210" spans="1:9" x14ac:dyDescent="0.2">
      <c r="A210" t="s">
        <v>215</v>
      </c>
      <c r="D210" t="str">
        <f>HYPERLINK("http://nlpdeep.cs.uic.edu:8080/proofing/t5/532411-history-of-present-illness-1-1.pdf","t5/532411-history-of-present-illness-1-1.pdf")</f>
        <v>t5/532411-history-of-present-illness-1-1.pdf</v>
      </c>
      <c r="E210">
        <v>119960</v>
      </c>
      <c r="F210">
        <v>532411</v>
      </c>
      <c r="G210" t="s">
        <v>9</v>
      </c>
      <c r="H210" t="s">
        <v>13</v>
      </c>
      <c r="I210" t="s">
        <v>30</v>
      </c>
    </row>
    <row r="211" spans="1:9" x14ac:dyDescent="0.2">
      <c r="A211" t="s">
        <v>215</v>
      </c>
      <c r="D211" t="str">
        <f>HYPERLINK("http://nlpdeep.cs.uic.edu:8080/proofing/gsii/532411-history-of-present-illness-1-1.pdf","gsii/532411-history-of-present-illness-1-1.pdf")</f>
        <v>gsii/532411-history-of-present-illness-1-1.pdf</v>
      </c>
      <c r="E211">
        <v>119960</v>
      </c>
      <c r="F211">
        <v>532411</v>
      </c>
      <c r="G211" t="s">
        <v>9</v>
      </c>
      <c r="H211" t="s">
        <v>13</v>
      </c>
      <c r="I211" t="s">
        <v>30</v>
      </c>
    </row>
    <row r="212" spans="1:9" x14ac:dyDescent="0.2">
      <c r="A212" t="s">
        <v>216</v>
      </c>
      <c r="D212" t="str">
        <f>HYPERLINK("http://nlpdeep.cs.uic.edu:8080/proofing/t5/532411-history-of-present-illness-1-2.pdf","t5/532411-history-of-present-illness-1-2.pdf")</f>
        <v>t5/532411-history-of-present-illness-1-2.pdf</v>
      </c>
      <c r="E212">
        <v>119960</v>
      </c>
      <c r="F212">
        <v>532411</v>
      </c>
      <c r="G212" t="s">
        <v>9</v>
      </c>
      <c r="H212" t="s">
        <v>13</v>
      </c>
      <c r="I212" t="s">
        <v>32</v>
      </c>
    </row>
    <row r="213" spans="1:9" x14ac:dyDescent="0.2">
      <c r="A213" t="s">
        <v>216</v>
      </c>
      <c r="D213" t="str">
        <f>HYPERLINK("http://nlpdeep.cs.uic.edu:8080/proofing/gsii/532411-history-of-present-illness-1-2.pdf","gsii/532411-history-of-present-illness-1-2.pdf")</f>
        <v>gsii/532411-history-of-present-illness-1-2.pdf</v>
      </c>
      <c r="E213">
        <v>119960</v>
      </c>
      <c r="F213">
        <v>532411</v>
      </c>
      <c r="G213" t="s">
        <v>9</v>
      </c>
      <c r="H213" t="s">
        <v>13</v>
      </c>
      <c r="I213" t="s">
        <v>32</v>
      </c>
    </row>
    <row r="214" spans="1:9" x14ac:dyDescent="0.2">
      <c r="A214" t="s">
        <v>217</v>
      </c>
      <c r="D214" t="str">
        <f>HYPERLINK("http://nlpdeep.cs.uic.edu:8080/proofing/t5/532411-history-of-present-illness-1-3.pdf","t5/532411-history-of-present-illness-1-3.pdf")</f>
        <v>t5/532411-history-of-present-illness-1-3.pdf</v>
      </c>
      <c r="E214">
        <v>119960</v>
      </c>
      <c r="F214">
        <v>532411</v>
      </c>
      <c r="G214" t="s">
        <v>9</v>
      </c>
      <c r="H214" t="s">
        <v>13</v>
      </c>
      <c r="I214" t="s">
        <v>34</v>
      </c>
    </row>
    <row r="215" spans="1:9" x14ac:dyDescent="0.2">
      <c r="A215" t="s">
        <v>217</v>
      </c>
      <c r="D215" t="str">
        <f>HYPERLINK("http://nlpdeep.cs.uic.edu:8080/proofing/gsii/532411-history-of-present-illness-1-3.pdf","gsii/532411-history-of-present-illness-1-3.pdf")</f>
        <v>gsii/532411-history-of-present-illness-1-3.pdf</v>
      </c>
      <c r="E215">
        <v>119960</v>
      </c>
      <c r="F215">
        <v>532411</v>
      </c>
      <c r="G215" t="s">
        <v>9</v>
      </c>
      <c r="H215" t="s">
        <v>13</v>
      </c>
      <c r="I215" t="s">
        <v>34</v>
      </c>
    </row>
    <row r="216" spans="1:9" x14ac:dyDescent="0.2">
      <c r="A216" t="s">
        <v>218</v>
      </c>
      <c r="D216" t="str">
        <f>HYPERLINK("http://nlpdeep.cs.uic.edu:8080/proofing/t5/532411-history-of-present-illness-1-4.pdf","t5/532411-history-of-present-illness-1-4.pdf")</f>
        <v>t5/532411-history-of-present-illness-1-4.pdf</v>
      </c>
      <c r="E216">
        <v>119960</v>
      </c>
      <c r="F216">
        <v>532411</v>
      </c>
      <c r="G216" t="s">
        <v>9</v>
      </c>
      <c r="H216" t="s">
        <v>13</v>
      </c>
      <c r="I216" t="s">
        <v>36</v>
      </c>
    </row>
    <row r="217" spans="1:9" x14ac:dyDescent="0.2">
      <c r="A217" t="s">
        <v>218</v>
      </c>
      <c r="D217" t="str">
        <f>HYPERLINK("http://nlpdeep.cs.uic.edu:8080/proofing/gsii/532411-history-of-present-illness-1-4.pdf","gsii/532411-history-of-present-illness-1-4.pdf")</f>
        <v>gsii/532411-history-of-present-illness-1-4.pdf</v>
      </c>
      <c r="E217">
        <v>119960</v>
      </c>
      <c r="F217">
        <v>532411</v>
      </c>
      <c r="G217" t="s">
        <v>9</v>
      </c>
      <c r="H217" t="s">
        <v>13</v>
      </c>
      <c r="I217" t="s">
        <v>36</v>
      </c>
    </row>
    <row r="218" spans="1:9" x14ac:dyDescent="0.2">
      <c r="A218" t="s">
        <v>219</v>
      </c>
      <c r="D218" t="str">
        <f>HYPERLINK("http://nlpdeep.cs.uic.edu:8080/proofing/t5/532411-history-of-present-illness-2-0.pdf","t5/532411-history-of-present-illness-2-0.pdf")</f>
        <v>t5/532411-history-of-present-illness-2-0.pdf</v>
      </c>
      <c r="E218">
        <v>119960</v>
      </c>
      <c r="F218">
        <v>532411</v>
      </c>
      <c r="G218" t="s">
        <v>9</v>
      </c>
      <c r="H218" t="s">
        <v>13</v>
      </c>
      <c r="I218" t="s">
        <v>38</v>
      </c>
    </row>
    <row r="219" spans="1:9" x14ac:dyDescent="0.2">
      <c r="A219" t="s">
        <v>219</v>
      </c>
      <c r="D219" t="str">
        <f>HYPERLINK("http://nlpdeep.cs.uic.edu:8080/proofing/gsii/532411-history-of-present-illness-2-0.pdf","gsii/532411-history-of-present-illness-2-0.pdf")</f>
        <v>gsii/532411-history-of-present-illness-2-0.pdf</v>
      </c>
      <c r="E219">
        <v>119960</v>
      </c>
      <c r="F219">
        <v>532411</v>
      </c>
      <c r="G219" t="s">
        <v>9</v>
      </c>
      <c r="H219" t="s">
        <v>13</v>
      </c>
      <c r="I219" t="s">
        <v>38</v>
      </c>
    </row>
    <row r="220" spans="1:9" x14ac:dyDescent="0.2">
      <c r="A220" t="s">
        <v>220</v>
      </c>
      <c r="D220" t="str">
        <f>HYPERLINK("http://nlpdeep.cs.uic.edu:8080/proofing/t5/532411-history-of-present-illness-2-1.pdf","t5/532411-history-of-present-illness-2-1.pdf")</f>
        <v>t5/532411-history-of-present-illness-2-1.pdf</v>
      </c>
      <c r="E220">
        <v>119960</v>
      </c>
      <c r="F220">
        <v>532411</v>
      </c>
      <c r="G220" t="s">
        <v>9</v>
      </c>
      <c r="H220" t="s">
        <v>13</v>
      </c>
      <c r="I220" t="s">
        <v>40</v>
      </c>
    </row>
    <row r="221" spans="1:9" x14ac:dyDescent="0.2">
      <c r="A221" t="s">
        <v>220</v>
      </c>
      <c r="D221" t="str">
        <f>HYPERLINK("http://nlpdeep.cs.uic.edu:8080/proofing/gsii/532411-history-of-present-illness-2-1.pdf","gsii/532411-history-of-present-illness-2-1.pdf")</f>
        <v>gsii/532411-history-of-present-illness-2-1.pdf</v>
      </c>
      <c r="E221">
        <v>119960</v>
      </c>
      <c r="F221">
        <v>532411</v>
      </c>
      <c r="G221" t="s">
        <v>9</v>
      </c>
      <c r="H221" t="s">
        <v>13</v>
      </c>
      <c r="I221" t="s">
        <v>40</v>
      </c>
    </row>
    <row r="222" spans="1:9" x14ac:dyDescent="0.2">
      <c r="A222" t="s">
        <v>221</v>
      </c>
      <c r="D222" t="str">
        <f>HYPERLINK("http://nlpdeep.cs.uic.edu:8080/proofing/t5/532411-history-of-present-illness-2-2.pdf","t5/532411-history-of-present-illness-2-2.pdf")</f>
        <v>t5/532411-history-of-present-illness-2-2.pdf</v>
      </c>
      <c r="E222">
        <v>119960</v>
      </c>
      <c r="F222">
        <v>532411</v>
      </c>
      <c r="G222" t="s">
        <v>9</v>
      </c>
      <c r="H222" t="s">
        <v>13</v>
      </c>
      <c r="I222" t="s">
        <v>42</v>
      </c>
    </row>
    <row r="223" spans="1:9" x14ac:dyDescent="0.2">
      <c r="A223" t="s">
        <v>221</v>
      </c>
      <c r="D223" t="str">
        <f>HYPERLINK("http://nlpdeep.cs.uic.edu:8080/proofing/gsii/532411-history-of-present-illness-2-2.pdf","gsii/532411-history-of-present-illness-2-2.pdf")</f>
        <v>gsii/532411-history-of-present-illness-2-2.pdf</v>
      </c>
      <c r="E223">
        <v>119960</v>
      </c>
      <c r="F223">
        <v>532411</v>
      </c>
      <c r="G223" t="s">
        <v>9</v>
      </c>
      <c r="H223" t="s">
        <v>13</v>
      </c>
      <c r="I223" t="s">
        <v>42</v>
      </c>
    </row>
    <row r="224" spans="1:9" x14ac:dyDescent="0.2">
      <c r="A224" t="s">
        <v>222</v>
      </c>
      <c r="D224" t="str">
        <f>HYPERLINK("http://nlpdeep.cs.uic.edu:8080/proofing/t5/532411-history-of-present-illness-2-3.pdf","t5/532411-history-of-present-illness-2-3.pdf")</f>
        <v>t5/532411-history-of-present-illness-2-3.pdf</v>
      </c>
      <c r="E224">
        <v>119960</v>
      </c>
      <c r="F224">
        <v>532411</v>
      </c>
      <c r="G224" t="s">
        <v>9</v>
      </c>
      <c r="H224" t="s">
        <v>13</v>
      </c>
      <c r="I224" t="s">
        <v>44</v>
      </c>
    </row>
    <row r="225" spans="1:9" x14ac:dyDescent="0.2">
      <c r="A225" t="s">
        <v>222</v>
      </c>
      <c r="D225" t="str">
        <f>HYPERLINK("http://nlpdeep.cs.uic.edu:8080/proofing/gsii/532411-history-of-present-illness-2-3.pdf","gsii/532411-history-of-present-illness-2-3.pdf")</f>
        <v>gsii/532411-history-of-present-illness-2-3.pdf</v>
      </c>
      <c r="E225">
        <v>119960</v>
      </c>
      <c r="F225">
        <v>532411</v>
      </c>
      <c r="G225" t="s">
        <v>9</v>
      </c>
      <c r="H225" t="s">
        <v>13</v>
      </c>
      <c r="I225" t="s">
        <v>44</v>
      </c>
    </row>
    <row r="226" spans="1:9" x14ac:dyDescent="0.2">
      <c r="A226" t="s">
        <v>223</v>
      </c>
      <c r="D226" t="str">
        <f>HYPERLINK("http://nlpdeep.cs.uic.edu:8080/proofing/t5/532411-history-of-present-illness-2-4.pdf","t5/532411-history-of-present-illness-2-4.pdf")</f>
        <v>t5/532411-history-of-present-illness-2-4.pdf</v>
      </c>
      <c r="E226">
        <v>119960</v>
      </c>
      <c r="F226">
        <v>532411</v>
      </c>
      <c r="G226" t="s">
        <v>9</v>
      </c>
      <c r="H226" t="s">
        <v>13</v>
      </c>
      <c r="I226" t="s">
        <v>46</v>
      </c>
    </row>
    <row r="227" spans="1:9" x14ac:dyDescent="0.2">
      <c r="A227" t="s">
        <v>223</v>
      </c>
      <c r="D227" t="str">
        <f>HYPERLINK("http://nlpdeep.cs.uic.edu:8080/proofing/gsii/532411-history-of-present-illness-2-4.pdf","gsii/532411-history-of-present-illness-2-4.pdf")</f>
        <v>gsii/532411-history-of-present-illness-2-4.pdf</v>
      </c>
      <c r="E227">
        <v>119960</v>
      </c>
      <c r="F227">
        <v>532411</v>
      </c>
      <c r="G227" t="s">
        <v>9</v>
      </c>
      <c r="H227" t="s">
        <v>13</v>
      </c>
      <c r="I227" t="s">
        <v>46</v>
      </c>
    </row>
    <row r="228" spans="1:9" x14ac:dyDescent="0.2">
      <c r="A228" t="s">
        <v>224</v>
      </c>
      <c r="D228" t="str">
        <f>HYPERLINK("http://nlpdeep.cs.uic.edu:8080/proofing/t5/532411-history-of-present-illness-2-5.pdf","t5/532411-history-of-present-illness-2-5.pdf")</f>
        <v>t5/532411-history-of-present-illness-2-5.pdf</v>
      </c>
      <c r="E228">
        <v>119960</v>
      </c>
      <c r="F228">
        <v>532411</v>
      </c>
      <c r="G228" t="s">
        <v>9</v>
      </c>
      <c r="H228" t="s">
        <v>13</v>
      </c>
      <c r="I228" t="s">
        <v>48</v>
      </c>
    </row>
    <row r="229" spans="1:9" x14ac:dyDescent="0.2">
      <c r="A229" t="s">
        <v>224</v>
      </c>
      <c r="D229" t="str">
        <f>HYPERLINK("http://nlpdeep.cs.uic.edu:8080/proofing/gsii/532411-history-of-present-illness-2-5.pdf","gsii/532411-history-of-present-illness-2-5.pdf")</f>
        <v>gsii/532411-history-of-present-illness-2-5.pdf</v>
      </c>
      <c r="E229">
        <v>119960</v>
      </c>
      <c r="F229">
        <v>532411</v>
      </c>
      <c r="G229" t="s">
        <v>9</v>
      </c>
      <c r="H229" t="s">
        <v>13</v>
      </c>
      <c r="I229" t="s">
        <v>48</v>
      </c>
    </row>
    <row r="230" spans="1:9" x14ac:dyDescent="0.2">
      <c r="A230" t="s">
        <v>225</v>
      </c>
      <c r="D230" t="str">
        <f>HYPERLINK("http://nlpdeep.cs.uic.edu:8080/proofing/t5/532411-history-of-present-illness-2-6.pdf","t5/532411-history-of-present-illness-2-6.pdf")</f>
        <v>t5/532411-history-of-present-illness-2-6.pdf</v>
      </c>
      <c r="E230">
        <v>119960</v>
      </c>
      <c r="F230">
        <v>532411</v>
      </c>
      <c r="G230" t="s">
        <v>9</v>
      </c>
      <c r="H230" t="s">
        <v>13</v>
      </c>
      <c r="I230" t="s">
        <v>50</v>
      </c>
    </row>
    <row r="231" spans="1:9" x14ac:dyDescent="0.2">
      <c r="A231" t="s">
        <v>225</v>
      </c>
      <c r="D231" t="str">
        <f>HYPERLINK("http://nlpdeep.cs.uic.edu:8080/proofing/gsii/532411-history-of-present-illness-2-6.pdf","gsii/532411-history-of-present-illness-2-6.pdf")</f>
        <v>gsii/532411-history-of-present-illness-2-6.pdf</v>
      </c>
      <c r="E231">
        <v>119960</v>
      </c>
      <c r="F231">
        <v>532411</v>
      </c>
      <c r="G231" t="s">
        <v>9</v>
      </c>
      <c r="H231" t="s">
        <v>13</v>
      </c>
      <c r="I231" t="s">
        <v>50</v>
      </c>
    </row>
    <row r="232" spans="1:9" x14ac:dyDescent="0.2">
      <c r="A232" t="s">
        <v>226</v>
      </c>
      <c r="D232" t="str">
        <f>HYPERLINK("http://nlpdeep.cs.uic.edu:8080/proofing/t5/532411-history-of-present-illness-2-7.pdf","t5/532411-history-of-present-illness-2-7.pdf")</f>
        <v>t5/532411-history-of-present-illness-2-7.pdf</v>
      </c>
      <c r="E232">
        <v>119960</v>
      </c>
      <c r="F232">
        <v>532411</v>
      </c>
      <c r="G232" t="s">
        <v>9</v>
      </c>
      <c r="H232" t="s">
        <v>13</v>
      </c>
      <c r="I232" t="s">
        <v>52</v>
      </c>
    </row>
    <row r="233" spans="1:9" x14ac:dyDescent="0.2">
      <c r="A233" t="s">
        <v>226</v>
      </c>
      <c r="D233" t="str">
        <f>HYPERLINK("http://nlpdeep.cs.uic.edu:8080/proofing/gsii/532411-history-of-present-illness-2-7.pdf","gsii/532411-history-of-present-illness-2-7.pdf")</f>
        <v>gsii/532411-history-of-present-illness-2-7.pdf</v>
      </c>
      <c r="E233">
        <v>119960</v>
      </c>
      <c r="F233">
        <v>532411</v>
      </c>
      <c r="G233" t="s">
        <v>9</v>
      </c>
      <c r="H233" t="s">
        <v>13</v>
      </c>
      <c r="I233" t="s">
        <v>52</v>
      </c>
    </row>
    <row r="234" spans="1:9" x14ac:dyDescent="0.2">
      <c r="A234" t="s">
        <v>227</v>
      </c>
      <c r="D234" t="str">
        <f>HYPERLINK("http://nlpdeep.cs.uic.edu:8080/proofing/t5/532411-history-of-present-illness-2-8.pdf","t5/532411-history-of-present-illness-2-8.pdf")</f>
        <v>t5/532411-history-of-present-illness-2-8.pdf</v>
      </c>
      <c r="E234">
        <v>119960</v>
      </c>
      <c r="F234">
        <v>532411</v>
      </c>
      <c r="G234" t="s">
        <v>9</v>
      </c>
      <c r="H234" t="s">
        <v>13</v>
      </c>
      <c r="I234" t="s">
        <v>54</v>
      </c>
    </row>
    <row r="235" spans="1:9" x14ac:dyDescent="0.2">
      <c r="A235" t="s">
        <v>227</v>
      </c>
      <c r="D235" t="str">
        <f>HYPERLINK("http://nlpdeep.cs.uic.edu:8080/proofing/gsii/532411-history-of-present-illness-2-8.pdf","gsii/532411-history-of-present-illness-2-8.pdf")</f>
        <v>gsii/532411-history-of-present-illness-2-8.pdf</v>
      </c>
      <c r="E235">
        <v>119960</v>
      </c>
      <c r="F235">
        <v>532411</v>
      </c>
      <c r="G235" t="s">
        <v>9</v>
      </c>
      <c r="H235" t="s">
        <v>13</v>
      </c>
      <c r="I235" t="s">
        <v>54</v>
      </c>
    </row>
    <row r="236" spans="1:9" x14ac:dyDescent="0.2">
      <c r="A236" t="s">
        <v>228</v>
      </c>
      <c r="D236" t="str">
        <f>HYPERLINK("http://nlpdeep.cs.uic.edu:8080/proofing/t5/532411-history-of-present-illness-3-0.pdf","t5/532411-history-of-present-illness-3-0.pdf")</f>
        <v>t5/532411-history-of-present-illness-3-0.pdf</v>
      </c>
      <c r="E236">
        <v>119960</v>
      </c>
      <c r="F236">
        <v>532411</v>
      </c>
      <c r="G236" t="s">
        <v>9</v>
      </c>
      <c r="H236" t="s">
        <v>13</v>
      </c>
      <c r="I236" t="s">
        <v>56</v>
      </c>
    </row>
    <row r="237" spans="1:9" x14ac:dyDescent="0.2">
      <c r="A237" t="s">
        <v>228</v>
      </c>
      <c r="D237" t="str">
        <f>HYPERLINK("http://nlpdeep.cs.uic.edu:8080/proofing/gsii/532411-history-of-present-illness-3-0.pdf","gsii/532411-history-of-present-illness-3-0.pdf")</f>
        <v>gsii/532411-history-of-present-illness-3-0.pdf</v>
      </c>
      <c r="E237">
        <v>119960</v>
      </c>
      <c r="F237">
        <v>532411</v>
      </c>
      <c r="G237" t="s">
        <v>9</v>
      </c>
      <c r="H237" t="s">
        <v>13</v>
      </c>
      <c r="I237" t="s">
        <v>56</v>
      </c>
    </row>
    <row r="238" spans="1:9" x14ac:dyDescent="0.2">
      <c r="A238" t="s">
        <v>229</v>
      </c>
      <c r="D238" t="str">
        <f>HYPERLINK("http://nlpdeep.cs.uic.edu:8080/proofing/t5/532411-history-of-present-illness-4-0.pdf","t5/532411-history-of-present-illness-4-0.pdf")</f>
        <v>t5/532411-history-of-present-illness-4-0.pdf</v>
      </c>
      <c r="E238">
        <v>119960</v>
      </c>
      <c r="F238">
        <v>532411</v>
      </c>
      <c r="G238" t="s">
        <v>9</v>
      </c>
      <c r="H238" t="s">
        <v>13</v>
      </c>
      <c r="I238" t="s">
        <v>58</v>
      </c>
    </row>
    <row r="239" spans="1:9" x14ac:dyDescent="0.2">
      <c r="A239" t="s">
        <v>229</v>
      </c>
      <c r="D239" t="str">
        <f>HYPERLINK("http://nlpdeep.cs.uic.edu:8080/proofing/gsii/532411-history-of-present-illness-4-0.pdf","gsii/532411-history-of-present-illness-4-0.pdf")</f>
        <v>gsii/532411-history-of-present-illness-4-0.pdf</v>
      </c>
      <c r="E239">
        <v>119960</v>
      </c>
      <c r="F239">
        <v>532411</v>
      </c>
      <c r="G239" t="s">
        <v>9</v>
      </c>
      <c r="H239" t="s">
        <v>13</v>
      </c>
      <c r="I239" t="s">
        <v>58</v>
      </c>
    </row>
    <row r="240" spans="1:9" x14ac:dyDescent="0.2">
      <c r="A240" t="s">
        <v>230</v>
      </c>
      <c r="D240" t="str">
        <f>HYPERLINK("http://nlpdeep.cs.uic.edu:8080/proofing/t5/532411-history-of-present-illness-4-1.pdf","t5/532411-history-of-present-illness-4-1.pdf")</f>
        <v>t5/532411-history-of-present-illness-4-1.pdf</v>
      </c>
      <c r="E240">
        <v>119960</v>
      </c>
      <c r="F240">
        <v>532411</v>
      </c>
      <c r="G240" t="s">
        <v>9</v>
      </c>
      <c r="H240" t="s">
        <v>13</v>
      </c>
      <c r="I240" t="s">
        <v>60</v>
      </c>
    </row>
    <row r="241" spans="1:9" x14ac:dyDescent="0.2">
      <c r="A241" t="s">
        <v>230</v>
      </c>
      <c r="D241" t="str">
        <f>HYPERLINK("http://nlpdeep.cs.uic.edu:8080/proofing/gsii/532411-history-of-present-illness-4-1.pdf","gsii/532411-history-of-present-illness-4-1.pdf")</f>
        <v>gsii/532411-history-of-present-illness-4-1.pdf</v>
      </c>
      <c r="E241">
        <v>119960</v>
      </c>
      <c r="F241">
        <v>532411</v>
      </c>
      <c r="G241" t="s">
        <v>9</v>
      </c>
      <c r="H241" t="s">
        <v>13</v>
      </c>
      <c r="I241" t="s">
        <v>60</v>
      </c>
    </row>
    <row r="242" spans="1:9" x14ac:dyDescent="0.2">
      <c r="A242" t="s">
        <v>231</v>
      </c>
      <c r="D242" t="str">
        <f>HYPERLINK("http://nlpdeep.cs.uic.edu:8080/proofing/t5/532411-history-of-present-illness-4-2.pdf","t5/532411-history-of-present-illness-4-2.pdf")</f>
        <v>t5/532411-history-of-present-illness-4-2.pdf</v>
      </c>
      <c r="E242">
        <v>119960</v>
      </c>
      <c r="F242">
        <v>532411</v>
      </c>
      <c r="G242" t="s">
        <v>9</v>
      </c>
      <c r="H242" t="s">
        <v>13</v>
      </c>
      <c r="I242" t="s">
        <v>62</v>
      </c>
    </row>
    <row r="243" spans="1:9" x14ac:dyDescent="0.2">
      <c r="A243" t="s">
        <v>231</v>
      </c>
      <c r="D243" t="str">
        <f>HYPERLINK("http://nlpdeep.cs.uic.edu:8080/proofing/gsii/532411-history-of-present-illness-4-2.pdf","gsii/532411-history-of-present-illness-4-2.pdf")</f>
        <v>gsii/532411-history-of-present-illness-4-2.pdf</v>
      </c>
      <c r="E243">
        <v>119960</v>
      </c>
      <c r="F243">
        <v>532411</v>
      </c>
      <c r="G243" t="s">
        <v>9</v>
      </c>
      <c r="H243" t="s">
        <v>13</v>
      </c>
      <c r="I243" t="s">
        <v>62</v>
      </c>
    </row>
    <row r="244" spans="1:9" x14ac:dyDescent="0.2">
      <c r="A244" t="s">
        <v>232</v>
      </c>
      <c r="D244" t="str">
        <f>HYPERLINK("http://nlpdeep.cs.uic.edu:8080/proofing/t5/532411-allergies-0-0.pdf","t5/532411-allergies-0-0.pdf")</f>
        <v>t5/532411-allergies-0-0.pdf</v>
      </c>
      <c r="E244">
        <v>119960</v>
      </c>
      <c r="F244">
        <v>532411</v>
      </c>
      <c r="G244" t="s">
        <v>9</v>
      </c>
      <c r="H244" t="s">
        <v>64</v>
      </c>
      <c r="I244" t="s">
        <v>233</v>
      </c>
    </row>
    <row r="245" spans="1:9" x14ac:dyDescent="0.2">
      <c r="A245" t="s">
        <v>232</v>
      </c>
      <c r="D245" t="str">
        <f>HYPERLINK("http://nlpdeep.cs.uic.edu:8080/proofing/gsii/532411-allergies-0-0.pdf","gsii/532411-allergies-0-0.pdf")</f>
        <v>gsii/532411-allergies-0-0.pdf</v>
      </c>
      <c r="E245">
        <v>119960</v>
      </c>
      <c r="F245">
        <v>532411</v>
      </c>
      <c r="G245" t="s">
        <v>9</v>
      </c>
      <c r="H245" t="s">
        <v>64</v>
      </c>
      <c r="I245" t="s">
        <v>233</v>
      </c>
    </row>
    <row r="246" spans="1:9" x14ac:dyDescent="0.2">
      <c r="A246" t="s">
        <v>234</v>
      </c>
      <c r="D246" t="str">
        <f>HYPERLINK("http://nlpdeep.cs.uic.edu:8080/proofing/t5/532411-last-dose-of-antibiotics-0-0.pdf","t5/532411-last-dose-of-antibiotics-0-0.pdf")</f>
        <v>t5/532411-last-dose-of-antibiotics-0-0.pdf</v>
      </c>
      <c r="E246">
        <v>119960</v>
      </c>
      <c r="F246">
        <v>532411</v>
      </c>
      <c r="G246" t="s">
        <v>9</v>
      </c>
      <c r="H246" t="s">
        <v>235</v>
      </c>
      <c r="I246" t="s">
        <v>236</v>
      </c>
    </row>
    <row r="247" spans="1:9" x14ac:dyDescent="0.2">
      <c r="A247" t="s">
        <v>234</v>
      </c>
      <c r="D247" t="str">
        <f>HYPERLINK("http://nlpdeep.cs.uic.edu:8080/proofing/gsii/532411-last-dose-of-antibiotics-0-0.pdf","gsii/532411-last-dose-of-antibiotics-0-0.pdf")</f>
        <v>gsii/532411-last-dose-of-antibiotics-0-0.pdf</v>
      </c>
      <c r="E247">
        <v>119960</v>
      </c>
      <c r="F247">
        <v>532411</v>
      </c>
      <c r="G247" t="s">
        <v>9</v>
      </c>
      <c r="H247" t="s">
        <v>235</v>
      </c>
      <c r="I247" t="s">
        <v>236</v>
      </c>
    </row>
    <row r="248" spans="1:9" x14ac:dyDescent="0.2">
      <c r="A248" t="s">
        <v>237</v>
      </c>
      <c r="D248" t="str">
        <f>HYPERLINK("http://nlpdeep.cs.uic.edu:8080/proofing/t5/532411-other-medications-0-0.pdf","t5/532411-other-medications-0-0.pdf")</f>
        <v>t5/532411-other-medications-0-0.pdf</v>
      </c>
      <c r="E248">
        <v>119960</v>
      </c>
      <c r="F248">
        <v>532411</v>
      </c>
      <c r="G248" t="s">
        <v>9</v>
      </c>
      <c r="H248" t="s">
        <v>67</v>
      </c>
      <c r="I248" t="s">
        <v>68</v>
      </c>
    </row>
    <row r="249" spans="1:9" x14ac:dyDescent="0.2">
      <c r="A249" t="s">
        <v>237</v>
      </c>
      <c r="D249" t="str">
        <f>HYPERLINK("http://nlpdeep.cs.uic.edu:8080/proofing/gsii/532411-other-medications-0-0.pdf","gsii/532411-other-medications-0-0.pdf")</f>
        <v>gsii/532411-other-medications-0-0.pdf</v>
      </c>
      <c r="E249">
        <v>119960</v>
      </c>
      <c r="F249">
        <v>532411</v>
      </c>
      <c r="G249" t="s">
        <v>9</v>
      </c>
      <c r="H249" t="s">
        <v>67</v>
      </c>
      <c r="I249" t="s">
        <v>68</v>
      </c>
    </row>
    <row r="250" spans="1:9" x14ac:dyDescent="0.2">
      <c r="A250" t="s">
        <v>238</v>
      </c>
      <c r="D250" t="str">
        <f>HYPERLINK("http://nlpdeep.cs.uic.edu:8080/proofing/t5/532411-other-medications-0-1.pdf","t5/532411-other-medications-0-1.pdf")</f>
        <v>t5/532411-other-medications-0-1.pdf</v>
      </c>
      <c r="E250">
        <v>119960</v>
      </c>
      <c r="F250">
        <v>532411</v>
      </c>
      <c r="G250" t="s">
        <v>9</v>
      </c>
      <c r="H250" t="s">
        <v>67</v>
      </c>
      <c r="I250" t="s">
        <v>70</v>
      </c>
    </row>
    <row r="251" spans="1:9" x14ac:dyDescent="0.2">
      <c r="A251" t="s">
        <v>238</v>
      </c>
      <c r="D251" t="str">
        <f>HYPERLINK("http://nlpdeep.cs.uic.edu:8080/proofing/gsii/532411-other-medications-0-1.pdf","gsii/532411-other-medications-0-1.pdf")</f>
        <v>gsii/532411-other-medications-0-1.pdf</v>
      </c>
      <c r="E251">
        <v>119960</v>
      </c>
      <c r="F251">
        <v>532411</v>
      </c>
      <c r="G251" t="s">
        <v>9</v>
      </c>
      <c r="H251" t="s">
        <v>67</v>
      </c>
      <c r="I251" t="s">
        <v>70</v>
      </c>
    </row>
    <row r="252" spans="1:9" x14ac:dyDescent="0.2">
      <c r="A252" t="s">
        <v>239</v>
      </c>
      <c r="D252" t="str">
        <f>HYPERLINK("http://nlpdeep.cs.uic.edu:8080/proofing/t5/532411-other-medications-0-2.pdf","t5/532411-other-medications-0-2.pdf")</f>
        <v>t5/532411-other-medications-0-2.pdf</v>
      </c>
      <c r="E252">
        <v>119960</v>
      </c>
      <c r="F252">
        <v>532411</v>
      </c>
      <c r="G252" t="s">
        <v>9</v>
      </c>
      <c r="H252" t="s">
        <v>67</v>
      </c>
      <c r="I252" t="s">
        <v>72</v>
      </c>
    </row>
    <row r="253" spans="1:9" x14ac:dyDescent="0.2">
      <c r="A253" t="s">
        <v>239</v>
      </c>
      <c r="D253" t="str">
        <f>HYPERLINK("http://nlpdeep.cs.uic.edu:8080/proofing/gsii/532411-other-medications-0-2.pdf","gsii/532411-other-medications-0-2.pdf")</f>
        <v>gsii/532411-other-medications-0-2.pdf</v>
      </c>
      <c r="E253">
        <v>119960</v>
      </c>
      <c r="F253">
        <v>532411</v>
      </c>
      <c r="G253" t="s">
        <v>9</v>
      </c>
      <c r="H253" t="s">
        <v>67</v>
      </c>
      <c r="I253" t="s">
        <v>72</v>
      </c>
    </row>
    <row r="254" spans="1:9" x14ac:dyDescent="0.2">
      <c r="A254" t="s">
        <v>240</v>
      </c>
      <c r="D254" t="str">
        <f>HYPERLINK("http://nlpdeep.cs.uic.edu:8080/proofing/t5/532411-other-medications-0-3.pdf","t5/532411-other-medications-0-3.pdf")</f>
        <v>t5/532411-other-medications-0-3.pdf</v>
      </c>
      <c r="E254">
        <v>119960</v>
      </c>
      <c r="F254">
        <v>532411</v>
      </c>
      <c r="G254" t="s">
        <v>9</v>
      </c>
      <c r="H254" t="s">
        <v>67</v>
      </c>
      <c r="I254" t="s">
        <v>74</v>
      </c>
    </row>
    <row r="255" spans="1:9" x14ac:dyDescent="0.2">
      <c r="A255" t="s">
        <v>240</v>
      </c>
      <c r="D255" t="str">
        <f>HYPERLINK("http://nlpdeep.cs.uic.edu:8080/proofing/gsii/532411-other-medications-0-3.pdf","gsii/532411-other-medications-0-3.pdf")</f>
        <v>gsii/532411-other-medications-0-3.pdf</v>
      </c>
      <c r="E255">
        <v>119960</v>
      </c>
      <c r="F255">
        <v>532411</v>
      </c>
      <c r="G255" t="s">
        <v>9</v>
      </c>
      <c r="H255" t="s">
        <v>67</v>
      </c>
      <c r="I255" t="s">
        <v>74</v>
      </c>
    </row>
    <row r="256" spans="1:9" x14ac:dyDescent="0.2">
      <c r="A256" t="s">
        <v>241</v>
      </c>
      <c r="D256" t="str">
        <f>HYPERLINK("http://nlpdeep.cs.uic.edu:8080/proofing/t5/532411-past-medical-history-0-0.pdf","t5/532411-past-medical-history-0-0.pdf")</f>
        <v>t5/532411-past-medical-history-0-0.pdf</v>
      </c>
      <c r="E256">
        <v>119960</v>
      </c>
      <c r="F256">
        <v>532411</v>
      </c>
      <c r="G256" t="s">
        <v>9</v>
      </c>
      <c r="H256" t="s">
        <v>76</v>
      </c>
      <c r="I256" t="s">
        <v>77</v>
      </c>
    </row>
    <row r="257" spans="1:9" x14ac:dyDescent="0.2">
      <c r="A257" t="s">
        <v>241</v>
      </c>
      <c r="D257" t="str">
        <f>HYPERLINK("http://nlpdeep.cs.uic.edu:8080/proofing/gsii/532411-past-medical-history-0-0.pdf","gsii/532411-past-medical-history-0-0.pdf")</f>
        <v>gsii/532411-past-medical-history-0-0.pdf</v>
      </c>
      <c r="E257">
        <v>119960</v>
      </c>
      <c r="F257">
        <v>532411</v>
      </c>
      <c r="G257" t="s">
        <v>9</v>
      </c>
      <c r="H257" t="s">
        <v>76</v>
      </c>
      <c r="I257" t="s">
        <v>77</v>
      </c>
    </row>
    <row r="258" spans="1:9" x14ac:dyDescent="0.2">
      <c r="A258" t="s">
        <v>242</v>
      </c>
      <c r="D258" t="str">
        <f>HYPERLINK("http://nlpdeep.cs.uic.edu:8080/proofing/t5/532411-past-medical-history-0-1.pdf","t5/532411-past-medical-history-0-1.pdf")</f>
        <v>t5/532411-past-medical-history-0-1.pdf</v>
      </c>
      <c r="E258">
        <v>119960</v>
      </c>
      <c r="F258">
        <v>532411</v>
      </c>
      <c r="G258" t="s">
        <v>9</v>
      </c>
      <c r="H258" t="s">
        <v>76</v>
      </c>
      <c r="I258" t="s">
        <v>79</v>
      </c>
    </row>
    <row r="259" spans="1:9" x14ac:dyDescent="0.2">
      <c r="A259" t="s">
        <v>242</v>
      </c>
      <c r="D259" t="str">
        <f>HYPERLINK("http://nlpdeep.cs.uic.edu:8080/proofing/gsii/532411-past-medical-history-0-1.pdf","gsii/532411-past-medical-history-0-1.pdf")</f>
        <v>gsii/532411-past-medical-history-0-1.pdf</v>
      </c>
      <c r="E259">
        <v>119960</v>
      </c>
      <c r="F259">
        <v>532411</v>
      </c>
      <c r="G259" t="s">
        <v>9</v>
      </c>
      <c r="H259" t="s">
        <v>76</v>
      </c>
      <c r="I259" t="s">
        <v>79</v>
      </c>
    </row>
    <row r="260" spans="1:9" x14ac:dyDescent="0.2">
      <c r="A260" t="s">
        <v>243</v>
      </c>
      <c r="D260" t="str">
        <f>HYPERLINK("http://nlpdeep.cs.uic.edu:8080/proofing/t5/532411-past-medical-history-0-2.pdf","t5/532411-past-medical-history-0-2.pdf")</f>
        <v>t5/532411-past-medical-history-0-2.pdf</v>
      </c>
      <c r="E260">
        <v>119960</v>
      </c>
      <c r="F260">
        <v>532411</v>
      </c>
      <c r="G260" t="s">
        <v>9</v>
      </c>
      <c r="H260" t="s">
        <v>76</v>
      </c>
      <c r="I260" t="s">
        <v>81</v>
      </c>
    </row>
    <row r="261" spans="1:9" x14ac:dyDescent="0.2">
      <c r="A261" t="s">
        <v>243</v>
      </c>
      <c r="D261" t="str">
        <f>HYPERLINK("http://nlpdeep.cs.uic.edu:8080/proofing/gsii/532411-past-medical-history-0-2.pdf","gsii/532411-past-medical-history-0-2.pdf")</f>
        <v>gsii/532411-past-medical-history-0-2.pdf</v>
      </c>
      <c r="E261">
        <v>119960</v>
      </c>
      <c r="F261">
        <v>532411</v>
      </c>
      <c r="G261" t="s">
        <v>9</v>
      </c>
      <c r="H261" t="s">
        <v>76</v>
      </c>
      <c r="I261" t="s">
        <v>81</v>
      </c>
    </row>
    <row r="262" spans="1:9" x14ac:dyDescent="0.2">
      <c r="A262" t="s">
        <v>244</v>
      </c>
      <c r="D262" t="str">
        <f>HYPERLINK("http://nlpdeep.cs.uic.edu:8080/proofing/t5/532411-past-medical-history-0-3.pdf","t5/532411-past-medical-history-0-3.pdf")</f>
        <v>t5/532411-past-medical-history-0-3.pdf</v>
      </c>
      <c r="E262">
        <v>119960</v>
      </c>
      <c r="F262">
        <v>532411</v>
      </c>
      <c r="G262" t="s">
        <v>9</v>
      </c>
      <c r="H262" t="s">
        <v>76</v>
      </c>
      <c r="I262" t="s">
        <v>83</v>
      </c>
    </row>
    <row r="263" spans="1:9" x14ac:dyDescent="0.2">
      <c r="A263" t="s">
        <v>244</v>
      </c>
      <c r="D263" t="str">
        <f>HYPERLINK("http://nlpdeep.cs.uic.edu:8080/proofing/gsii/532411-past-medical-history-0-3.pdf","gsii/532411-past-medical-history-0-3.pdf")</f>
        <v>gsii/532411-past-medical-history-0-3.pdf</v>
      </c>
      <c r="E263">
        <v>119960</v>
      </c>
      <c r="F263">
        <v>532411</v>
      </c>
      <c r="G263" t="s">
        <v>9</v>
      </c>
      <c r="H263" t="s">
        <v>76</v>
      </c>
      <c r="I263" t="s">
        <v>83</v>
      </c>
    </row>
    <row r="264" spans="1:9" x14ac:dyDescent="0.2">
      <c r="A264" t="s">
        <v>245</v>
      </c>
      <c r="D264" t="str">
        <f>HYPERLINK("http://nlpdeep.cs.uic.edu:8080/proofing/t5/532411-past-medical-history-0-4.pdf","t5/532411-past-medical-history-0-4.pdf")</f>
        <v>t5/532411-past-medical-history-0-4.pdf</v>
      </c>
      <c r="E264">
        <v>119960</v>
      </c>
      <c r="F264">
        <v>532411</v>
      </c>
      <c r="G264" t="s">
        <v>9</v>
      </c>
      <c r="H264" t="s">
        <v>76</v>
      </c>
      <c r="I264" t="s">
        <v>85</v>
      </c>
    </row>
    <row r="265" spans="1:9" x14ac:dyDescent="0.2">
      <c r="A265" t="s">
        <v>245</v>
      </c>
      <c r="D265" t="str">
        <f>HYPERLINK("http://nlpdeep.cs.uic.edu:8080/proofing/gsii/532411-past-medical-history-0-4.pdf","gsii/532411-past-medical-history-0-4.pdf")</f>
        <v>gsii/532411-past-medical-history-0-4.pdf</v>
      </c>
      <c r="E265">
        <v>119960</v>
      </c>
      <c r="F265">
        <v>532411</v>
      </c>
      <c r="G265" t="s">
        <v>9</v>
      </c>
      <c r="H265" t="s">
        <v>76</v>
      </c>
      <c r="I265" t="s">
        <v>85</v>
      </c>
    </row>
    <row r="266" spans="1:9" x14ac:dyDescent="0.2">
      <c r="A266" t="s">
        <v>246</v>
      </c>
      <c r="D266" t="str">
        <f>HYPERLINK("http://nlpdeep.cs.uic.edu:8080/proofing/t5/532411-past-medical-history-0-5.pdf","t5/532411-past-medical-history-0-5.pdf")</f>
        <v>t5/532411-past-medical-history-0-5.pdf</v>
      </c>
      <c r="E266">
        <v>119960</v>
      </c>
      <c r="F266">
        <v>532411</v>
      </c>
      <c r="G266" t="s">
        <v>9</v>
      </c>
      <c r="H266" t="s">
        <v>76</v>
      </c>
    </row>
    <row r="267" spans="1:9" x14ac:dyDescent="0.2">
      <c r="A267" t="s">
        <v>246</v>
      </c>
      <c r="D267" t="str">
        <f>HYPERLINK("http://nlpdeep.cs.uic.edu:8080/proofing/gsii/532411-past-medical-history-0-5.pdf","gsii/532411-past-medical-history-0-5.pdf")</f>
        <v>gsii/532411-past-medical-history-0-5.pdf</v>
      </c>
      <c r="E267">
        <v>119960</v>
      </c>
      <c r="F267">
        <v>532411</v>
      </c>
      <c r="G267" t="s">
        <v>9</v>
      </c>
      <c r="H267" t="s">
        <v>76</v>
      </c>
    </row>
    <row r="268" spans="1:9" x14ac:dyDescent="0.2">
      <c r="A268" t="s">
        <v>247</v>
      </c>
      <c r="D268" t="str">
        <f>HYPERLINK("http://nlpdeep.cs.uic.edu:8080/proofing/t5/532411-past-medical-history-1-0.pdf","t5/532411-past-medical-history-1-0.pdf")</f>
        <v>t5/532411-past-medical-history-1-0.pdf</v>
      </c>
      <c r="E268">
        <v>119960</v>
      </c>
      <c r="F268">
        <v>532411</v>
      </c>
      <c r="G268" t="s">
        <v>9</v>
      </c>
      <c r="H268" t="s">
        <v>76</v>
      </c>
    </row>
    <row r="269" spans="1:9" x14ac:dyDescent="0.2">
      <c r="A269" t="s">
        <v>247</v>
      </c>
      <c r="D269" t="str">
        <f>HYPERLINK("http://nlpdeep.cs.uic.edu:8080/proofing/gsii/532411-past-medical-history-1-0.pdf","gsii/532411-past-medical-history-1-0.pdf")</f>
        <v>gsii/532411-past-medical-history-1-0.pdf</v>
      </c>
      <c r="E269">
        <v>119960</v>
      </c>
      <c r="F269">
        <v>532411</v>
      </c>
      <c r="G269" t="s">
        <v>9</v>
      </c>
      <c r="H269" t="s">
        <v>76</v>
      </c>
    </row>
    <row r="270" spans="1:9" x14ac:dyDescent="0.2">
      <c r="A270" t="s">
        <v>248</v>
      </c>
      <c r="D270" t="str">
        <f>HYPERLINK("http://nlpdeep.cs.uic.edu:8080/proofing/t5/532411-past-medical-history-2-0.pdf","t5/532411-past-medical-history-2-0.pdf")</f>
        <v>t5/532411-past-medical-history-2-0.pdf</v>
      </c>
      <c r="E270">
        <v>119960</v>
      </c>
      <c r="F270">
        <v>532411</v>
      </c>
      <c r="G270" t="s">
        <v>9</v>
      </c>
      <c r="H270" t="s">
        <v>76</v>
      </c>
      <c r="I270" t="s">
        <v>89</v>
      </c>
    </row>
    <row r="271" spans="1:9" x14ac:dyDescent="0.2">
      <c r="A271" t="s">
        <v>248</v>
      </c>
      <c r="D271" t="str">
        <f>HYPERLINK("http://nlpdeep.cs.uic.edu:8080/proofing/gsii/532411-past-medical-history-2-0.pdf","gsii/532411-past-medical-history-2-0.pdf")</f>
        <v>gsii/532411-past-medical-history-2-0.pdf</v>
      </c>
      <c r="E271">
        <v>119960</v>
      </c>
      <c r="F271">
        <v>532411</v>
      </c>
      <c r="G271" t="s">
        <v>9</v>
      </c>
      <c r="H271" t="s">
        <v>76</v>
      </c>
      <c r="I271" t="s">
        <v>89</v>
      </c>
    </row>
    <row r="272" spans="1:9" x14ac:dyDescent="0.2">
      <c r="A272" t="s">
        <v>249</v>
      </c>
      <c r="D272" t="str">
        <f>HYPERLINK("http://nlpdeep.cs.uic.edu:8080/proofing/t5/532411-past-medical-history-2-1.pdf","t5/532411-past-medical-history-2-1.pdf")</f>
        <v>t5/532411-past-medical-history-2-1.pdf</v>
      </c>
      <c r="E272">
        <v>119960</v>
      </c>
      <c r="F272">
        <v>532411</v>
      </c>
      <c r="G272" t="s">
        <v>9</v>
      </c>
      <c r="H272" t="s">
        <v>76</v>
      </c>
    </row>
    <row r="273" spans="1:9" x14ac:dyDescent="0.2">
      <c r="A273" t="s">
        <v>249</v>
      </c>
      <c r="D273" t="str">
        <f>HYPERLINK("http://nlpdeep.cs.uic.edu:8080/proofing/gsii/532411-past-medical-history-2-1.pdf","gsii/532411-past-medical-history-2-1.pdf")</f>
        <v>gsii/532411-past-medical-history-2-1.pdf</v>
      </c>
      <c r="E273">
        <v>119960</v>
      </c>
      <c r="F273">
        <v>532411</v>
      </c>
      <c r="G273" t="s">
        <v>9</v>
      </c>
      <c r="H273" t="s">
        <v>76</v>
      </c>
    </row>
    <row r="274" spans="1:9" x14ac:dyDescent="0.2">
      <c r="A274" t="s">
        <v>250</v>
      </c>
      <c r="D274" t="str">
        <f>HYPERLINK("http://nlpdeep.cs.uic.edu:8080/proofing/t5/532411-past-medical-history-3-0.pdf","t5/532411-past-medical-history-3-0.pdf")</f>
        <v>t5/532411-past-medical-history-3-0.pdf</v>
      </c>
      <c r="E274">
        <v>119960</v>
      </c>
      <c r="F274">
        <v>532411</v>
      </c>
      <c r="G274" t="s">
        <v>9</v>
      </c>
      <c r="H274" t="s">
        <v>76</v>
      </c>
    </row>
    <row r="275" spans="1:9" x14ac:dyDescent="0.2">
      <c r="A275" t="s">
        <v>250</v>
      </c>
      <c r="D275" t="str">
        <f>HYPERLINK("http://nlpdeep.cs.uic.edu:8080/proofing/gsii/532411-past-medical-history-3-0.pdf","gsii/532411-past-medical-history-3-0.pdf")</f>
        <v>gsii/532411-past-medical-history-3-0.pdf</v>
      </c>
      <c r="E275">
        <v>119960</v>
      </c>
      <c r="F275">
        <v>532411</v>
      </c>
      <c r="G275" t="s">
        <v>9</v>
      </c>
      <c r="H275" t="s">
        <v>76</v>
      </c>
    </row>
    <row r="276" spans="1:9" x14ac:dyDescent="0.2">
      <c r="A276" t="s">
        <v>251</v>
      </c>
      <c r="D276" t="str">
        <f>HYPERLINK("http://nlpdeep.cs.uic.edu:8080/proofing/t5/532411-past-medical-history-4-0.pdf","t5/532411-past-medical-history-4-0.pdf")</f>
        <v>t5/532411-past-medical-history-4-0.pdf</v>
      </c>
      <c r="E276">
        <v>119960</v>
      </c>
      <c r="F276">
        <v>532411</v>
      </c>
      <c r="G276" t="s">
        <v>9</v>
      </c>
      <c r="H276" t="s">
        <v>76</v>
      </c>
      <c r="I276" t="s">
        <v>93</v>
      </c>
    </row>
    <row r="277" spans="1:9" x14ac:dyDescent="0.2">
      <c r="A277" t="s">
        <v>251</v>
      </c>
      <c r="D277" t="str">
        <f>HYPERLINK("http://nlpdeep.cs.uic.edu:8080/proofing/gsii/532411-past-medical-history-4-0.pdf","gsii/532411-past-medical-history-4-0.pdf")</f>
        <v>gsii/532411-past-medical-history-4-0.pdf</v>
      </c>
      <c r="E277">
        <v>119960</v>
      </c>
      <c r="F277">
        <v>532411</v>
      </c>
      <c r="G277" t="s">
        <v>9</v>
      </c>
      <c r="H277" t="s">
        <v>76</v>
      </c>
      <c r="I277" t="s">
        <v>93</v>
      </c>
    </row>
    <row r="278" spans="1:9" x14ac:dyDescent="0.2">
      <c r="A278" t="s">
        <v>252</v>
      </c>
      <c r="D278" t="str">
        <f>HYPERLINK("http://nlpdeep.cs.uic.edu:8080/proofing/t5/532411-past-medical-history-4-1.pdf","t5/532411-past-medical-history-4-1.pdf")</f>
        <v>t5/532411-past-medical-history-4-1.pdf</v>
      </c>
      <c r="E278">
        <v>119960</v>
      </c>
      <c r="F278">
        <v>532411</v>
      </c>
      <c r="G278" t="s">
        <v>9</v>
      </c>
      <c r="H278" t="s">
        <v>76</v>
      </c>
      <c r="I278" t="s">
        <v>95</v>
      </c>
    </row>
    <row r="279" spans="1:9" x14ac:dyDescent="0.2">
      <c r="A279" t="s">
        <v>252</v>
      </c>
      <c r="D279" t="str">
        <f>HYPERLINK("http://nlpdeep.cs.uic.edu:8080/proofing/gsii/532411-past-medical-history-4-1.pdf","gsii/532411-past-medical-history-4-1.pdf")</f>
        <v>gsii/532411-past-medical-history-4-1.pdf</v>
      </c>
      <c r="E279">
        <v>119960</v>
      </c>
      <c r="F279">
        <v>532411</v>
      </c>
      <c r="G279" t="s">
        <v>9</v>
      </c>
      <c r="H279" t="s">
        <v>76</v>
      </c>
      <c r="I279" t="s">
        <v>95</v>
      </c>
    </row>
    <row r="280" spans="1:9" x14ac:dyDescent="0.2">
      <c r="A280" t="s">
        <v>253</v>
      </c>
      <c r="D280" t="str">
        <f>HYPERLINK("http://nlpdeep.cs.uic.edu:8080/proofing/t5/532411-past-medical-history-4-2.pdf","t5/532411-past-medical-history-4-2.pdf")</f>
        <v>t5/532411-past-medical-history-4-2.pdf</v>
      </c>
      <c r="E280">
        <v>119960</v>
      </c>
      <c r="F280">
        <v>532411</v>
      </c>
      <c r="G280" t="s">
        <v>9</v>
      </c>
      <c r="H280" t="s">
        <v>76</v>
      </c>
      <c r="I280" t="s">
        <v>97</v>
      </c>
    </row>
    <row r="281" spans="1:9" x14ac:dyDescent="0.2">
      <c r="A281" t="s">
        <v>253</v>
      </c>
      <c r="D281" t="str">
        <f>HYPERLINK("http://nlpdeep.cs.uic.edu:8080/proofing/gsii/532411-past-medical-history-4-2.pdf","gsii/532411-past-medical-history-4-2.pdf")</f>
        <v>gsii/532411-past-medical-history-4-2.pdf</v>
      </c>
      <c r="E281">
        <v>119960</v>
      </c>
      <c r="F281">
        <v>532411</v>
      </c>
      <c r="G281" t="s">
        <v>9</v>
      </c>
      <c r="H281" t="s">
        <v>76</v>
      </c>
      <c r="I281" t="s">
        <v>97</v>
      </c>
    </row>
    <row r="282" spans="1:9" x14ac:dyDescent="0.2">
      <c r="A282" t="s">
        <v>254</v>
      </c>
      <c r="D282" t="str">
        <f>HYPERLINK("http://nlpdeep.cs.uic.edu:8080/proofing/t5/532411-past-medical-history-4-3.pdf","t5/532411-past-medical-history-4-3.pdf")</f>
        <v>t5/532411-past-medical-history-4-3.pdf</v>
      </c>
      <c r="E282">
        <v>119960</v>
      </c>
      <c r="F282">
        <v>532411</v>
      </c>
      <c r="G282" t="s">
        <v>9</v>
      </c>
      <c r="H282" t="s">
        <v>76</v>
      </c>
      <c r="I282" t="s">
        <v>99</v>
      </c>
    </row>
    <row r="283" spans="1:9" x14ac:dyDescent="0.2">
      <c r="A283" t="s">
        <v>254</v>
      </c>
      <c r="D283" t="str">
        <f>HYPERLINK("http://nlpdeep.cs.uic.edu:8080/proofing/gsii/532411-past-medical-history-4-3.pdf","gsii/532411-past-medical-history-4-3.pdf")</f>
        <v>gsii/532411-past-medical-history-4-3.pdf</v>
      </c>
      <c r="E283">
        <v>119960</v>
      </c>
      <c r="F283">
        <v>532411</v>
      </c>
      <c r="G283" t="s">
        <v>9</v>
      </c>
      <c r="H283" t="s">
        <v>76</v>
      </c>
      <c r="I283" t="s">
        <v>99</v>
      </c>
    </row>
    <row r="284" spans="1:9" x14ac:dyDescent="0.2">
      <c r="A284" t="s">
        <v>255</v>
      </c>
      <c r="D284" t="str">
        <f>HYPERLINK("http://nlpdeep.cs.uic.edu:8080/proofing/t5/532411-past-medical-history-4-4.pdf","t5/532411-past-medical-history-4-4.pdf")</f>
        <v>t5/532411-past-medical-history-4-4.pdf</v>
      </c>
      <c r="E284">
        <v>119960</v>
      </c>
      <c r="F284">
        <v>532411</v>
      </c>
      <c r="G284" t="s">
        <v>9</v>
      </c>
      <c r="H284" t="s">
        <v>76</v>
      </c>
      <c r="I284" t="s">
        <v>101</v>
      </c>
    </row>
    <row r="285" spans="1:9" x14ac:dyDescent="0.2">
      <c r="A285" t="s">
        <v>255</v>
      </c>
      <c r="D285" t="str">
        <f>HYPERLINK("http://nlpdeep.cs.uic.edu:8080/proofing/gsii/532411-past-medical-history-4-4.pdf","gsii/532411-past-medical-history-4-4.pdf")</f>
        <v>gsii/532411-past-medical-history-4-4.pdf</v>
      </c>
      <c r="E285">
        <v>119960</v>
      </c>
      <c r="F285">
        <v>532411</v>
      </c>
      <c r="G285" t="s">
        <v>9</v>
      </c>
      <c r="H285" t="s">
        <v>76</v>
      </c>
      <c r="I285" t="s">
        <v>101</v>
      </c>
    </row>
    <row r="286" spans="1:9" x14ac:dyDescent="0.2">
      <c r="A286" t="s">
        <v>256</v>
      </c>
      <c r="D286" t="str">
        <f>HYPERLINK("http://nlpdeep.cs.uic.edu:8080/proofing/t5/532411-past-medical-history-4-5.pdf","t5/532411-past-medical-history-4-5.pdf")</f>
        <v>t5/532411-past-medical-history-4-5.pdf</v>
      </c>
      <c r="E286">
        <v>119960</v>
      </c>
      <c r="F286">
        <v>532411</v>
      </c>
      <c r="G286" t="s">
        <v>9</v>
      </c>
      <c r="H286" t="s">
        <v>76</v>
      </c>
      <c r="I286" t="s">
        <v>103</v>
      </c>
    </row>
    <row r="287" spans="1:9" x14ac:dyDescent="0.2">
      <c r="A287" t="s">
        <v>256</v>
      </c>
      <c r="D287" t="str">
        <f>HYPERLINK("http://nlpdeep.cs.uic.edu:8080/proofing/gsii/532411-past-medical-history-4-5.pdf","gsii/532411-past-medical-history-4-5.pdf")</f>
        <v>gsii/532411-past-medical-history-4-5.pdf</v>
      </c>
      <c r="E287">
        <v>119960</v>
      </c>
      <c r="F287">
        <v>532411</v>
      </c>
      <c r="G287" t="s">
        <v>9</v>
      </c>
      <c r="H287" t="s">
        <v>76</v>
      </c>
      <c r="I287" t="s">
        <v>103</v>
      </c>
    </row>
    <row r="288" spans="1:9" x14ac:dyDescent="0.2">
      <c r="A288" t="s">
        <v>257</v>
      </c>
      <c r="D288" t="str">
        <f>HYPERLINK("http://nlpdeep.cs.uic.edu:8080/proofing/t5/532411-past-medical-history-4-6.pdf","t5/532411-past-medical-history-4-6.pdf")</f>
        <v>t5/532411-past-medical-history-4-6.pdf</v>
      </c>
      <c r="E288">
        <v>119960</v>
      </c>
      <c r="F288">
        <v>532411</v>
      </c>
      <c r="G288" t="s">
        <v>9</v>
      </c>
      <c r="H288" t="s">
        <v>76</v>
      </c>
      <c r="I288" t="s">
        <v>105</v>
      </c>
    </row>
    <row r="289" spans="1:9" x14ac:dyDescent="0.2">
      <c r="A289" t="s">
        <v>257</v>
      </c>
      <c r="D289" t="str">
        <f>HYPERLINK("http://nlpdeep.cs.uic.edu:8080/proofing/gsii/532411-past-medical-history-4-6.pdf","gsii/532411-past-medical-history-4-6.pdf")</f>
        <v>gsii/532411-past-medical-history-4-6.pdf</v>
      </c>
      <c r="E289">
        <v>119960</v>
      </c>
      <c r="F289">
        <v>532411</v>
      </c>
      <c r="G289" t="s">
        <v>9</v>
      </c>
      <c r="H289" t="s">
        <v>76</v>
      </c>
      <c r="I289" t="s">
        <v>105</v>
      </c>
    </row>
    <row r="290" spans="1:9" x14ac:dyDescent="0.2">
      <c r="A290" t="s">
        <v>258</v>
      </c>
      <c r="D290" t="str">
        <f>HYPERLINK("http://nlpdeep.cs.uic.edu:8080/proofing/t5/532411-family-history-0-0.pdf","t5/532411-family-history-0-0.pdf")</f>
        <v>t5/532411-family-history-0-0.pdf</v>
      </c>
      <c r="E290">
        <v>119960</v>
      </c>
      <c r="F290">
        <v>532411</v>
      </c>
      <c r="G290" t="s">
        <v>9</v>
      </c>
      <c r="H290" t="s">
        <v>107</v>
      </c>
      <c r="I290" t="s">
        <v>108</v>
      </c>
    </row>
    <row r="291" spans="1:9" x14ac:dyDescent="0.2">
      <c r="A291" t="s">
        <v>258</v>
      </c>
      <c r="D291" t="str">
        <f>HYPERLINK("http://nlpdeep.cs.uic.edu:8080/proofing/gsii/532411-family-history-0-0.pdf","gsii/532411-family-history-0-0.pdf")</f>
        <v>gsii/532411-family-history-0-0.pdf</v>
      </c>
      <c r="E291">
        <v>119960</v>
      </c>
      <c r="F291">
        <v>532411</v>
      </c>
      <c r="G291" t="s">
        <v>9</v>
      </c>
      <c r="H291" t="s">
        <v>107</v>
      </c>
      <c r="I291" t="s">
        <v>108</v>
      </c>
    </row>
    <row r="292" spans="1:9" x14ac:dyDescent="0.2">
      <c r="A292" t="s">
        <v>259</v>
      </c>
      <c r="D292" t="str">
        <f>HYPERLINK("http://nlpdeep.cs.uic.edu:8080/proofing/t5/532411-family-history-0-1.pdf","t5/532411-family-history-0-1.pdf")</f>
        <v>t5/532411-family-history-0-1.pdf</v>
      </c>
      <c r="E292">
        <v>119960</v>
      </c>
      <c r="F292">
        <v>532411</v>
      </c>
      <c r="G292" t="s">
        <v>9</v>
      </c>
      <c r="H292" t="s">
        <v>107</v>
      </c>
      <c r="I292" t="s">
        <v>110</v>
      </c>
    </row>
    <row r="293" spans="1:9" x14ac:dyDescent="0.2">
      <c r="A293" t="s">
        <v>259</v>
      </c>
      <c r="D293" t="str">
        <f>HYPERLINK("http://nlpdeep.cs.uic.edu:8080/proofing/gsii/532411-family-history-0-1.pdf","gsii/532411-family-history-0-1.pdf")</f>
        <v>gsii/532411-family-history-0-1.pdf</v>
      </c>
      <c r="E293">
        <v>119960</v>
      </c>
      <c r="F293">
        <v>532411</v>
      </c>
      <c r="G293" t="s">
        <v>9</v>
      </c>
      <c r="H293" t="s">
        <v>107</v>
      </c>
      <c r="I293" t="s">
        <v>110</v>
      </c>
    </row>
    <row r="294" spans="1:9" x14ac:dyDescent="0.2">
      <c r="A294" t="s">
        <v>260</v>
      </c>
      <c r="D294" t="str">
        <f>HYPERLINK("http://nlpdeep.cs.uic.edu:8080/proofing/t5/532411-family-history-0-2.pdf","t5/532411-family-history-0-2.pdf")</f>
        <v>t5/532411-family-history-0-2.pdf</v>
      </c>
      <c r="E294">
        <v>119960</v>
      </c>
      <c r="F294">
        <v>532411</v>
      </c>
      <c r="G294" t="s">
        <v>9</v>
      </c>
      <c r="H294" t="s">
        <v>107</v>
      </c>
      <c r="I294" t="s">
        <v>112</v>
      </c>
    </row>
    <row r="295" spans="1:9" x14ac:dyDescent="0.2">
      <c r="A295" t="s">
        <v>260</v>
      </c>
      <c r="D295" t="str">
        <f>HYPERLINK("http://nlpdeep.cs.uic.edu:8080/proofing/gsii/532411-family-history-0-2.pdf","gsii/532411-family-history-0-2.pdf")</f>
        <v>gsii/532411-family-history-0-2.pdf</v>
      </c>
      <c r="E295">
        <v>119960</v>
      </c>
      <c r="F295">
        <v>532411</v>
      </c>
      <c r="G295" t="s">
        <v>9</v>
      </c>
      <c r="H295" t="s">
        <v>107</v>
      </c>
      <c r="I295" t="s">
        <v>112</v>
      </c>
    </row>
    <row r="296" spans="1:9" x14ac:dyDescent="0.2">
      <c r="A296" t="s">
        <v>261</v>
      </c>
      <c r="D296" t="str">
        <f>HYPERLINK("http://nlpdeep.cs.uic.edu:8080/proofing/t5/532411-family-history-0-3.pdf","t5/532411-family-history-0-3.pdf")</f>
        <v>t5/532411-family-history-0-3.pdf</v>
      </c>
      <c r="E296">
        <v>119960</v>
      </c>
      <c r="F296">
        <v>532411</v>
      </c>
      <c r="G296" t="s">
        <v>9</v>
      </c>
      <c r="H296" t="s">
        <v>107</v>
      </c>
      <c r="I296" t="s">
        <v>114</v>
      </c>
    </row>
    <row r="297" spans="1:9" x14ac:dyDescent="0.2">
      <c r="A297" t="s">
        <v>261</v>
      </c>
      <c r="D297" t="str">
        <f>HYPERLINK("http://nlpdeep.cs.uic.edu:8080/proofing/gsii/532411-family-history-0-3.pdf","gsii/532411-family-history-0-3.pdf")</f>
        <v>gsii/532411-family-history-0-3.pdf</v>
      </c>
      <c r="E297">
        <v>119960</v>
      </c>
      <c r="F297">
        <v>532411</v>
      </c>
      <c r="G297" t="s">
        <v>9</v>
      </c>
      <c r="H297" t="s">
        <v>107</v>
      </c>
      <c r="I297" t="s">
        <v>114</v>
      </c>
    </row>
    <row r="298" spans="1:9" x14ac:dyDescent="0.2">
      <c r="A298" t="s">
        <v>262</v>
      </c>
      <c r="D298" t="str">
        <f>HYPERLINK("http://nlpdeep.cs.uic.edu:8080/proofing/t5/532411-family-history-0-4.pdf","t5/532411-family-history-0-4.pdf")</f>
        <v>t5/532411-family-history-0-4.pdf</v>
      </c>
      <c r="E298">
        <v>119960</v>
      </c>
      <c r="F298">
        <v>532411</v>
      </c>
      <c r="G298" t="s">
        <v>9</v>
      </c>
      <c r="H298" t="s">
        <v>107</v>
      </c>
      <c r="I298" t="s">
        <v>116</v>
      </c>
    </row>
    <row r="299" spans="1:9" x14ac:dyDescent="0.2">
      <c r="A299" t="s">
        <v>262</v>
      </c>
      <c r="D299" t="str">
        <f>HYPERLINK("http://nlpdeep.cs.uic.edu:8080/proofing/gsii/532411-family-history-0-4.pdf","gsii/532411-family-history-0-4.pdf")</f>
        <v>gsii/532411-family-history-0-4.pdf</v>
      </c>
      <c r="E299">
        <v>119960</v>
      </c>
      <c r="F299">
        <v>532411</v>
      </c>
      <c r="G299" t="s">
        <v>9</v>
      </c>
      <c r="H299" t="s">
        <v>107</v>
      </c>
      <c r="I299" t="s">
        <v>116</v>
      </c>
    </row>
    <row r="300" spans="1:9" x14ac:dyDescent="0.2">
      <c r="A300" t="s">
        <v>263</v>
      </c>
      <c r="D300" t="str">
        <f>HYPERLINK("http://nlpdeep.cs.uic.edu:8080/proofing/t5/532411-social-history-0-0.pdf","t5/532411-social-history-0-0.pdf")</f>
        <v>t5/532411-social-history-0-0.pdf</v>
      </c>
      <c r="E300">
        <v>119960</v>
      </c>
      <c r="F300">
        <v>532411</v>
      </c>
      <c r="G300" t="s">
        <v>9</v>
      </c>
      <c r="H300" t="s">
        <v>118</v>
      </c>
      <c r="I300" t="s">
        <v>119</v>
      </c>
    </row>
    <row r="301" spans="1:9" x14ac:dyDescent="0.2">
      <c r="A301" t="s">
        <v>263</v>
      </c>
      <c r="D301" t="str">
        <f>HYPERLINK("http://nlpdeep.cs.uic.edu:8080/proofing/gsii/532411-social-history-0-0.pdf","gsii/532411-social-history-0-0.pdf")</f>
        <v>gsii/532411-social-history-0-0.pdf</v>
      </c>
      <c r="E301">
        <v>119960</v>
      </c>
      <c r="F301">
        <v>532411</v>
      </c>
      <c r="G301" t="s">
        <v>9</v>
      </c>
      <c r="H301" t="s">
        <v>118</v>
      </c>
      <c r="I301" t="s">
        <v>119</v>
      </c>
    </row>
    <row r="302" spans="1:9" x14ac:dyDescent="0.2">
      <c r="A302" t="s">
        <v>264</v>
      </c>
      <c r="D302" t="str">
        <f>HYPERLINK("http://nlpdeep.cs.uic.edu:8080/proofing/t5/532411-social-history-0-1.pdf","t5/532411-social-history-0-1.pdf")</f>
        <v>t5/532411-social-history-0-1.pdf</v>
      </c>
      <c r="E302">
        <v>119960</v>
      </c>
      <c r="F302">
        <v>532411</v>
      </c>
      <c r="G302" t="s">
        <v>9</v>
      </c>
      <c r="H302" t="s">
        <v>118</v>
      </c>
      <c r="I302" t="s">
        <v>121</v>
      </c>
    </row>
    <row r="303" spans="1:9" x14ac:dyDescent="0.2">
      <c r="A303" t="s">
        <v>264</v>
      </c>
      <c r="D303" t="str">
        <f>HYPERLINK("http://nlpdeep.cs.uic.edu:8080/proofing/gsii/532411-social-history-0-1.pdf","gsii/532411-social-history-0-1.pdf")</f>
        <v>gsii/532411-social-history-0-1.pdf</v>
      </c>
      <c r="E303">
        <v>119960</v>
      </c>
      <c r="F303">
        <v>532411</v>
      </c>
      <c r="G303" t="s">
        <v>9</v>
      </c>
      <c r="H303" t="s">
        <v>118</v>
      </c>
      <c r="I303" t="s">
        <v>121</v>
      </c>
    </row>
    <row r="304" spans="1:9" x14ac:dyDescent="0.2">
      <c r="A304" t="s">
        <v>265</v>
      </c>
      <c r="D304" t="str">
        <f>HYPERLINK("http://nlpdeep.cs.uic.edu:8080/proofing/t5/532411-social-history-0-2.pdf","t5/532411-social-history-0-2.pdf")</f>
        <v>t5/532411-social-history-0-2.pdf</v>
      </c>
      <c r="E304">
        <v>119960</v>
      </c>
      <c r="F304">
        <v>532411</v>
      </c>
      <c r="G304" t="s">
        <v>9</v>
      </c>
      <c r="H304" t="s">
        <v>118</v>
      </c>
      <c r="I304" t="s">
        <v>123</v>
      </c>
    </row>
    <row r="305" spans="1:9" x14ac:dyDescent="0.2">
      <c r="A305" t="s">
        <v>265</v>
      </c>
      <c r="D305" t="str">
        <f>HYPERLINK("http://nlpdeep.cs.uic.edu:8080/proofing/gsii/532411-social-history-0-2.pdf","gsii/532411-social-history-0-2.pdf")</f>
        <v>gsii/532411-social-history-0-2.pdf</v>
      </c>
      <c r="E305">
        <v>119960</v>
      </c>
      <c r="F305">
        <v>532411</v>
      </c>
      <c r="G305" t="s">
        <v>9</v>
      </c>
      <c r="H305" t="s">
        <v>118</v>
      </c>
      <c r="I305" t="s">
        <v>123</v>
      </c>
    </row>
    <row r="306" spans="1:9" x14ac:dyDescent="0.2">
      <c r="A306" t="s">
        <v>266</v>
      </c>
      <c r="D306" t="str">
        <f>HYPERLINK("http://nlpdeep.cs.uic.edu:8080/proofing/t5/532411-social-history-0-3.pdf","t5/532411-social-history-0-3.pdf")</f>
        <v>t5/532411-social-history-0-3.pdf</v>
      </c>
      <c r="E306">
        <v>119960</v>
      </c>
      <c r="F306">
        <v>532411</v>
      </c>
      <c r="G306" t="s">
        <v>9</v>
      </c>
      <c r="H306" t="s">
        <v>118</v>
      </c>
      <c r="I306" t="s">
        <v>125</v>
      </c>
    </row>
    <row r="307" spans="1:9" x14ac:dyDescent="0.2">
      <c r="A307" t="s">
        <v>266</v>
      </c>
      <c r="D307" t="str">
        <f>HYPERLINK("http://nlpdeep.cs.uic.edu:8080/proofing/gsii/532411-social-history-0-3.pdf","gsii/532411-social-history-0-3.pdf")</f>
        <v>gsii/532411-social-history-0-3.pdf</v>
      </c>
      <c r="E307">
        <v>119960</v>
      </c>
      <c r="F307">
        <v>532411</v>
      </c>
      <c r="G307" t="s">
        <v>9</v>
      </c>
      <c r="H307" t="s">
        <v>118</v>
      </c>
      <c r="I307" t="s">
        <v>125</v>
      </c>
    </row>
    <row r="308" spans="1:9" x14ac:dyDescent="0.2">
      <c r="A308" t="s">
        <v>267</v>
      </c>
      <c r="D308" t="str">
        <f>HYPERLINK("http://nlpdeep.cs.uic.edu:8080/proofing/t5/532411-social-history-0-4.pdf","t5/532411-social-history-0-4.pdf")</f>
        <v>t5/532411-social-history-0-4.pdf</v>
      </c>
      <c r="E308">
        <v>119960</v>
      </c>
      <c r="F308">
        <v>532411</v>
      </c>
      <c r="G308" t="s">
        <v>9</v>
      </c>
      <c r="H308" t="s">
        <v>118</v>
      </c>
      <c r="I308" t="s">
        <v>127</v>
      </c>
    </row>
    <row r="309" spans="1:9" x14ac:dyDescent="0.2">
      <c r="A309" t="s">
        <v>267</v>
      </c>
      <c r="D309" t="str">
        <f>HYPERLINK("http://nlpdeep.cs.uic.edu:8080/proofing/gsii/532411-social-history-0-4.pdf","gsii/532411-social-history-0-4.pdf")</f>
        <v>gsii/532411-social-history-0-4.pdf</v>
      </c>
      <c r="E309">
        <v>119960</v>
      </c>
      <c r="F309">
        <v>532411</v>
      </c>
      <c r="G309" t="s">
        <v>9</v>
      </c>
      <c r="H309" t="s">
        <v>118</v>
      </c>
      <c r="I309" t="s">
        <v>127</v>
      </c>
    </row>
    <row r="310" spans="1:9" x14ac:dyDescent="0.2">
      <c r="A310" t="s">
        <v>268</v>
      </c>
      <c r="D310" t="str">
        <f>HYPERLINK("http://nlpdeep.cs.uic.edu:8080/proofing/t5/532411-social-history-0-5.pdf","t5/532411-social-history-0-5.pdf")</f>
        <v>t5/532411-social-history-0-5.pdf</v>
      </c>
      <c r="E310">
        <v>119960</v>
      </c>
      <c r="F310">
        <v>532411</v>
      </c>
      <c r="G310" t="s">
        <v>9</v>
      </c>
      <c r="H310" t="s">
        <v>118</v>
      </c>
      <c r="I310" t="s">
        <v>129</v>
      </c>
    </row>
    <row r="311" spans="1:9" x14ac:dyDescent="0.2">
      <c r="A311" t="s">
        <v>268</v>
      </c>
      <c r="D311" t="str">
        <f>HYPERLINK("http://nlpdeep.cs.uic.edu:8080/proofing/gsii/532411-social-history-0-5.pdf","gsii/532411-social-history-0-5.pdf")</f>
        <v>gsii/532411-social-history-0-5.pdf</v>
      </c>
      <c r="E311">
        <v>119960</v>
      </c>
      <c r="F311">
        <v>532411</v>
      </c>
      <c r="G311" t="s">
        <v>9</v>
      </c>
      <c r="H311" t="s">
        <v>118</v>
      </c>
      <c r="I311" t="s">
        <v>129</v>
      </c>
    </row>
    <row r="312" spans="1:9" x14ac:dyDescent="0.2">
      <c r="A312" t="s">
        <v>269</v>
      </c>
      <c r="D312" t="str">
        <f>HYPERLINK("http://nlpdeep.cs.uic.edu:8080/proofing/t5/532411-social-history-0-6.pdf","t5/532411-social-history-0-6.pdf")</f>
        <v>t5/532411-social-history-0-6.pdf</v>
      </c>
      <c r="E312">
        <v>119960</v>
      </c>
      <c r="F312">
        <v>532411</v>
      </c>
      <c r="G312" t="s">
        <v>9</v>
      </c>
      <c r="H312" t="s">
        <v>118</v>
      </c>
      <c r="I312" t="s">
        <v>131</v>
      </c>
    </row>
    <row r="313" spans="1:9" x14ac:dyDescent="0.2">
      <c r="A313" t="s">
        <v>269</v>
      </c>
      <c r="D313" t="str">
        <f>HYPERLINK("http://nlpdeep.cs.uic.edu:8080/proofing/gsii/532411-social-history-0-6.pdf","gsii/532411-social-history-0-6.pdf")</f>
        <v>gsii/532411-social-history-0-6.pdf</v>
      </c>
      <c r="E313">
        <v>119960</v>
      </c>
      <c r="F313">
        <v>532411</v>
      </c>
      <c r="G313" t="s">
        <v>9</v>
      </c>
      <c r="H313" t="s">
        <v>118</v>
      </c>
      <c r="I313" t="s">
        <v>131</v>
      </c>
    </row>
    <row r="314" spans="1:9" x14ac:dyDescent="0.2">
      <c r="A314" t="s">
        <v>270</v>
      </c>
      <c r="D314" t="str">
        <f>HYPERLINK("http://nlpdeep.cs.uic.edu:8080/proofing/t5/532411-social-history-0-7.pdf","t5/532411-social-history-0-7.pdf")</f>
        <v>t5/532411-social-history-0-7.pdf</v>
      </c>
      <c r="E314">
        <v>119960</v>
      </c>
      <c r="F314">
        <v>532411</v>
      </c>
      <c r="G314" t="s">
        <v>9</v>
      </c>
      <c r="H314" t="s">
        <v>118</v>
      </c>
      <c r="I314" t="s">
        <v>133</v>
      </c>
    </row>
    <row r="315" spans="1:9" x14ac:dyDescent="0.2">
      <c r="A315" t="s">
        <v>270</v>
      </c>
      <c r="D315" t="str">
        <f>HYPERLINK("http://nlpdeep.cs.uic.edu:8080/proofing/gsii/532411-social-history-0-7.pdf","gsii/532411-social-history-0-7.pdf")</f>
        <v>gsii/532411-social-history-0-7.pdf</v>
      </c>
      <c r="E315">
        <v>119960</v>
      </c>
      <c r="F315">
        <v>532411</v>
      </c>
      <c r="G315" t="s">
        <v>9</v>
      </c>
      <c r="H315" t="s">
        <v>118</v>
      </c>
      <c r="I315" t="s">
        <v>133</v>
      </c>
    </row>
    <row r="316" spans="1:9" x14ac:dyDescent="0.2">
      <c r="A316" t="s">
        <v>271</v>
      </c>
      <c r="D316" t="str">
        <f>HYPERLINK("http://nlpdeep.cs.uic.edu:8080/proofing/t5/532411-flowsheet-data-vitals-0-0.pdf","t5/532411-flowsheet-data-vitals-0-0.pdf")</f>
        <v>t5/532411-flowsheet-data-vitals-0-0.pdf</v>
      </c>
      <c r="E316">
        <v>119960</v>
      </c>
      <c r="F316">
        <v>532411</v>
      </c>
      <c r="G316" t="s">
        <v>9</v>
      </c>
      <c r="H316" t="s">
        <v>135</v>
      </c>
      <c r="I316" t="s">
        <v>136</v>
      </c>
    </row>
    <row r="317" spans="1:9" x14ac:dyDescent="0.2">
      <c r="A317" t="s">
        <v>271</v>
      </c>
      <c r="D317" t="str">
        <f>HYPERLINK("http://nlpdeep.cs.uic.edu:8080/proofing/gsii/532411-flowsheet-data-vitals-0-0.pdf","gsii/532411-flowsheet-data-vitals-0-0.pdf")</f>
        <v>gsii/532411-flowsheet-data-vitals-0-0.pdf</v>
      </c>
      <c r="E317">
        <v>119960</v>
      </c>
      <c r="F317">
        <v>532411</v>
      </c>
      <c r="G317" t="s">
        <v>9</v>
      </c>
      <c r="H317" t="s">
        <v>135</v>
      </c>
      <c r="I317" t="s">
        <v>136</v>
      </c>
    </row>
    <row r="318" spans="1:9" x14ac:dyDescent="0.2">
      <c r="A318" t="s">
        <v>272</v>
      </c>
      <c r="D318" t="str">
        <f>HYPERLINK("http://nlpdeep.cs.uic.edu:8080/proofing/t5/532411-physical-examination-0-0.pdf","t5/532411-physical-examination-0-0.pdf")</f>
        <v>t5/532411-physical-examination-0-0.pdf</v>
      </c>
      <c r="E318">
        <v>119960</v>
      </c>
      <c r="F318">
        <v>532411</v>
      </c>
      <c r="G318" t="s">
        <v>9</v>
      </c>
      <c r="H318" t="s">
        <v>138</v>
      </c>
      <c r="I318" t="s">
        <v>139</v>
      </c>
    </row>
    <row r="319" spans="1:9" x14ac:dyDescent="0.2">
      <c r="A319" t="s">
        <v>272</v>
      </c>
      <c r="D319" t="str">
        <f>HYPERLINK("http://nlpdeep.cs.uic.edu:8080/proofing/gsii/532411-physical-examination-0-0.pdf","gsii/532411-physical-examination-0-0.pdf")</f>
        <v>gsii/532411-physical-examination-0-0.pdf</v>
      </c>
      <c r="E319">
        <v>119960</v>
      </c>
      <c r="F319">
        <v>532411</v>
      </c>
      <c r="G319" t="s">
        <v>9</v>
      </c>
      <c r="H319" t="s">
        <v>138</v>
      </c>
      <c r="I319" t="s">
        <v>139</v>
      </c>
    </row>
    <row r="320" spans="1:9" x14ac:dyDescent="0.2">
      <c r="A320" t="s">
        <v>273</v>
      </c>
      <c r="D320" t="str">
        <f>HYPERLINK("http://nlpdeep.cs.uic.edu:8080/proofing/t5/532411-physical-examination-0-1.pdf","t5/532411-physical-examination-0-1.pdf")</f>
        <v>t5/532411-physical-examination-0-1.pdf</v>
      </c>
      <c r="E320">
        <v>119960</v>
      </c>
      <c r="F320">
        <v>532411</v>
      </c>
      <c r="G320" t="s">
        <v>9</v>
      </c>
      <c r="H320" t="s">
        <v>138</v>
      </c>
      <c r="I320" t="s">
        <v>141</v>
      </c>
    </row>
    <row r="321" spans="1:9" x14ac:dyDescent="0.2">
      <c r="A321" t="s">
        <v>273</v>
      </c>
      <c r="D321" t="str">
        <f>HYPERLINK("http://nlpdeep.cs.uic.edu:8080/proofing/gsii/532411-physical-examination-0-1.pdf","gsii/532411-physical-examination-0-1.pdf")</f>
        <v>gsii/532411-physical-examination-0-1.pdf</v>
      </c>
      <c r="E321">
        <v>119960</v>
      </c>
      <c r="F321">
        <v>532411</v>
      </c>
      <c r="G321" t="s">
        <v>9</v>
      </c>
      <c r="H321" t="s">
        <v>138</v>
      </c>
      <c r="I321" t="s">
        <v>141</v>
      </c>
    </row>
    <row r="322" spans="1:9" x14ac:dyDescent="0.2">
      <c r="A322" t="s">
        <v>274</v>
      </c>
      <c r="D322" t="str">
        <f>HYPERLINK("http://nlpdeep.cs.uic.edu:8080/proofing/t5/532411-physical-examination-0-2.pdf","t5/532411-physical-examination-0-2.pdf")</f>
        <v>t5/532411-physical-examination-0-2.pdf</v>
      </c>
      <c r="E322">
        <v>119960</v>
      </c>
      <c r="F322">
        <v>532411</v>
      </c>
      <c r="G322" t="s">
        <v>9</v>
      </c>
      <c r="H322" t="s">
        <v>138</v>
      </c>
      <c r="I322" t="s">
        <v>143</v>
      </c>
    </row>
    <row r="323" spans="1:9" x14ac:dyDescent="0.2">
      <c r="A323" t="s">
        <v>274</v>
      </c>
      <c r="D323" t="str">
        <f>HYPERLINK("http://nlpdeep.cs.uic.edu:8080/proofing/gsii/532411-physical-examination-0-2.pdf","gsii/532411-physical-examination-0-2.pdf")</f>
        <v>gsii/532411-physical-examination-0-2.pdf</v>
      </c>
      <c r="E323">
        <v>119960</v>
      </c>
      <c r="F323">
        <v>532411</v>
      </c>
      <c r="G323" t="s">
        <v>9</v>
      </c>
      <c r="H323" t="s">
        <v>138</v>
      </c>
      <c r="I323" t="s">
        <v>143</v>
      </c>
    </row>
    <row r="324" spans="1:9" x14ac:dyDescent="0.2">
      <c r="A324" t="s">
        <v>275</v>
      </c>
      <c r="D324" t="str">
        <f>HYPERLINK("http://nlpdeep.cs.uic.edu:8080/proofing/t5/532411-physical-examination-0-3.pdf","t5/532411-physical-examination-0-3.pdf")</f>
        <v>t5/532411-physical-examination-0-3.pdf</v>
      </c>
      <c r="E324">
        <v>119960</v>
      </c>
      <c r="F324">
        <v>532411</v>
      </c>
      <c r="G324" t="s">
        <v>9</v>
      </c>
      <c r="H324" t="s">
        <v>138</v>
      </c>
      <c r="I324" t="s">
        <v>145</v>
      </c>
    </row>
    <row r="325" spans="1:9" x14ac:dyDescent="0.2">
      <c r="A325" t="s">
        <v>275</v>
      </c>
      <c r="D325" t="str">
        <f>HYPERLINK("http://nlpdeep.cs.uic.edu:8080/proofing/gsii/532411-physical-examination-0-3.pdf","gsii/532411-physical-examination-0-3.pdf")</f>
        <v>gsii/532411-physical-examination-0-3.pdf</v>
      </c>
      <c r="E325">
        <v>119960</v>
      </c>
      <c r="F325">
        <v>532411</v>
      </c>
      <c r="G325" t="s">
        <v>9</v>
      </c>
      <c r="H325" t="s">
        <v>138</v>
      </c>
      <c r="I325" t="s">
        <v>145</v>
      </c>
    </row>
    <row r="326" spans="1:9" x14ac:dyDescent="0.2">
      <c r="A326" t="s">
        <v>276</v>
      </c>
      <c r="D326" t="str">
        <f>HYPERLINK("http://nlpdeep.cs.uic.edu:8080/proofing/t5/532411-labs-imaging-0-0.pdf","t5/532411-labs-imaging-0-0.pdf")</f>
        <v>t5/532411-labs-imaging-0-0.pdf</v>
      </c>
      <c r="E326">
        <v>119960</v>
      </c>
      <c r="F326">
        <v>532411</v>
      </c>
      <c r="G326" t="s">
        <v>9</v>
      </c>
      <c r="H326" t="s">
        <v>147</v>
      </c>
      <c r="I326" t="s">
        <v>148</v>
      </c>
    </row>
    <row r="327" spans="1:9" x14ac:dyDescent="0.2">
      <c r="A327" t="s">
        <v>276</v>
      </c>
      <c r="D327" t="str">
        <f>HYPERLINK("http://nlpdeep.cs.uic.edu:8080/proofing/gsii/532411-labs-imaging-0-0.pdf","gsii/532411-labs-imaging-0-0.pdf")</f>
        <v>gsii/532411-labs-imaging-0-0.pdf</v>
      </c>
      <c r="E327">
        <v>119960</v>
      </c>
      <c r="F327">
        <v>532411</v>
      </c>
      <c r="G327" t="s">
        <v>9</v>
      </c>
      <c r="H327" t="s">
        <v>147</v>
      </c>
      <c r="I327" t="s">
        <v>148</v>
      </c>
    </row>
    <row r="328" spans="1:9" x14ac:dyDescent="0.2">
      <c r="A328" t="s">
        <v>277</v>
      </c>
      <c r="D328" t="str">
        <f>HYPERLINK("http://nlpdeep.cs.uic.edu:8080/proofing/t5/532411-labs-imaging-0-1.pdf","t5/532411-labs-imaging-0-1.pdf")</f>
        <v>t5/532411-labs-imaging-0-1.pdf</v>
      </c>
      <c r="E328">
        <v>119960</v>
      </c>
      <c r="F328">
        <v>532411</v>
      </c>
      <c r="G328" t="s">
        <v>9</v>
      </c>
      <c r="H328" t="s">
        <v>147</v>
      </c>
      <c r="I328" t="s">
        <v>150</v>
      </c>
    </row>
    <row r="329" spans="1:9" x14ac:dyDescent="0.2">
      <c r="A329" t="s">
        <v>277</v>
      </c>
      <c r="D329" t="str">
        <f>HYPERLINK("http://nlpdeep.cs.uic.edu:8080/proofing/gsii/532411-labs-imaging-0-1.pdf","gsii/532411-labs-imaging-0-1.pdf")</f>
        <v>gsii/532411-labs-imaging-0-1.pdf</v>
      </c>
      <c r="E329">
        <v>119960</v>
      </c>
      <c r="F329">
        <v>532411</v>
      </c>
      <c r="G329" t="s">
        <v>9</v>
      </c>
      <c r="H329" t="s">
        <v>147</v>
      </c>
      <c r="I329" t="s">
        <v>150</v>
      </c>
    </row>
    <row r="330" spans="1:9" x14ac:dyDescent="0.2">
      <c r="A330" t="s">
        <v>278</v>
      </c>
      <c r="D330" t="str">
        <f>HYPERLINK("http://nlpdeep.cs.uic.edu:8080/proofing/t5/532411-labs-imaging-0-2.pdf","t5/532411-labs-imaging-0-2.pdf")</f>
        <v>t5/532411-labs-imaging-0-2.pdf</v>
      </c>
      <c r="E330">
        <v>119960</v>
      </c>
      <c r="F330">
        <v>532411</v>
      </c>
      <c r="G330" t="s">
        <v>9</v>
      </c>
      <c r="H330" t="s">
        <v>147</v>
      </c>
      <c r="I330" t="s">
        <v>152</v>
      </c>
    </row>
    <row r="331" spans="1:9" x14ac:dyDescent="0.2">
      <c r="A331" t="s">
        <v>278</v>
      </c>
      <c r="D331" t="str">
        <f>HYPERLINK("http://nlpdeep.cs.uic.edu:8080/proofing/gsii/532411-labs-imaging-0-2.pdf","gsii/532411-labs-imaging-0-2.pdf")</f>
        <v>gsii/532411-labs-imaging-0-2.pdf</v>
      </c>
      <c r="E331">
        <v>119960</v>
      </c>
      <c r="F331">
        <v>532411</v>
      </c>
      <c r="G331" t="s">
        <v>9</v>
      </c>
      <c r="H331" t="s">
        <v>147</v>
      </c>
      <c r="I331" t="s">
        <v>152</v>
      </c>
    </row>
    <row r="332" spans="1:9" x14ac:dyDescent="0.2">
      <c r="A332" t="s">
        <v>279</v>
      </c>
      <c r="D332" t="str">
        <f>HYPERLINK("http://nlpdeep.cs.uic.edu:8080/proofing/t5/532411-labs-imaging-0-3.pdf","t5/532411-labs-imaging-0-3.pdf")</f>
        <v>t5/532411-labs-imaging-0-3.pdf</v>
      </c>
      <c r="E332">
        <v>119960</v>
      </c>
      <c r="F332">
        <v>532411</v>
      </c>
      <c r="G332" t="s">
        <v>9</v>
      </c>
      <c r="H332" t="s">
        <v>147</v>
      </c>
      <c r="I332" t="s">
        <v>154</v>
      </c>
    </row>
    <row r="333" spans="1:9" x14ac:dyDescent="0.2">
      <c r="A333" t="s">
        <v>279</v>
      </c>
      <c r="D333" t="str">
        <f>HYPERLINK("http://nlpdeep.cs.uic.edu:8080/proofing/gsii/532411-labs-imaging-0-3.pdf","gsii/532411-labs-imaging-0-3.pdf")</f>
        <v>gsii/532411-labs-imaging-0-3.pdf</v>
      </c>
      <c r="E333">
        <v>119960</v>
      </c>
      <c r="F333">
        <v>532411</v>
      </c>
      <c r="G333" t="s">
        <v>9</v>
      </c>
      <c r="H333" t="s">
        <v>147</v>
      </c>
      <c r="I333" t="s">
        <v>154</v>
      </c>
    </row>
    <row r="334" spans="1:9" x14ac:dyDescent="0.2">
      <c r="A334" t="s">
        <v>280</v>
      </c>
      <c r="D334" t="str">
        <f>HYPERLINK("http://nlpdeep.cs.uic.edu:8080/proofing/t5/532411-labs-imaging-0-4.pdf","t5/532411-labs-imaging-0-4.pdf")</f>
        <v>t5/532411-labs-imaging-0-4.pdf</v>
      </c>
      <c r="E334">
        <v>119960</v>
      </c>
      <c r="F334">
        <v>532411</v>
      </c>
      <c r="G334" t="s">
        <v>9</v>
      </c>
      <c r="H334" t="s">
        <v>147</v>
      </c>
      <c r="I334" t="s">
        <v>156</v>
      </c>
    </row>
    <row r="335" spans="1:9" x14ac:dyDescent="0.2">
      <c r="A335" t="s">
        <v>280</v>
      </c>
      <c r="D335" t="str">
        <f>HYPERLINK("http://nlpdeep.cs.uic.edu:8080/proofing/gsii/532411-labs-imaging-0-4.pdf","gsii/532411-labs-imaging-0-4.pdf")</f>
        <v>gsii/532411-labs-imaging-0-4.pdf</v>
      </c>
      <c r="E335">
        <v>119960</v>
      </c>
      <c r="F335">
        <v>532411</v>
      </c>
      <c r="G335" t="s">
        <v>9</v>
      </c>
      <c r="H335" t="s">
        <v>147</v>
      </c>
      <c r="I335" t="s">
        <v>156</v>
      </c>
    </row>
    <row r="336" spans="1:9" x14ac:dyDescent="0.2">
      <c r="A336" t="s">
        <v>281</v>
      </c>
      <c r="D336" t="str">
        <f>HYPERLINK("http://nlpdeep.cs.uic.edu:8080/proofing/t5/532411-labs-imaging-0-5.pdf","t5/532411-labs-imaging-0-5.pdf")</f>
        <v>t5/532411-labs-imaging-0-5.pdf</v>
      </c>
      <c r="E336">
        <v>119960</v>
      </c>
      <c r="F336">
        <v>532411</v>
      </c>
      <c r="G336" t="s">
        <v>9</v>
      </c>
      <c r="H336" t="s">
        <v>147</v>
      </c>
      <c r="I336" t="s">
        <v>158</v>
      </c>
    </row>
    <row r="337" spans="1:9" x14ac:dyDescent="0.2">
      <c r="A337" t="s">
        <v>281</v>
      </c>
      <c r="D337" t="str">
        <f>HYPERLINK("http://nlpdeep.cs.uic.edu:8080/proofing/gsii/532411-labs-imaging-0-5.pdf","gsii/532411-labs-imaging-0-5.pdf")</f>
        <v>gsii/532411-labs-imaging-0-5.pdf</v>
      </c>
      <c r="E337">
        <v>119960</v>
      </c>
      <c r="F337">
        <v>532411</v>
      </c>
      <c r="G337" t="s">
        <v>9</v>
      </c>
      <c r="H337" t="s">
        <v>147</v>
      </c>
      <c r="I337" t="s">
        <v>158</v>
      </c>
    </row>
    <row r="338" spans="1:9" x14ac:dyDescent="0.2">
      <c r="A338" t="s">
        <v>282</v>
      </c>
      <c r="D338" t="str">
        <f>HYPERLINK("http://nlpdeep.cs.uic.edu:8080/proofing/t5/532411-labs-imaging-0-6.pdf","t5/532411-labs-imaging-0-6.pdf")</f>
        <v>t5/532411-labs-imaging-0-6.pdf</v>
      </c>
      <c r="E338">
        <v>119960</v>
      </c>
      <c r="F338">
        <v>532411</v>
      </c>
      <c r="G338" t="s">
        <v>9</v>
      </c>
      <c r="H338" t="s">
        <v>147</v>
      </c>
      <c r="I338" t="s">
        <v>160</v>
      </c>
    </row>
    <row r="339" spans="1:9" x14ac:dyDescent="0.2">
      <c r="A339" t="s">
        <v>282</v>
      </c>
      <c r="D339" t="str">
        <f>HYPERLINK("http://nlpdeep.cs.uic.edu:8080/proofing/gsii/532411-labs-imaging-0-6.pdf","gsii/532411-labs-imaging-0-6.pdf")</f>
        <v>gsii/532411-labs-imaging-0-6.pdf</v>
      </c>
      <c r="E339">
        <v>119960</v>
      </c>
      <c r="F339">
        <v>532411</v>
      </c>
      <c r="G339" t="s">
        <v>9</v>
      </c>
      <c r="H339" t="s">
        <v>147</v>
      </c>
      <c r="I339" t="s">
        <v>160</v>
      </c>
    </row>
    <row r="340" spans="1:9" x14ac:dyDescent="0.2">
      <c r="A340" t="s">
        <v>283</v>
      </c>
      <c r="D340" t="str">
        <f>HYPERLINK("http://nlpdeep.cs.uic.edu:8080/proofing/t5/532411-labs-imaging-0-7.pdf","t5/532411-labs-imaging-0-7.pdf")</f>
        <v>t5/532411-labs-imaging-0-7.pdf</v>
      </c>
      <c r="E340">
        <v>119960</v>
      </c>
      <c r="F340">
        <v>532411</v>
      </c>
      <c r="G340" t="s">
        <v>9</v>
      </c>
      <c r="H340" t="s">
        <v>147</v>
      </c>
      <c r="I340" t="s">
        <v>162</v>
      </c>
    </row>
    <row r="341" spans="1:9" x14ac:dyDescent="0.2">
      <c r="A341" t="s">
        <v>283</v>
      </c>
      <c r="D341" t="str">
        <f>HYPERLINK("http://nlpdeep.cs.uic.edu:8080/proofing/gsii/532411-labs-imaging-0-7.pdf","gsii/532411-labs-imaging-0-7.pdf")</f>
        <v>gsii/532411-labs-imaging-0-7.pdf</v>
      </c>
      <c r="E341">
        <v>119960</v>
      </c>
      <c r="F341">
        <v>532411</v>
      </c>
      <c r="G341" t="s">
        <v>9</v>
      </c>
      <c r="H341" t="s">
        <v>147</v>
      </c>
      <c r="I341" t="s">
        <v>162</v>
      </c>
    </row>
    <row r="342" spans="1:9" x14ac:dyDescent="0.2">
      <c r="A342" t="s">
        <v>284</v>
      </c>
      <c r="D342" t="str">
        <f>HYPERLINK("http://nlpdeep.cs.uic.edu:8080/proofing/t5/532411-labs-imaging-0-8.pdf","t5/532411-labs-imaging-0-8.pdf")</f>
        <v>t5/532411-labs-imaging-0-8.pdf</v>
      </c>
      <c r="E342">
        <v>119960</v>
      </c>
      <c r="F342">
        <v>532411</v>
      </c>
      <c r="G342" t="s">
        <v>9</v>
      </c>
      <c r="H342" t="s">
        <v>147</v>
      </c>
      <c r="I342" t="s">
        <v>164</v>
      </c>
    </row>
    <row r="343" spans="1:9" x14ac:dyDescent="0.2">
      <c r="A343" t="s">
        <v>284</v>
      </c>
      <c r="D343" t="str">
        <f>HYPERLINK("http://nlpdeep.cs.uic.edu:8080/proofing/gsii/532411-labs-imaging-0-8.pdf","gsii/532411-labs-imaging-0-8.pdf")</f>
        <v>gsii/532411-labs-imaging-0-8.pdf</v>
      </c>
      <c r="E343">
        <v>119960</v>
      </c>
      <c r="F343">
        <v>532411</v>
      </c>
      <c r="G343" t="s">
        <v>9</v>
      </c>
      <c r="H343" t="s">
        <v>147</v>
      </c>
      <c r="I343" t="s">
        <v>164</v>
      </c>
    </row>
    <row r="344" spans="1:9" x14ac:dyDescent="0.2">
      <c r="A344" t="s">
        <v>285</v>
      </c>
      <c r="D344" t="str">
        <f>HYPERLINK("http://nlpdeep.cs.uic.edu:8080/proofing/t5/532411-labs-imaging-1-0.pdf","t5/532411-labs-imaging-1-0.pdf")</f>
        <v>t5/532411-labs-imaging-1-0.pdf</v>
      </c>
      <c r="E344">
        <v>119960</v>
      </c>
      <c r="F344">
        <v>532411</v>
      </c>
      <c r="G344" t="s">
        <v>9</v>
      </c>
      <c r="H344" t="s">
        <v>147</v>
      </c>
    </row>
    <row r="345" spans="1:9" x14ac:dyDescent="0.2">
      <c r="A345" t="s">
        <v>285</v>
      </c>
      <c r="D345" t="str">
        <f>HYPERLINK("http://nlpdeep.cs.uic.edu:8080/proofing/gsii/532411-labs-imaging-1-0.pdf","gsii/532411-labs-imaging-1-0.pdf")</f>
        <v>gsii/532411-labs-imaging-1-0.pdf</v>
      </c>
      <c r="E345">
        <v>119960</v>
      </c>
      <c r="F345">
        <v>532411</v>
      </c>
      <c r="G345" t="s">
        <v>9</v>
      </c>
      <c r="H345" t="s">
        <v>147</v>
      </c>
    </row>
    <row r="346" spans="1:9" x14ac:dyDescent="0.2">
      <c r="A346" t="s">
        <v>286</v>
      </c>
      <c r="D346" t="str">
        <f>HYPERLINK("http://nlpdeep.cs.uic.edu:8080/proofing/t5/532411-labs-imaging-2-0.pdf","t5/532411-labs-imaging-2-0.pdf")</f>
        <v>t5/532411-labs-imaging-2-0.pdf</v>
      </c>
      <c r="E346">
        <v>119960</v>
      </c>
      <c r="F346">
        <v>532411</v>
      </c>
      <c r="G346" t="s">
        <v>9</v>
      </c>
      <c r="H346" t="s">
        <v>147</v>
      </c>
    </row>
    <row r="347" spans="1:9" x14ac:dyDescent="0.2">
      <c r="A347" t="s">
        <v>286</v>
      </c>
      <c r="D347" t="str">
        <f>HYPERLINK("http://nlpdeep.cs.uic.edu:8080/proofing/gsii/532411-labs-imaging-2-0.pdf","gsii/532411-labs-imaging-2-0.pdf")</f>
        <v>gsii/532411-labs-imaging-2-0.pdf</v>
      </c>
      <c r="E347">
        <v>119960</v>
      </c>
      <c r="F347">
        <v>532411</v>
      </c>
      <c r="G347" t="s">
        <v>9</v>
      </c>
      <c r="H347" t="s">
        <v>147</v>
      </c>
    </row>
    <row r="348" spans="1:9" x14ac:dyDescent="0.2">
      <c r="A348" t="s">
        <v>287</v>
      </c>
      <c r="D348" t="str">
        <f>HYPERLINK("http://nlpdeep.cs.uic.edu:8080/proofing/t5/532411-labs-imaging-3-0.pdf","t5/532411-labs-imaging-3-0.pdf")</f>
        <v>t5/532411-labs-imaging-3-0.pdf</v>
      </c>
      <c r="E348">
        <v>119960</v>
      </c>
      <c r="F348">
        <v>532411</v>
      </c>
      <c r="G348" t="s">
        <v>9</v>
      </c>
      <c r="H348" t="s">
        <v>147</v>
      </c>
    </row>
    <row r="349" spans="1:9" x14ac:dyDescent="0.2">
      <c r="A349" t="s">
        <v>287</v>
      </c>
      <c r="D349" t="str">
        <f>HYPERLINK("http://nlpdeep.cs.uic.edu:8080/proofing/gsii/532411-labs-imaging-3-0.pdf","gsii/532411-labs-imaging-3-0.pdf")</f>
        <v>gsii/532411-labs-imaging-3-0.pdf</v>
      </c>
      <c r="E349">
        <v>119960</v>
      </c>
      <c r="F349">
        <v>532411</v>
      </c>
      <c r="G349" t="s">
        <v>9</v>
      </c>
      <c r="H349" t="s">
        <v>147</v>
      </c>
    </row>
    <row r="350" spans="1:9" x14ac:dyDescent="0.2">
      <c r="A350" t="s">
        <v>288</v>
      </c>
      <c r="D350" t="str">
        <f>HYPERLINK("http://nlpdeep.cs.uic.edu:8080/proofing/t5/532411-labs-imaging-4-0.pdf","t5/532411-labs-imaging-4-0.pdf")</f>
        <v>t5/532411-labs-imaging-4-0.pdf</v>
      </c>
      <c r="E350">
        <v>119960</v>
      </c>
      <c r="F350">
        <v>532411</v>
      </c>
      <c r="G350" t="s">
        <v>9</v>
      </c>
      <c r="H350" t="s">
        <v>147</v>
      </c>
      <c r="I350" t="s">
        <v>169</v>
      </c>
    </row>
    <row r="351" spans="1:9" x14ac:dyDescent="0.2">
      <c r="A351" t="s">
        <v>288</v>
      </c>
      <c r="D351" t="str">
        <f>HYPERLINK("http://nlpdeep.cs.uic.edu:8080/proofing/gsii/532411-labs-imaging-4-0.pdf","gsii/532411-labs-imaging-4-0.pdf")</f>
        <v>gsii/532411-labs-imaging-4-0.pdf</v>
      </c>
      <c r="E351">
        <v>119960</v>
      </c>
      <c r="F351">
        <v>532411</v>
      </c>
      <c r="G351" t="s">
        <v>9</v>
      </c>
      <c r="H351" t="s">
        <v>147</v>
      </c>
      <c r="I351" t="s">
        <v>169</v>
      </c>
    </row>
    <row r="352" spans="1:9" x14ac:dyDescent="0.2">
      <c r="A352" t="s">
        <v>289</v>
      </c>
      <c r="D352" t="str">
        <f>HYPERLINK("http://nlpdeep.cs.uic.edu:8080/proofing/t5/532411-labs-imaging-4-1.pdf","t5/532411-labs-imaging-4-1.pdf")</f>
        <v>t5/532411-labs-imaging-4-1.pdf</v>
      </c>
      <c r="E352">
        <v>119960</v>
      </c>
      <c r="F352">
        <v>532411</v>
      </c>
      <c r="G352" t="s">
        <v>9</v>
      </c>
      <c r="H352" t="s">
        <v>147</v>
      </c>
      <c r="I352" t="s">
        <v>171</v>
      </c>
    </row>
    <row r="353" spans="1:9" x14ac:dyDescent="0.2">
      <c r="A353" t="s">
        <v>289</v>
      </c>
      <c r="D353" t="str">
        <f>HYPERLINK("http://nlpdeep.cs.uic.edu:8080/proofing/gsii/532411-labs-imaging-4-1.pdf","gsii/532411-labs-imaging-4-1.pdf")</f>
        <v>gsii/532411-labs-imaging-4-1.pdf</v>
      </c>
      <c r="E353">
        <v>119960</v>
      </c>
      <c r="F353">
        <v>532411</v>
      </c>
      <c r="G353" t="s">
        <v>9</v>
      </c>
      <c r="H353" t="s">
        <v>147</v>
      </c>
      <c r="I353" t="s">
        <v>171</v>
      </c>
    </row>
    <row r="354" spans="1:9" x14ac:dyDescent="0.2">
      <c r="A354" t="s">
        <v>290</v>
      </c>
      <c r="D354" t="str">
        <f>HYPERLINK("http://nlpdeep.cs.uic.edu:8080/proofing/t5/532411-labs-imaging-4-2.pdf","t5/532411-labs-imaging-4-2.pdf")</f>
        <v>t5/532411-labs-imaging-4-2.pdf</v>
      </c>
      <c r="E354">
        <v>119960</v>
      </c>
      <c r="F354">
        <v>532411</v>
      </c>
      <c r="G354" t="s">
        <v>9</v>
      </c>
      <c r="H354" t="s">
        <v>147</v>
      </c>
      <c r="I354" t="s">
        <v>173</v>
      </c>
    </row>
    <row r="355" spans="1:9" x14ac:dyDescent="0.2">
      <c r="A355" t="s">
        <v>290</v>
      </c>
      <c r="D355" t="str">
        <f>HYPERLINK("http://nlpdeep.cs.uic.edu:8080/proofing/gsii/532411-labs-imaging-4-2.pdf","gsii/532411-labs-imaging-4-2.pdf")</f>
        <v>gsii/532411-labs-imaging-4-2.pdf</v>
      </c>
      <c r="E355">
        <v>119960</v>
      </c>
      <c r="F355">
        <v>532411</v>
      </c>
      <c r="G355" t="s">
        <v>9</v>
      </c>
      <c r="H355" t="s">
        <v>147</v>
      </c>
      <c r="I355" t="s">
        <v>173</v>
      </c>
    </row>
    <row r="356" spans="1:9" x14ac:dyDescent="0.2">
      <c r="A356" t="s">
        <v>291</v>
      </c>
      <c r="D356" t="str">
        <f>HYPERLINK("http://nlpdeep.cs.uic.edu:8080/proofing/t5/532411-labs-imaging-4-3.pdf","t5/532411-labs-imaging-4-3.pdf")</f>
        <v>t5/532411-labs-imaging-4-3.pdf</v>
      </c>
      <c r="E356">
        <v>119960</v>
      </c>
      <c r="F356">
        <v>532411</v>
      </c>
      <c r="G356" t="s">
        <v>9</v>
      </c>
      <c r="H356" t="s">
        <v>147</v>
      </c>
      <c r="I356" t="s">
        <v>175</v>
      </c>
    </row>
    <row r="357" spans="1:9" x14ac:dyDescent="0.2">
      <c r="A357" t="s">
        <v>291</v>
      </c>
      <c r="D357" t="str">
        <f>HYPERLINK("http://nlpdeep.cs.uic.edu:8080/proofing/gsii/532411-labs-imaging-4-3.pdf","gsii/532411-labs-imaging-4-3.pdf")</f>
        <v>gsii/532411-labs-imaging-4-3.pdf</v>
      </c>
      <c r="E357">
        <v>119960</v>
      </c>
      <c r="F357">
        <v>532411</v>
      </c>
      <c r="G357" t="s">
        <v>9</v>
      </c>
      <c r="H357" t="s">
        <v>147</v>
      </c>
      <c r="I357" t="s">
        <v>175</v>
      </c>
    </row>
    <row r="358" spans="1:9" x14ac:dyDescent="0.2">
      <c r="A358" t="s">
        <v>292</v>
      </c>
      <c r="D358" t="str">
        <f>HYPERLINK("http://nlpdeep.cs.uic.edu:8080/proofing/t5/532411-labs-imaging-5-0.pdf","t5/532411-labs-imaging-5-0.pdf")</f>
        <v>t5/532411-labs-imaging-5-0.pdf</v>
      </c>
      <c r="E358">
        <v>119960</v>
      </c>
      <c r="F358">
        <v>532411</v>
      </c>
      <c r="G358" t="s">
        <v>9</v>
      </c>
      <c r="H358" t="s">
        <v>147</v>
      </c>
      <c r="I358" t="s">
        <v>177</v>
      </c>
    </row>
    <row r="359" spans="1:9" x14ac:dyDescent="0.2">
      <c r="A359" t="s">
        <v>292</v>
      </c>
      <c r="D359" t="str">
        <f>HYPERLINK("http://nlpdeep.cs.uic.edu:8080/proofing/gsii/532411-labs-imaging-5-0.pdf","gsii/532411-labs-imaging-5-0.pdf")</f>
        <v>gsii/532411-labs-imaging-5-0.pdf</v>
      </c>
      <c r="E359">
        <v>119960</v>
      </c>
      <c r="F359">
        <v>532411</v>
      </c>
      <c r="G359" t="s">
        <v>9</v>
      </c>
      <c r="H359" t="s">
        <v>147</v>
      </c>
      <c r="I359" t="s">
        <v>177</v>
      </c>
    </row>
    <row r="360" spans="1:9" x14ac:dyDescent="0.2">
      <c r="A360" t="s">
        <v>293</v>
      </c>
      <c r="D360" t="str">
        <f>HYPERLINK("http://nlpdeep.cs.uic.edu:8080/proofing/t5/532411-labs-imaging-5-1.pdf","t5/532411-labs-imaging-5-1.pdf")</f>
        <v>t5/532411-labs-imaging-5-1.pdf</v>
      </c>
      <c r="E360">
        <v>119960</v>
      </c>
      <c r="F360">
        <v>532411</v>
      </c>
      <c r="G360" t="s">
        <v>9</v>
      </c>
      <c r="H360" t="s">
        <v>147</v>
      </c>
      <c r="I360" t="s">
        <v>179</v>
      </c>
    </row>
    <row r="361" spans="1:9" x14ac:dyDescent="0.2">
      <c r="A361" t="s">
        <v>293</v>
      </c>
      <c r="D361" t="str">
        <f>HYPERLINK("http://nlpdeep.cs.uic.edu:8080/proofing/gsii/532411-labs-imaging-5-1.pdf","gsii/532411-labs-imaging-5-1.pdf")</f>
        <v>gsii/532411-labs-imaging-5-1.pdf</v>
      </c>
      <c r="E361">
        <v>119960</v>
      </c>
      <c r="F361">
        <v>532411</v>
      </c>
      <c r="G361" t="s">
        <v>9</v>
      </c>
      <c r="H361" t="s">
        <v>147</v>
      </c>
      <c r="I361" t="s">
        <v>179</v>
      </c>
    </row>
    <row r="362" spans="1:9" x14ac:dyDescent="0.2">
      <c r="A362" t="s">
        <v>294</v>
      </c>
      <c r="D362" t="str">
        <f>HYPERLINK("http://nlpdeep.cs.uic.edu:8080/proofing/t5/532411-labs-imaging-5-2.pdf","t5/532411-labs-imaging-5-2.pdf")</f>
        <v>t5/532411-labs-imaging-5-2.pdf</v>
      </c>
      <c r="E362">
        <v>119960</v>
      </c>
      <c r="F362">
        <v>532411</v>
      </c>
      <c r="G362" t="s">
        <v>9</v>
      </c>
      <c r="H362" t="s">
        <v>147</v>
      </c>
      <c r="I362" t="s">
        <v>181</v>
      </c>
    </row>
    <row r="363" spans="1:9" x14ac:dyDescent="0.2">
      <c r="A363" t="s">
        <v>294</v>
      </c>
      <c r="D363" t="str">
        <f>HYPERLINK("http://nlpdeep.cs.uic.edu:8080/proofing/gsii/532411-labs-imaging-5-2.pdf","gsii/532411-labs-imaging-5-2.pdf")</f>
        <v>gsii/532411-labs-imaging-5-2.pdf</v>
      </c>
      <c r="E363">
        <v>119960</v>
      </c>
      <c r="F363">
        <v>532411</v>
      </c>
      <c r="G363" t="s">
        <v>9</v>
      </c>
      <c r="H363" t="s">
        <v>147</v>
      </c>
      <c r="I363" t="s">
        <v>181</v>
      </c>
    </row>
    <row r="364" spans="1:9" x14ac:dyDescent="0.2">
      <c r="A364" t="s">
        <v>295</v>
      </c>
      <c r="D364" t="str">
        <f>HYPERLINK("http://nlpdeep.cs.uic.edu:8080/proofing/t5/532411-labs-imaging-5-3.pdf","t5/532411-labs-imaging-5-3.pdf")</f>
        <v>t5/532411-labs-imaging-5-3.pdf</v>
      </c>
      <c r="E364">
        <v>119960</v>
      </c>
      <c r="F364">
        <v>532411</v>
      </c>
      <c r="G364" t="s">
        <v>9</v>
      </c>
      <c r="H364" t="s">
        <v>147</v>
      </c>
      <c r="I364" t="s">
        <v>183</v>
      </c>
    </row>
    <row r="365" spans="1:9" x14ac:dyDescent="0.2">
      <c r="A365" t="s">
        <v>295</v>
      </c>
      <c r="D365" t="str">
        <f>HYPERLINK("http://nlpdeep.cs.uic.edu:8080/proofing/gsii/532411-labs-imaging-5-3.pdf","gsii/532411-labs-imaging-5-3.pdf")</f>
        <v>gsii/532411-labs-imaging-5-3.pdf</v>
      </c>
      <c r="E365">
        <v>119960</v>
      </c>
      <c r="F365">
        <v>532411</v>
      </c>
      <c r="G365" t="s">
        <v>9</v>
      </c>
      <c r="H365" t="s">
        <v>147</v>
      </c>
      <c r="I365" t="s">
        <v>183</v>
      </c>
    </row>
    <row r="366" spans="1:9" x14ac:dyDescent="0.2">
      <c r="A366" t="s">
        <v>296</v>
      </c>
      <c r="D366" t="str">
        <f>HYPERLINK("http://nlpdeep.cs.uic.edu:8080/proofing/t5/532411-labs-imaging-5-4.pdf","t5/532411-labs-imaging-5-4.pdf")</f>
        <v>t5/532411-labs-imaging-5-4.pdf</v>
      </c>
      <c r="E366">
        <v>119960</v>
      </c>
      <c r="F366">
        <v>532411</v>
      </c>
      <c r="G366" t="s">
        <v>9</v>
      </c>
      <c r="H366" t="s">
        <v>147</v>
      </c>
      <c r="I366" t="s">
        <v>185</v>
      </c>
    </row>
    <row r="367" spans="1:9" x14ac:dyDescent="0.2">
      <c r="A367" t="s">
        <v>296</v>
      </c>
      <c r="D367" t="str">
        <f>HYPERLINK("http://nlpdeep.cs.uic.edu:8080/proofing/gsii/532411-labs-imaging-5-4.pdf","gsii/532411-labs-imaging-5-4.pdf")</f>
        <v>gsii/532411-labs-imaging-5-4.pdf</v>
      </c>
      <c r="E367">
        <v>119960</v>
      </c>
      <c r="F367">
        <v>532411</v>
      </c>
      <c r="G367" t="s">
        <v>9</v>
      </c>
      <c r="H367" t="s">
        <v>147</v>
      </c>
      <c r="I367" t="s">
        <v>185</v>
      </c>
    </row>
    <row r="368" spans="1:9" x14ac:dyDescent="0.2">
      <c r="A368" t="s">
        <v>297</v>
      </c>
      <c r="D368" t="str">
        <f>HYPERLINK("http://nlpdeep.cs.uic.edu:8080/proofing/t5/532411-labs-imaging-6-0.pdf","t5/532411-labs-imaging-6-0.pdf")</f>
        <v>t5/532411-labs-imaging-6-0.pdf</v>
      </c>
      <c r="E368">
        <v>119960</v>
      </c>
      <c r="F368">
        <v>532411</v>
      </c>
      <c r="G368" t="s">
        <v>9</v>
      </c>
      <c r="H368" t="s">
        <v>147</v>
      </c>
      <c r="I368" t="s">
        <v>187</v>
      </c>
    </row>
    <row r="369" spans="1:9" x14ac:dyDescent="0.2">
      <c r="A369" t="s">
        <v>297</v>
      </c>
      <c r="D369" t="str">
        <f>HYPERLINK("http://nlpdeep.cs.uic.edu:8080/proofing/gsii/532411-labs-imaging-6-0.pdf","gsii/532411-labs-imaging-6-0.pdf")</f>
        <v>gsii/532411-labs-imaging-6-0.pdf</v>
      </c>
      <c r="E369">
        <v>119960</v>
      </c>
      <c r="F369">
        <v>532411</v>
      </c>
      <c r="G369" t="s">
        <v>9</v>
      </c>
      <c r="H369" t="s">
        <v>147</v>
      </c>
      <c r="I369" t="s">
        <v>187</v>
      </c>
    </row>
    <row r="370" spans="1:9" x14ac:dyDescent="0.2">
      <c r="A370" t="s">
        <v>298</v>
      </c>
      <c r="D370" t="str">
        <f>HYPERLINK("http://nlpdeep.cs.uic.edu:8080/proofing/t5/532411-labs-imaging-6-1.pdf","t5/532411-labs-imaging-6-1.pdf")</f>
        <v>t5/532411-labs-imaging-6-1.pdf</v>
      </c>
      <c r="E370">
        <v>119960</v>
      </c>
      <c r="F370">
        <v>532411</v>
      </c>
      <c r="G370" t="s">
        <v>9</v>
      </c>
      <c r="H370" t="s">
        <v>147</v>
      </c>
      <c r="I370" t="s">
        <v>189</v>
      </c>
    </row>
    <row r="371" spans="1:9" x14ac:dyDescent="0.2">
      <c r="A371" t="s">
        <v>298</v>
      </c>
      <c r="D371" t="str">
        <f>HYPERLINK("http://nlpdeep.cs.uic.edu:8080/proofing/gsii/532411-labs-imaging-6-1.pdf","gsii/532411-labs-imaging-6-1.pdf")</f>
        <v>gsii/532411-labs-imaging-6-1.pdf</v>
      </c>
      <c r="E371">
        <v>119960</v>
      </c>
      <c r="F371">
        <v>532411</v>
      </c>
      <c r="G371" t="s">
        <v>9</v>
      </c>
      <c r="H371" t="s">
        <v>147</v>
      </c>
      <c r="I371" t="s">
        <v>189</v>
      </c>
    </row>
    <row r="372" spans="1:9" x14ac:dyDescent="0.2">
      <c r="A372" t="s">
        <v>299</v>
      </c>
      <c r="D372" t="str">
        <f>HYPERLINK("http://nlpdeep.cs.uic.edu:8080/proofing/t5/532411-labs-imaging-6-2.pdf","t5/532411-labs-imaging-6-2.pdf")</f>
        <v>t5/532411-labs-imaging-6-2.pdf</v>
      </c>
      <c r="E372">
        <v>119960</v>
      </c>
      <c r="F372">
        <v>532411</v>
      </c>
      <c r="G372" t="s">
        <v>9</v>
      </c>
      <c r="H372" t="s">
        <v>147</v>
      </c>
      <c r="I372" t="s">
        <v>191</v>
      </c>
    </row>
    <row r="373" spans="1:9" x14ac:dyDescent="0.2">
      <c r="A373" t="s">
        <v>299</v>
      </c>
      <c r="D373" t="str">
        <f>HYPERLINK("http://nlpdeep.cs.uic.edu:8080/proofing/gsii/532411-labs-imaging-6-2.pdf","gsii/532411-labs-imaging-6-2.pdf")</f>
        <v>gsii/532411-labs-imaging-6-2.pdf</v>
      </c>
      <c r="E373">
        <v>119960</v>
      </c>
      <c r="F373">
        <v>532411</v>
      </c>
      <c r="G373" t="s">
        <v>9</v>
      </c>
      <c r="H373" t="s">
        <v>147</v>
      </c>
      <c r="I373" t="s">
        <v>191</v>
      </c>
    </row>
    <row r="374" spans="1:9" x14ac:dyDescent="0.2">
      <c r="A374" t="s">
        <v>300</v>
      </c>
      <c r="D374" t="str">
        <f>HYPERLINK("http://nlpdeep.cs.uic.edu:8080/proofing/t5/532411-labs-imaging-6-3.pdf","t5/532411-labs-imaging-6-3.pdf")</f>
        <v>t5/532411-labs-imaging-6-3.pdf</v>
      </c>
      <c r="E374">
        <v>119960</v>
      </c>
      <c r="F374">
        <v>532411</v>
      </c>
      <c r="G374" t="s">
        <v>9</v>
      </c>
      <c r="H374" t="s">
        <v>147</v>
      </c>
      <c r="I374" t="s">
        <v>193</v>
      </c>
    </row>
    <row r="375" spans="1:9" x14ac:dyDescent="0.2">
      <c r="A375" t="s">
        <v>300</v>
      </c>
      <c r="D375" t="str">
        <f>HYPERLINK("http://nlpdeep.cs.uic.edu:8080/proofing/gsii/532411-labs-imaging-6-3.pdf","gsii/532411-labs-imaging-6-3.pdf")</f>
        <v>gsii/532411-labs-imaging-6-3.pdf</v>
      </c>
      <c r="E375">
        <v>119960</v>
      </c>
      <c r="F375">
        <v>532411</v>
      </c>
      <c r="G375" t="s">
        <v>9</v>
      </c>
      <c r="H375" t="s">
        <v>147</v>
      </c>
      <c r="I375" t="s">
        <v>193</v>
      </c>
    </row>
    <row r="376" spans="1:9" x14ac:dyDescent="0.2">
      <c r="A376" t="s">
        <v>301</v>
      </c>
      <c r="D376" t="str">
        <f>HYPERLINK("http://nlpdeep.cs.uic.edu:8080/proofing/t5/532411-assessment-and-plan-0-0.pdf","t5/532411-assessment-and-plan-0-0.pdf")</f>
        <v>t5/532411-assessment-and-plan-0-0.pdf</v>
      </c>
      <c r="E376">
        <v>119960</v>
      </c>
      <c r="F376">
        <v>532411</v>
      </c>
      <c r="G376" t="s">
        <v>9</v>
      </c>
      <c r="H376" t="s">
        <v>195</v>
      </c>
      <c r="I376" t="s">
        <v>196</v>
      </c>
    </row>
    <row r="377" spans="1:9" x14ac:dyDescent="0.2">
      <c r="A377" t="s">
        <v>301</v>
      </c>
      <c r="D377" t="str">
        <f>HYPERLINK("http://nlpdeep.cs.uic.edu:8080/proofing/gsii/532411-assessment-and-plan-0-0.pdf","gsii/532411-assessment-and-plan-0-0.pdf")</f>
        <v>gsii/532411-assessment-and-plan-0-0.pdf</v>
      </c>
      <c r="E377">
        <v>119960</v>
      </c>
      <c r="F377">
        <v>532411</v>
      </c>
      <c r="G377" t="s">
        <v>9</v>
      </c>
      <c r="H377" t="s">
        <v>195</v>
      </c>
      <c r="I377" t="s">
        <v>196</v>
      </c>
    </row>
    <row r="378" spans="1:9" x14ac:dyDescent="0.2">
      <c r="A378" t="s">
        <v>302</v>
      </c>
      <c r="D378" t="str">
        <f>HYPERLINK("http://nlpdeep.cs.uic.edu:8080/proofing/t5/532411-communication-0-0.pdf","t5/532411-communication-0-0.pdf")</f>
        <v>t5/532411-communication-0-0.pdf</v>
      </c>
      <c r="E378">
        <v>119960</v>
      </c>
      <c r="F378">
        <v>532411</v>
      </c>
      <c r="G378" t="s">
        <v>9</v>
      </c>
      <c r="H378" t="s">
        <v>198</v>
      </c>
      <c r="I378" t="s">
        <v>199</v>
      </c>
    </row>
    <row r="379" spans="1:9" x14ac:dyDescent="0.2">
      <c r="A379" t="s">
        <v>302</v>
      </c>
      <c r="D379" t="str">
        <f>HYPERLINK("http://nlpdeep.cs.uic.edu:8080/proofing/gsii/532411-communication-0-0.pdf","gsii/532411-communication-0-0.pdf")</f>
        <v>gsii/532411-communication-0-0.pdf</v>
      </c>
      <c r="E379">
        <v>119960</v>
      </c>
      <c r="F379">
        <v>532411</v>
      </c>
      <c r="G379" t="s">
        <v>9</v>
      </c>
      <c r="H379" t="s">
        <v>198</v>
      </c>
      <c r="I379" t="s">
        <v>199</v>
      </c>
    </row>
    <row r="380" spans="1:9" x14ac:dyDescent="0.2">
      <c r="A380" t="s">
        <v>303</v>
      </c>
      <c r="D380" t="str">
        <f>HYPERLINK("http://nlpdeep.cs.uic.edu:8080/proofing/t5/532411-code-status-0-0.pdf","t5/532411-code-status-0-0.pdf")</f>
        <v>t5/532411-code-status-0-0.pdf</v>
      </c>
      <c r="E380">
        <v>119960</v>
      </c>
      <c r="F380">
        <v>532411</v>
      </c>
      <c r="G380" t="s">
        <v>9</v>
      </c>
      <c r="H380" t="s">
        <v>201</v>
      </c>
      <c r="I380" t="s">
        <v>202</v>
      </c>
    </row>
    <row r="381" spans="1:9" x14ac:dyDescent="0.2">
      <c r="A381" t="s">
        <v>303</v>
      </c>
      <c r="D381" t="str">
        <f>HYPERLINK("http://nlpdeep.cs.uic.edu:8080/proofing/gsii/532411-code-status-0-0.pdf","gsii/532411-code-status-0-0.pdf")</f>
        <v>gsii/532411-code-status-0-0.pdf</v>
      </c>
      <c r="E381">
        <v>119960</v>
      </c>
      <c r="F381">
        <v>532411</v>
      </c>
      <c r="G381" t="s">
        <v>9</v>
      </c>
      <c r="H381" t="s">
        <v>201</v>
      </c>
      <c r="I381" t="s">
        <v>202</v>
      </c>
    </row>
    <row r="382" spans="1:9" x14ac:dyDescent="0.2">
      <c r="A382" t="s">
        <v>304</v>
      </c>
      <c r="D382" t="str">
        <f>HYPERLINK("http://nlpdeep.cs.uic.edu:8080/proofing/t5/532411-disposition-0-0.pdf","t5/532411-disposition-0-0.pdf")</f>
        <v>t5/532411-disposition-0-0.pdf</v>
      </c>
      <c r="E382">
        <v>119960</v>
      </c>
      <c r="F382">
        <v>532411</v>
      </c>
      <c r="G382" t="s">
        <v>9</v>
      </c>
      <c r="H382" t="s">
        <v>204</v>
      </c>
      <c r="I382" t="s">
        <v>205</v>
      </c>
    </row>
    <row r="383" spans="1:9" x14ac:dyDescent="0.2">
      <c r="A383" t="s">
        <v>304</v>
      </c>
      <c r="D383" t="str">
        <f>HYPERLINK("http://nlpdeep.cs.uic.edu:8080/proofing/gsii/532411-disposition-0-0.pdf","gsii/532411-disposition-0-0.pdf")</f>
        <v>gsii/532411-disposition-0-0.pdf</v>
      </c>
      <c r="E383">
        <v>119960</v>
      </c>
      <c r="F383">
        <v>532411</v>
      </c>
      <c r="G383" t="s">
        <v>9</v>
      </c>
      <c r="H383" t="s">
        <v>204</v>
      </c>
      <c r="I383" t="s">
        <v>205</v>
      </c>
    </row>
    <row r="384" spans="1:9" x14ac:dyDescent="0.2">
      <c r="A384" t="s">
        <v>305</v>
      </c>
      <c r="D384" t="str">
        <f>HYPERLINK("http://nlpdeep.cs.uic.edu:8080/proofing/t5/532481-chief-complaint-0-0.pdf","t5/532481-chief-complaint-0-0.pdf")</f>
        <v>t5/532481-chief-complaint-0-0.pdf</v>
      </c>
      <c r="E384">
        <v>119960</v>
      </c>
      <c r="F384">
        <v>532481</v>
      </c>
      <c r="G384" t="s">
        <v>306</v>
      </c>
      <c r="H384" t="s">
        <v>10</v>
      </c>
      <c r="I384" t="s">
        <v>307</v>
      </c>
    </row>
    <row r="385" spans="1:9" x14ac:dyDescent="0.2">
      <c r="A385" t="s">
        <v>305</v>
      </c>
      <c r="D385" t="str">
        <f>HYPERLINK("http://nlpdeep.cs.uic.edu:8080/proofing/gsii/532481-chief-complaint-0-0.pdf","gsii/532481-chief-complaint-0-0.pdf")</f>
        <v>gsii/532481-chief-complaint-0-0.pdf</v>
      </c>
      <c r="E385">
        <v>119960</v>
      </c>
      <c r="F385">
        <v>532481</v>
      </c>
      <c r="G385" t="s">
        <v>306</v>
      </c>
      <c r="H385" t="s">
        <v>10</v>
      </c>
      <c r="I385" t="s">
        <v>307</v>
      </c>
    </row>
    <row r="386" spans="1:9" x14ac:dyDescent="0.2">
      <c r="A386" t="s">
        <v>308</v>
      </c>
      <c r="D386" t="str">
        <f>HYPERLINK("http://nlpdeep.cs.uic.edu:8080/proofing/t5/532481-chief-complaint-0-1.pdf","t5/532481-chief-complaint-0-1.pdf")</f>
        <v>t5/532481-chief-complaint-0-1.pdf</v>
      </c>
      <c r="E386">
        <v>119960</v>
      </c>
      <c r="F386">
        <v>532481</v>
      </c>
      <c r="G386" t="s">
        <v>306</v>
      </c>
      <c r="H386" t="s">
        <v>10</v>
      </c>
      <c r="I386" t="s">
        <v>309</v>
      </c>
    </row>
    <row r="387" spans="1:9" x14ac:dyDescent="0.2">
      <c r="A387" t="s">
        <v>308</v>
      </c>
      <c r="D387" t="str">
        <f>HYPERLINK("http://nlpdeep.cs.uic.edu:8080/proofing/gsii/532481-chief-complaint-0-1.pdf","gsii/532481-chief-complaint-0-1.pdf")</f>
        <v>gsii/532481-chief-complaint-0-1.pdf</v>
      </c>
      <c r="E387">
        <v>119960</v>
      </c>
      <c r="F387">
        <v>532481</v>
      </c>
      <c r="G387" t="s">
        <v>306</v>
      </c>
      <c r="H387" t="s">
        <v>10</v>
      </c>
      <c r="I387" t="s">
        <v>309</v>
      </c>
    </row>
    <row r="388" spans="1:9" x14ac:dyDescent="0.2">
      <c r="A388" t="s">
        <v>310</v>
      </c>
      <c r="D388" t="str">
        <f>HYPERLINK("http://nlpdeep.cs.uic.edu:8080/proofing/t5/532481-history-of-present-illness-0-0.pdf","t5/532481-history-of-present-illness-0-0.pdf")</f>
        <v>t5/532481-history-of-present-illness-0-0.pdf</v>
      </c>
      <c r="E388">
        <v>119960</v>
      </c>
      <c r="F388">
        <v>532481</v>
      </c>
      <c r="G388" t="s">
        <v>306</v>
      </c>
      <c r="H388" t="s">
        <v>13</v>
      </c>
      <c r="I388" t="s">
        <v>311</v>
      </c>
    </row>
    <row r="389" spans="1:9" x14ac:dyDescent="0.2">
      <c r="A389" t="s">
        <v>310</v>
      </c>
      <c r="D389" t="str">
        <f>HYPERLINK("http://nlpdeep.cs.uic.edu:8080/proofing/gsii/532481-history-of-present-illness-0-0.pdf","gsii/532481-history-of-present-illness-0-0.pdf")</f>
        <v>gsii/532481-history-of-present-illness-0-0.pdf</v>
      </c>
      <c r="E389">
        <v>119960</v>
      </c>
      <c r="F389">
        <v>532481</v>
      </c>
      <c r="G389" t="s">
        <v>306</v>
      </c>
      <c r="H389" t="s">
        <v>13</v>
      </c>
      <c r="I389" t="s">
        <v>311</v>
      </c>
    </row>
    <row r="390" spans="1:9" x14ac:dyDescent="0.2">
      <c r="A390" t="s">
        <v>312</v>
      </c>
      <c r="D390" t="str">
        <f>HYPERLINK("http://nlpdeep.cs.uic.edu:8080/proofing/t5/532481-history-of-present-illness-0-1.pdf","t5/532481-history-of-present-illness-0-1.pdf")</f>
        <v>t5/532481-history-of-present-illness-0-1.pdf</v>
      </c>
      <c r="E390">
        <v>119960</v>
      </c>
      <c r="F390">
        <v>532481</v>
      </c>
      <c r="G390" t="s">
        <v>306</v>
      </c>
      <c r="H390" t="s">
        <v>13</v>
      </c>
      <c r="I390" t="s">
        <v>313</v>
      </c>
    </row>
    <row r="391" spans="1:9" x14ac:dyDescent="0.2">
      <c r="A391" t="s">
        <v>312</v>
      </c>
      <c r="D391" t="str">
        <f>HYPERLINK("http://nlpdeep.cs.uic.edu:8080/proofing/gsii/532481-history-of-present-illness-0-1.pdf","gsii/532481-history-of-present-illness-0-1.pdf")</f>
        <v>gsii/532481-history-of-present-illness-0-1.pdf</v>
      </c>
      <c r="E391">
        <v>119960</v>
      </c>
      <c r="F391">
        <v>532481</v>
      </c>
      <c r="G391" t="s">
        <v>306</v>
      </c>
      <c r="H391" t="s">
        <v>13</v>
      </c>
      <c r="I391" t="s">
        <v>313</v>
      </c>
    </row>
    <row r="392" spans="1:9" x14ac:dyDescent="0.2">
      <c r="A392" t="s">
        <v>314</v>
      </c>
      <c r="D392" t="str">
        <f>HYPERLINK("http://nlpdeep.cs.uic.edu:8080/proofing/t5/532481-history-of-present-illness-0-2.pdf","t5/532481-history-of-present-illness-0-2.pdf")</f>
        <v>t5/532481-history-of-present-illness-0-2.pdf</v>
      </c>
      <c r="E392">
        <v>119960</v>
      </c>
      <c r="F392">
        <v>532481</v>
      </c>
      <c r="G392" t="s">
        <v>306</v>
      </c>
      <c r="H392" t="s">
        <v>13</v>
      </c>
      <c r="I392" t="s">
        <v>315</v>
      </c>
    </row>
    <row r="393" spans="1:9" x14ac:dyDescent="0.2">
      <c r="A393" t="s">
        <v>314</v>
      </c>
      <c r="D393" t="str">
        <f>HYPERLINK("http://nlpdeep.cs.uic.edu:8080/proofing/gsii/532481-history-of-present-illness-0-2.pdf","gsii/532481-history-of-present-illness-0-2.pdf")</f>
        <v>gsii/532481-history-of-present-illness-0-2.pdf</v>
      </c>
      <c r="E393">
        <v>119960</v>
      </c>
      <c r="F393">
        <v>532481</v>
      </c>
      <c r="G393" t="s">
        <v>306</v>
      </c>
      <c r="H393" t="s">
        <v>13</v>
      </c>
      <c r="I393" t="s">
        <v>315</v>
      </c>
    </row>
    <row r="394" spans="1:9" x14ac:dyDescent="0.2">
      <c r="A394" t="s">
        <v>316</v>
      </c>
      <c r="D394" t="str">
        <f>HYPERLINK("http://nlpdeep.cs.uic.edu:8080/proofing/t5/532481-history-of-present-illness-0-3.pdf","t5/532481-history-of-present-illness-0-3.pdf")</f>
        <v>t5/532481-history-of-present-illness-0-3.pdf</v>
      </c>
      <c r="E394">
        <v>119960</v>
      </c>
      <c r="F394">
        <v>532481</v>
      </c>
      <c r="G394" t="s">
        <v>306</v>
      </c>
      <c r="H394" t="s">
        <v>13</v>
      </c>
      <c r="I394" t="s">
        <v>317</v>
      </c>
    </row>
    <row r="395" spans="1:9" x14ac:dyDescent="0.2">
      <c r="A395" t="s">
        <v>316</v>
      </c>
      <c r="D395" t="str">
        <f>HYPERLINK("http://nlpdeep.cs.uic.edu:8080/proofing/gsii/532481-history-of-present-illness-0-3.pdf","gsii/532481-history-of-present-illness-0-3.pdf")</f>
        <v>gsii/532481-history-of-present-illness-0-3.pdf</v>
      </c>
      <c r="E395">
        <v>119960</v>
      </c>
      <c r="F395">
        <v>532481</v>
      </c>
      <c r="G395" t="s">
        <v>306</v>
      </c>
      <c r="H395" t="s">
        <v>13</v>
      </c>
      <c r="I395" t="s">
        <v>317</v>
      </c>
    </row>
    <row r="396" spans="1:9" x14ac:dyDescent="0.2">
      <c r="A396" t="s">
        <v>318</v>
      </c>
      <c r="D396" t="str">
        <f>HYPERLINK("http://nlpdeep.cs.uic.edu:8080/proofing/t5/532481-history-of-present-illness-0-4.pdf","t5/532481-history-of-present-illness-0-4.pdf")</f>
        <v>t5/532481-history-of-present-illness-0-4.pdf</v>
      </c>
      <c r="E396">
        <v>119960</v>
      </c>
      <c r="F396">
        <v>532481</v>
      </c>
      <c r="G396" t="s">
        <v>306</v>
      </c>
      <c r="H396" t="s">
        <v>13</v>
      </c>
      <c r="I396" t="s">
        <v>319</v>
      </c>
    </row>
    <row r="397" spans="1:9" x14ac:dyDescent="0.2">
      <c r="A397" t="s">
        <v>318</v>
      </c>
      <c r="D397" t="str">
        <f>HYPERLINK("http://nlpdeep.cs.uic.edu:8080/proofing/gsii/532481-history-of-present-illness-0-4.pdf","gsii/532481-history-of-present-illness-0-4.pdf")</f>
        <v>gsii/532481-history-of-present-illness-0-4.pdf</v>
      </c>
      <c r="E397">
        <v>119960</v>
      </c>
      <c r="F397">
        <v>532481</v>
      </c>
      <c r="G397" t="s">
        <v>306</v>
      </c>
      <c r="H397" t="s">
        <v>13</v>
      </c>
      <c r="I397" t="s">
        <v>319</v>
      </c>
    </row>
    <row r="398" spans="1:9" x14ac:dyDescent="0.2">
      <c r="A398" t="s">
        <v>320</v>
      </c>
      <c r="D398" t="str">
        <f>HYPERLINK("http://nlpdeep.cs.uic.edu:8080/proofing/t5/532481-history-of-present-illness-0-5.pdf","t5/532481-history-of-present-illness-0-5.pdf")</f>
        <v>t5/532481-history-of-present-illness-0-5.pdf</v>
      </c>
      <c r="E398">
        <v>119960</v>
      </c>
      <c r="F398">
        <v>532481</v>
      </c>
      <c r="G398" t="s">
        <v>306</v>
      </c>
      <c r="H398" t="s">
        <v>13</v>
      </c>
      <c r="I398" t="s">
        <v>321</v>
      </c>
    </row>
    <row r="399" spans="1:9" x14ac:dyDescent="0.2">
      <c r="A399" t="s">
        <v>320</v>
      </c>
      <c r="D399" t="str">
        <f>HYPERLINK("http://nlpdeep.cs.uic.edu:8080/proofing/gsii/532481-history-of-present-illness-0-5.pdf","gsii/532481-history-of-present-illness-0-5.pdf")</f>
        <v>gsii/532481-history-of-present-illness-0-5.pdf</v>
      </c>
      <c r="E399">
        <v>119960</v>
      </c>
      <c r="F399">
        <v>532481</v>
      </c>
      <c r="G399" t="s">
        <v>306</v>
      </c>
      <c r="H399" t="s">
        <v>13</v>
      </c>
      <c r="I399" t="s">
        <v>321</v>
      </c>
    </row>
    <row r="400" spans="1:9" x14ac:dyDescent="0.2">
      <c r="A400" t="s">
        <v>322</v>
      </c>
      <c r="D400" t="str">
        <f>HYPERLINK("http://nlpdeep.cs.uic.edu:8080/proofing/t5/532481-history-of-present-illness-0-6.pdf","t5/532481-history-of-present-illness-0-6.pdf")</f>
        <v>t5/532481-history-of-present-illness-0-6.pdf</v>
      </c>
      <c r="E400">
        <v>119960</v>
      </c>
      <c r="F400">
        <v>532481</v>
      </c>
      <c r="G400" t="s">
        <v>306</v>
      </c>
      <c r="H400" t="s">
        <v>13</v>
      </c>
      <c r="I400" t="s">
        <v>323</v>
      </c>
    </row>
    <row r="401" spans="1:9" x14ac:dyDescent="0.2">
      <c r="A401" t="s">
        <v>322</v>
      </c>
      <c r="D401" t="str">
        <f>HYPERLINK("http://nlpdeep.cs.uic.edu:8080/proofing/gsii/532481-history-of-present-illness-0-6.pdf","gsii/532481-history-of-present-illness-0-6.pdf")</f>
        <v>gsii/532481-history-of-present-illness-0-6.pdf</v>
      </c>
      <c r="E401">
        <v>119960</v>
      </c>
      <c r="F401">
        <v>532481</v>
      </c>
      <c r="G401" t="s">
        <v>306</v>
      </c>
      <c r="H401" t="s">
        <v>13</v>
      </c>
      <c r="I401" t="s">
        <v>323</v>
      </c>
    </row>
    <row r="402" spans="1:9" x14ac:dyDescent="0.2">
      <c r="A402" t="s">
        <v>324</v>
      </c>
      <c r="D402" t="str">
        <f>HYPERLINK("http://nlpdeep.cs.uic.edu:8080/proofing/t5/532481-history-of-present-illness-0-7.pdf","t5/532481-history-of-present-illness-0-7.pdf")</f>
        <v>t5/532481-history-of-present-illness-0-7.pdf</v>
      </c>
      <c r="E402">
        <v>119960</v>
      </c>
      <c r="F402">
        <v>532481</v>
      </c>
      <c r="G402" t="s">
        <v>306</v>
      </c>
      <c r="H402" t="s">
        <v>13</v>
      </c>
      <c r="I402" t="s">
        <v>325</v>
      </c>
    </row>
    <row r="403" spans="1:9" x14ac:dyDescent="0.2">
      <c r="A403" t="s">
        <v>324</v>
      </c>
      <c r="D403" t="str">
        <f>HYPERLINK("http://nlpdeep.cs.uic.edu:8080/proofing/gsii/532481-history-of-present-illness-0-7.pdf","gsii/532481-history-of-present-illness-0-7.pdf")</f>
        <v>gsii/532481-history-of-present-illness-0-7.pdf</v>
      </c>
      <c r="E403">
        <v>119960</v>
      </c>
      <c r="F403">
        <v>532481</v>
      </c>
      <c r="G403" t="s">
        <v>306</v>
      </c>
      <c r="H403" t="s">
        <v>13</v>
      </c>
      <c r="I403" t="s">
        <v>325</v>
      </c>
    </row>
    <row r="404" spans="1:9" x14ac:dyDescent="0.2">
      <c r="A404" t="s">
        <v>326</v>
      </c>
      <c r="D404" t="str">
        <f>HYPERLINK("http://nlpdeep.cs.uic.edu:8080/proofing/t5/532481-history-of-present-illness-0-8.pdf","t5/532481-history-of-present-illness-0-8.pdf")</f>
        <v>t5/532481-history-of-present-illness-0-8.pdf</v>
      </c>
      <c r="E404">
        <v>119960</v>
      </c>
      <c r="F404">
        <v>532481</v>
      </c>
      <c r="G404" t="s">
        <v>306</v>
      </c>
      <c r="H404" t="s">
        <v>13</v>
      </c>
      <c r="I404" t="s">
        <v>327</v>
      </c>
    </row>
    <row r="405" spans="1:9" x14ac:dyDescent="0.2">
      <c r="A405" t="s">
        <v>326</v>
      </c>
      <c r="D405" t="str">
        <f>HYPERLINK("http://nlpdeep.cs.uic.edu:8080/proofing/gsii/532481-history-of-present-illness-0-8.pdf","gsii/532481-history-of-present-illness-0-8.pdf")</f>
        <v>gsii/532481-history-of-present-illness-0-8.pdf</v>
      </c>
      <c r="E405">
        <v>119960</v>
      </c>
      <c r="F405">
        <v>532481</v>
      </c>
      <c r="G405" t="s">
        <v>306</v>
      </c>
      <c r="H405" t="s">
        <v>13</v>
      </c>
      <c r="I405" t="s">
        <v>327</v>
      </c>
    </row>
    <row r="406" spans="1:9" x14ac:dyDescent="0.2">
      <c r="A406" t="s">
        <v>328</v>
      </c>
      <c r="D406" t="str">
        <f>HYPERLINK("http://nlpdeep.cs.uic.edu:8080/proofing/t5/532481-past-medical-history-0-0.pdf","t5/532481-past-medical-history-0-0.pdf")</f>
        <v>t5/532481-past-medical-history-0-0.pdf</v>
      </c>
      <c r="E406">
        <v>119960</v>
      </c>
      <c r="F406">
        <v>532481</v>
      </c>
      <c r="G406" t="s">
        <v>306</v>
      </c>
      <c r="H406" t="s">
        <v>76</v>
      </c>
      <c r="I406" t="s">
        <v>329</v>
      </c>
    </row>
    <row r="407" spans="1:9" x14ac:dyDescent="0.2">
      <c r="A407" t="s">
        <v>328</v>
      </c>
      <c r="D407" t="str">
        <f>HYPERLINK("http://nlpdeep.cs.uic.edu:8080/proofing/gsii/532481-past-medical-history-0-0.pdf","gsii/532481-past-medical-history-0-0.pdf")</f>
        <v>gsii/532481-past-medical-history-0-0.pdf</v>
      </c>
      <c r="E407">
        <v>119960</v>
      </c>
      <c r="F407">
        <v>532481</v>
      </c>
      <c r="G407" t="s">
        <v>306</v>
      </c>
      <c r="H407" t="s">
        <v>76</v>
      </c>
      <c r="I407" t="s">
        <v>329</v>
      </c>
    </row>
    <row r="408" spans="1:9" x14ac:dyDescent="0.2">
      <c r="A408" t="s">
        <v>330</v>
      </c>
      <c r="D408" t="str">
        <f>HYPERLINK("http://nlpdeep.cs.uic.edu:8080/proofing/t5/532481-past-medical-history-0-1.pdf","t5/532481-past-medical-history-0-1.pdf")</f>
        <v>t5/532481-past-medical-history-0-1.pdf</v>
      </c>
      <c r="E408">
        <v>119960</v>
      </c>
      <c r="F408">
        <v>532481</v>
      </c>
      <c r="G408" t="s">
        <v>306</v>
      </c>
      <c r="H408" t="s">
        <v>76</v>
      </c>
      <c r="I408" t="s">
        <v>79</v>
      </c>
    </row>
    <row r="409" spans="1:9" x14ac:dyDescent="0.2">
      <c r="A409" t="s">
        <v>330</v>
      </c>
      <c r="D409" t="str">
        <f>HYPERLINK("http://nlpdeep.cs.uic.edu:8080/proofing/gsii/532481-past-medical-history-0-1.pdf","gsii/532481-past-medical-history-0-1.pdf")</f>
        <v>gsii/532481-past-medical-history-0-1.pdf</v>
      </c>
      <c r="E409">
        <v>119960</v>
      </c>
      <c r="F409">
        <v>532481</v>
      </c>
      <c r="G409" t="s">
        <v>306</v>
      </c>
      <c r="H409" t="s">
        <v>76</v>
      </c>
      <c r="I409" t="s">
        <v>79</v>
      </c>
    </row>
    <row r="410" spans="1:9" x14ac:dyDescent="0.2">
      <c r="A410" t="s">
        <v>331</v>
      </c>
      <c r="D410" t="str">
        <f>HYPERLINK("http://nlpdeep.cs.uic.edu:8080/proofing/t5/532481-past-medical-history-0-2.pdf","t5/532481-past-medical-history-0-2.pdf")</f>
        <v>t5/532481-past-medical-history-0-2.pdf</v>
      </c>
      <c r="E410">
        <v>119960</v>
      </c>
      <c r="F410">
        <v>532481</v>
      </c>
      <c r="G410" t="s">
        <v>306</v>
      </c>
      <c r="H410" t="s">
        <v>76</v>
      </c>
      <c r="I410" t="s">
        <v>332</v>
      </c>
    </row>
    <row r="411" spans="1:9" x14ac:dyDescent="0.2">
      <c r="A411" t="s">
        <v>331</v>
      </c>
      <c r="D411" t="str">
        <f>HYPERLINK("http://nlpdeep.cs.uic.edu:8080/proofing/gsii/532481-past-medical-history-0-2.pdf","gsii/532481-past-medical-history-0-2.pdf")</f>
        <v>gsii/532481-past-medical-history-0-2.pdf</v>
      </c>
      <c r="E411">
        <v>119960</v>
      </c>
      <c r="F411">
        <v>532481</v>
      </c>
      <c r="G411" t="s">
        <v>306</v>
      </c>
      <c r="H411" t="s">
        <v>76</v>
      </c>
      <c r="I411" t="s">
        <v>332</v>
      </c>
    </row>
    <row r="412" spans="1:9" x14ac:dyDescent="0.2">
      <c r="A412" t="s">
        <v>333</v>
      </c>
      <c r="D412" t="str">
        <f>HYPERLINK("http://nlpdeep.cs.uic.edu:8080/proofing/t5/532481-past-medical-history-0-3.pdf","t5/532481-past-medical-history-0-3.pdf")</f>
        <v>t5/532481-past-medical-history-0-3.pdf</v>
      </c>
      <c r="E412">
        <v>119960</v>
      </c>
      <c r="F412">
        <v>532481</v>
      </c>
      <c r="G412" t="s">
        <v>306</v>
      </c>
      <c r="H412" t="s">
        <v>76</v>
      </c>
      <c r="I412" t="s">
        <v>334</v>
      </c>
    </row>
    <row r="413" spans="1:9" x14ac:dyDescent="0.2">
      <c r="A413" t="s">
        <v>333</v>
      </c>
      <c r="D413" t="str">
        <f>HYPERLINK("http://nlpdeep.cs.uic.edu:8080/proofing/gsii/532481-past-medical-history-0-3.pdf","gsii/532481-past-medical-history-0-3.pdf")</f>
        <v>gsii/532481-past-medical-history-0-3.pdf</v>
      </c>
      <c r="E413">
        <v>119960</v>
      </c>
      <c r="F413">
        <v>532481</v>
      </c>
      <c r="G413" t="s">
        <v>306</v>
      </c>
      <c r="H413" t="s">
        <v>76</v>
      </c>
      <c r="I413" t="s">
        <v>334</v>
      </c>
    </row>
    <row r="414" spans="1:9" x14ac:dyDescent="0.2">
      <c r="A414" t="s">
        <v>335</v>
      </c>
      <c r="D414" t="str">
        <f>HYPERLINK("http://nlpdeep.cs.uic.edu:8080/proofing/t5/532481-medication-history-0-0.pdf","t5/532481-medication-history-0-0.pdf")</f>
        <v>t5/532481-medication-history-0-0.pdf</v>
      </c>
      <c r="E414">
        <v>119960</v>
      </c>
      <c r="F414">
        <v>532481</v>
      </c>
      <c r="G414" t="s">
        <v>306</v>
      </c>
      <c r="H414" t="s">
        <v>336</v>
      </c>
      <c r="I414" t="s">
        <v>337</v>
      </c>
    </row>
    <row r="415" spans="1:9" x14ac:dyDescent="0.2">
      <c r="A415" t="s">
        <v>335</v>
      </c>
      <c r="D415" t="str">
        <f>HYPERLINK("http://nlpdeep.cs.uic.edu:8080/proofing/gsii/532481-medication-history-0-0.pdf","gsii/532481-medication-history-0-0.pdf")</f>
        <v>gsii/532481-medication-history-0-0.pdf</v>
      </c>
      <c r="E415">
        <v>119960</v>
      </c>
      <c r="F415">
        <v>532481</v>
      </c>
      <c r="G415" t="s">
        <v>306</v>
      </c>
      <c r="H415" t="s">
        <v>336</v>
      </c>
      <c r="I415" t="s">
        <v>337</v>
      </c>
    </row>
    <row r="416" spans="1:9" x14ac:dyDescent="0.2">
      <c r="A416" t="s">
        <v>338</v>
      </c>
      <c r="D416" t="str">
        <f>HYPERLINK("http://nlpdeep.cs.uic.edu:8080/proofing/t5/532481-medication-history-0-1.pdf","t5/532481-medication-history-0-1.pdf")</f>
        <v>t5/532481-medication-history-0-1.pdf</v>
      </c>
      <c r="E416">
        <v>119960</v>
      </c>
      <c r="F416">
        <v>532481</v>
      </c>
      <c r="G416" t="s">
        <v>306</v>
      </c>
      <c r="H416" t="s">
        <v>336</v>
      </c>
      <c r="I416" t="s">
        <v>339</v>
      </c>
    </row>
    <row r="417" spans="1:9" x14ac:dyDescent="0.2">
      <c r="A417" t="s">
        <v>338</v>
      </c>
      <c r="D417" t="str">
        <f>HYPERLINK("http://nlpdeep.cs.uic.edu:8080/proofing/gsii/532481-medication-history-0-1.pdf","gsii/532481-medication-history-0-1.pdf")</f>
        <v>gsii/532481-medication-history-0-1.pdf</v>
      </c>
      <c r="E417">
        <v>119960</v>
      </c>
      <c r="F417">
        <v>532481</v>
      </c>
      <c r="G417" t="s">
        <v>306</v>
      </c>
      <c r="H417" t="s">
        <v>336</v>
      </c>
      <c r="I417" t="s">
        <v>339</v>
      </c>
    </row>
    <row r="418" spans="1:9" x14ac:dyDescent="0.2">
      <c r="A418" t="s">
        <v>340</v>
      </c>
      <c r="D418" t="str">
        <f>HYPERLINK("http://nlpdeep.cs.uic.edu:8080/proofing/t5/532481-medication-history-0-2.pdf","t5/532481-medication-history-0-2.pdf")</f>
        <v>t5/532481-medication-history-0-2.pdf</v>
      </c>
      <c r="E418">
        <v>119960</v>
      </c>
      <c r="F418">
        <v>532481</v>
      </c>
      <c r="G418" t="s">
        <v>306</v>
      </c>
      <c r="H418" t="s">
        <v>336</v>
      </c>
      <c r="I418" t="s">
        <v>341</v>
      </c>
    </row>
    <row r="419" spans="1:9" x14ac:dyDescent="0.2">
      <c r="A419" t="s">
        <v>340</v>
      </c>
      <c r="D419" t="str">
        <f>HYPERLINK("http://nlpdeep.cs.uic.edu:8080/proofing/gsii/532481-medication-history-0-2.pdf","gsii/532481-medication-history-0-2.pdf")</f>
        <v>gsii/532481-medication-history-0-2.pdf</v>
      </c>
      <c r="E419">
        <v>119960</v>
      </c>
      <c r="F419">
        <v>532481</v>
      </c>
      <c r="G419" t="s">
        <v>306</v>
      </c>
      <c r="H419" t="s">
        <v>336</v>
      </c>
      <c r="I419" t="s">
        <v>341</v>
      </c>
    </row>
    <row r="420" spans="1:9" x14ac:dyDescent="0.2">
      <c r="A420" t="s">
        <v>342</v>
      </c>
      <c r="D420" t="str">
        <f>HYPERLINK("http://nlpdeep.cs.uic.edu:8080/proofing/t5/532481-medication-history-0-3.pdf","t5/532481-medication-history-0-3.pdf")</f>
        <v>t5/532481-medication-history-0-3.pdf</v>
      </c>
      <c r="E420">
        <v>119960</v>
      </c>
      <c r="F420">
        <v>532481</v>
      </c>
      <c r="G420" t="s">
        <v>306</v>
      </c>
      <c r="H420" t="s">
        <v>336</v>
      </c>
      <c r="I420" t="s">
        <v>343</v>
      </c>
    </row>
    <row r="421" spans="1:9" x14ac:dyDescent="0.2">
      <c r="A421" t="s">
        <v>342</v>
      </c>
      <c r="D421" t="str">
        <f>HYPERLINK("http://nlpdeep.cs.uic.edu:8080/proofing/gsii/532481-medication-history-0-3.pdf","gsii/532481-medication-history-0-3.pdf")</f>
        <v>gsii/532481-medication-history-0-3.pdf</v>
      </c>
      <c r="E421">
        <v>119960</v>
      </c>
      <c r="F421">
        <v>532481</v>
      </c>
      <c r="G421" t="s">
        <v>306</v>
      </c>
      <c r="H421" t="s">
        <v>336</v>
      </c>
      <c r="I421" t="s">
        <v>343</v>
      </c>
    </row>
    <row r="422" spans="1:9" x14ac:dyDescent="0.2">
      <c r="A422" t="s">
        <v>344</v>
      </c>
      <c r="D422" t="str">
        <f>HYPERLINK("http://nlpdeep.cs.uic.edu:8080/proofing/t5/532481-medication-history-0-4.pdf","t5/532481-medication-history-0-4.pdf")</f>
        <v>t5/532481-medication-history-0-4.pdf</v>
      </c>
      <c r="E422">
        <v>119960</v>
      </c>
      <c r="F422">
        <v>532481</v>
      </c>
      <c r="G422" t="s">
        <v>306</v>
      </c>
      <c r="H422" t="s">
        <v>336</v>
      </c>
      <c r="I422" t="s">
        <v>345</v>
      </c>
    </row>
    <row r="423" spans="1:9" x14ac:dyDescent="0.2">
      <c r="A423" t="s">
        <v>344</v>
      </c>
      <c r="D423" t="str">
        <f>HYPERLINK("http://nlpdeep.cs.uic.edu:8080/proofing/gsii/532481-medication-history-0-4.pdf","gsii/532481-medication-history-0-4.pdf")</f>
        <v>gsii/532481-medication-history-0-4.pdf</v>
      </c>
      <c r="E423">
        <v>119960</v>
      </c>
      <c r="F423">
        <v>532481</v>
      </c>
      <c r="G423" t="s">
        <v>306</v>
      </c>
      <c r="H423" t="s">
        <v>336</v>
      </c>
      <c r="I423" t="s">
        <v>345</v>
      </c>
    </row>
    <row r="424" spans="1:9" x14ac:dyDescent="0.2">
      <c r="A424" t="s">
        <v>346</v>
      </c>
      <c r="D424" t="str">
        <f>HYPERLINK("http://nlpdeep.cs.uic.edu:8080/proofing/t5/532481-medication-history-0-5.pdf","t5/532481-medication-history-0-5.pdf")</f>
        <v>t5/532481-medication-history-0-5.pdf</v>
      </c>
      <c r="E424">
        <v>119960</v>
      </c>
      <c r="F424">
        <v>532481</v>
      </c>
      <c r="G424" t="s">
        <v>306</v>
      </c>
      <c r="H424" t="s">
        <v>336</v>
      </c>
      <c r="I424" t="s">
        <v>347</v>
      </c>
    </row>
    <row r="425" spans="1:9" x14ac:dyDescent="0.2">
      <c r="A425" t="s">
        <v>346</v>
      </c>
      <c r="D425" t="str">
        <f>HYPERLINK("http://nlpdeep.cs.uic.edu:8080/proofing/gsii/532481-medication-history-0-5.pdf","gsii/532481-medication-history-0-5.pdf")</f>
        <v>gsii/532481-medication-history-0-5.pdf</v>
      </c>
      <c r="E425">
        <v>119960</v>
      </c>
      <c r="F425">
        <v>532481</v>
      </c>
      <c r="G425" t="s">
        <v>306</v>
      </c>
      <c r="H425" t="s">
        <v>336</v>
      </c>
      <c r="I425" t="s">
        <v>347</v>
      </c>
    </row>
    <row r="426" spans="1:9" x14ac:dyDescent="0.2">
      <c r="A426" t="s">
        <v>348</v>
      </c>
      <c r="D426" t="str">
        <f>HYPERLINK("http://nlpdeep.cs.uic.edu:8080/proofing/t5/532481-medication-history-0-6.pdf","t5/532481-medication-history-0-6.pdf")</f>
        <v>t5/532481-medication-history-0-6.pdf</v>
      </c>
      <c r="E426">
        <v>119960</v>
      </c>
      <c r="F426">
        <v>532481</v>
      </c>
      <c r="G426" t="s">
        <v>306</v>
      </c>
      <c r="H426" t="s">
        <v>336</v>
      </c>
      <c r="I426" t="s">
        <v>349</v>
      </c>
    </row>
    <row r="427" spans="1:9" x14ac:dyDescent="0.2">
      <c r="A427" t="s">
        <v>348</v>
      </c>
      <c r="D427" t="str">
        <f>HYPERLINK("http://nlpdeep.cs.uic.edu:8080/proofing/gsii/532481-medication-history-0-6.pdf","gsii/532481-medication-history-0-6.pdf")</f>
        <v>gsii/532481-medication-history-0-6.pdf</v>
      </c>
      <c r="E427">
        <v>119960</v>
      </c>
      <c r="F427">
        <v>532481</v>
      </c>
      <c r="G427" t="s">
        <v>306</v>
      </c>
      <c r="H427" t="s">
        <v>336</v>
      </c>
      <c r="I427" t="s">
        <v>349</v>
      </c>
    </row>
    <row r="428" spans="1:9" x14ac:dyDescent="0.2">
      <c r="A428" t="s">
        <v>350</v>
      </c>
      <c r="D428" t="str">
        <f>HYPERLINK("http://nlpdeep.cs.uic.edu:8080/proofing/t5/532481-medication-history-0-7.pdf","t5/532481-medication-history-0-7.pdf")</f>
        <v>t5/532481-medication-history-0-7.pdf</v>
      </c>
      <c r="E428">
        <v>119960</v>
      </c>
      <c r="F428">
        <v>532481</v>
      </c>
      <c r="G428" t="s">
        <v>306</v>
      </c>
      <c r="H428" t="s">
        <v>336</v>
      </c>
      <c r="I428" t="s">
        <v>351</v>
      </c>
    </row>
    <row r="429" spans="1:9" x14ac:dyDescent="0.2">
      <c r="A429" t="s">
        <v>350</v>
      </c>
      <c r="D429" t="str">
        <f>HYPERLINK("http://nlpdeep.cs.uic.edu:8080/proofing/gsii/532481-medication-history-0-7.pdf","gsii/532481-medication-history-0-7.pdf")</f>
        <v>gsii/532481-medication-history-0-7.pdf</v>
      </c>
      <c r="E429">
        <v>119960</v>
      </c>
      <c r="F429">
        <v>532481</v>
      </c>
      <c r="G429" t="s">
        <v>306</v>
      </c>
      <c r="H429" t="s">
        <v>336</v>
      </c>
      <c r="I429" t="s">
        <v>351</v>
      </c>
    </row>
    <row r="430" spans="1:9" x14ac:dyDescent="0.2">
      <c r="A430" t="s">
        <v>352</v>
      </c>
      <c r="D430" t="str">
        <f>HYPERLINK("http://nlpdeep.cs.uic.edu:8080/proofing/t5/532481-medication-history-0-8.pdf","t5/532481-medication-history-0-8.pdf")</f>
        <v>t5/532481-medication-history-0-8.pdf</v>
      </c>
      <c r="E430">
        <v>119960</v>
      </c>
      <c r="F430">
        <v>532481</v>
      </c>
      <c r="G430" t="s">
        <v>306</v>
      </c>
      <c r="H430" t="s">
        <v>336</v>
      </c>
      <c r="I430" t="s">
        <v>353</v>
      </c>
    </row>
    <row r="431" spans="1:9" x14ac:dyDescent="0.2">
      <c r="A431" t="s">
        <v>352</v>
      </c>
      <c r="D431" t="str">
        <f>HYPERLINK("http://nlpdeep.cs.uic.edu:8080/proofing/gsii/532481-medication-history-0-8.pdf","gsii/532481-medication-history-0-8.pdf")</f>
        <v>gsii/532481-medication-history-0-8.pdf</v>
      </c>
      <c r="E431">
        <v>119960</v>
      </c>
      <c r="F431">
        <v>532481</v>
      </c>
      <c r="G431" t="s">
        <v>306</v>
      </c>
      <c r="H431" t="s">
        <v>336</v>
      </c>
      <c r="I431" t="s">
        <v>353</v>
      </c>
    </row>
    <row r="432" spans="1:9" x14ac:dyDescent="0.2">
      <c r="A432" t="s">
        <v>354</v>
      </c>
      <c r="D432" t="str">
        <f>HYPERLINK("http://nlpdeep.cs.uic.edu:8080/proofing/t5/532481-medication-history-0-9.pdf","t5/532481-medication-history-0-9.pdf")</f>
        <v>t5/532481-medication-history-0-9.pdf</v>
      </c>
      <c r="E432">
        <v>119960</v>
      </c>
      <c r="F432">
        <v>532481</v>
      </c>
      <c r="G432" t="s">
        <v>306</v>
      </c>
      <c r="H432" t="s">
        <v>336</v>
      </c>
      <c r="I432" t="s">
        <v>355</v>
      </c>
    </row>
    <row r="433" spans="1:9" x14ac:dyDescent="0.2">
      <c r="A433" t="s">
        <v>354</v>
      </c>
      <c r="D433" t="str">
        <f>HYPERLINK("http://nlpdeep.cs.uic.edu:8080/proofing/gsii/532481-medication-history-0-9.pdf","gsii/532481-medication-history-0-9.pdf")</f>
        <v>gsii/532481-medication-history-0-9.pdf</v>
      </c>
      <c r="E433">
        <v>119960</v>
      </c>
      <c r="F433">
        <v>532481</v>
      </c>
      <c r="G433" t="s">
        <v>306</v>
      </c>
      <c r="H433" t="s">
        <v>336</v>
      </c>
      <c r="I433" t="s">
        <v>355</v>
      </c>
    </row>
    <row r="434" spans="1:9" x14ac:dyDescent="0.2">
      <c r="A434" t="s">
        <v>356</v>
      </c>
      <c r="D434" t="str">
        <f>HYPERLINK("http://nlpdeep.cs.uic.edu:8080/proofing/t5/532481-medication-history-0-10.pdf","t5/532481-medication-history-0-10.pdf")</f>
        <v>t5/532481-medication-history-0-10.pdf</v>
      </c>
      <c r="E434">
        <v>119960</v>
      </c>
      <c r="F434">
        <v>532481</v>
      </c>
      <c r="G434" t="s">
        <v>306</v>
      </c>
      <c r="H434" t="s">
        <v>336</v>
      </c>
      <c r="I434" t="s">
        <v>357</v>
      </c>
    </row>
    <row r="435" spans="1:9" x14ac:dyDescent="0.2">
      <c r="A435" t="s">
        <v>356</v>
      </c>
      <c r="D435" t="str">
        <f>HYPERLINK("http://nlpdeep.cs.uic.edu:8080/proofing/gsii/532481-medication-history-0-10.pdf","gsii/532481-medication-history-0-10.pdf")</f>
        <v>gsii/532481-medication-history-0-10.pdf</v>
      </c>
      <c r="E435">
        <v>119960</v>
      </c>
      <c r="F435">
        <v>532481</v>
      </c>
      <c r="G435" t="s">
        <v>306</v>
      </c>
      <c r="H435" t="s">
        <v>336</v>
      </c>
      <c r="I435" t="s">
        <v>357</v>
      </c>
    </row>
    <row r="436" spans="1:9" x14ac:dyDescent="0.2">
      <c r="A436" t="s">
        <v>358</v>
      </c>
      <c r="D436" t="str">
        <f>HYPERLINK("http://nlpdeep.cs.uic.edu:8080/proofing/t5/532481-medication-history-0-11.pdf","t5/532481-medication-history-0-11.pdf")</f>
        <v>t5/532481-medication-history-0-11.pdf</v>
      </c>
      <c r="E436">
        <v>119960</v>
      </c>
      <c r="F436">
        <v>532481</v>
      </c>
      <c r="G436" t="s">
        <v>306</v>
      </c>
      <c r="H436" t="s">
        <v>336</v>
      </c>
      <c r="I436" t="s">
        <v>359</v>
      </c>
    </row>
    <row r="437" spans="1:9" x14ac:dyDescent="0.2">
      <c r="A437" t="s">
        <v>358</v>
      </c>
      <c r="D437" t="str">
        <f>HYPERLINK("http://nlpdeep.cs.uic.edu:8080/proofing/gsii/532481-medication-history-0-11.pdf","gsii/532481-medication-history-0-11.pdf")</f>
        <v>gsii/532481-medication-history-0-11.pdf</v>
      </c>
      <c r="E437">
        <v>119960</v>
      </c>
      <c r="F437">
        <v>532481</v>
      </c>
      <c r="G437" t="s">
        <v>306</v>
      </c>
      <c r="H437" t="s">
        <v>336</v>
      </c>
      <c r="I437" t="s">
        <v>359</v>
      </c>
    </row>
    <row r="438" spans="1:9" x14ac:dyDescent="0.2">
      <c r="A438" t="s">
        <v>360</v>
      </c>
      <c r="D438" t="str">
        <f>HYPERLINK("http://nlpdeep.cs.uic.edu:8080/proofing/t5/532481-medication-history-0-12.pdf","t5/532481-medication-history-0-12.pdf")</f>
        <v>t5/532481-medication-history-0-12.pdf</v>
      </c>
      <c r="E438">
        <v>119960</v>
      </c>
      <c r="F438">
        <v>532481</v>
      </c>
      <c r="G438" t="s">
        <v>306</v>
      </c>
      <c r="H438" t="s">
        <v>336</v>
      </c>
      <c r="I438" t="s">
        <v>361</v>
      </c>
    </row>
    <row r="439" spans="1:9" x14ac:dyDescent="0.2">
      <c r="A439" t="s">
        <v>360</v>
      </c>
      <c r="D439" t="str">
        <f>HYPERLINK("http://nlpdeep.cs.uic.edu:8080/proofing/gsii/532481-medication-history-0-12.pdf","gsii/532481-medication-history-0-12.pdf")</f>
        <v>gsii/532481-medication-history-0-12.pdf</v>
      </c>
      <c r="E439">
        <v>119960</v>
      </c>
      <c r="F439">
        <v>532481</v>
      </c>
      <c r="G439" t="s">
        <v>306</v>
      </c>
      <c r="H439" t="s">
        <v>336</v>
      </c>
      <c r="I439" t="s">
        <v>361</v>
      </c>
    </row>
    <row r="440" spans="1:9" x14ac:dyDescent="0.2">
      <c r="A440" t="s">
        <v>362</v>
      </c>
      <c r="D440" t="str">
        <f>HYPERLINK("http://nlpdeep.cs.uic.edu:8080/proofing/t5/532481-medication-history-0-13.pdf","t5/532481-medication-history-0-13.pdf")</f>
        <v>t5/532481-medication-history-0-13.pdf</v>
      </c>
      <c r="E440">
        <v>119960</v>
      </c>
      <c r="F440">
        <v>532481</v>
      </c>
      <c r="G440" t="s">
        <v>306</v>
      </c>
      <c r="H440" t="s">
        <v>336</v>
      </c>
      <c r="I440" t="s">
        <v>363</v>
      </c>
    </row>
    <row r="441" spans="1:9" x14ac:dyDescent="0.2">
      <c r="A441" t="s">
        <v>362</v>
      </c>
      <c r="D441" t="str">
        <f>HYPERLINK("http://nlpdeep.cs.uic.edu:8080/proofing/gsii/532481-medication-history-0-13.pdf","gsii/532481-medication-history-0-13.pdf")</f>
        <v>gsii/532481-medication-history-0-13.pdf</v>
      </c>
      <c r="E441">
        <v>119960</v>
      </c>
      <c r="F441">
        <v>532481</v>
      </c>
      <c r="G441" t="s">
        <v>306</v>
      </c>
      <c r="H441" t="s">
        <v>336</v>
      </c>
      <c r="I441" t="s">
        <v>363</v>
      </c>
    </row>
    <row r="442" spans="1:9" x14ac:dyDescent="0.2">
      <c r="A442" t="s">
        <v>364</v>
      </c>
      <c r="D442" t="str">
        <f>HYPERLINK("http://nlpdeep.cs.uic.edu:8080/proofing/t5/532481-current-medications-0-0.pdf","t5/532481-current-medications-0-0.pdf")</f>
        <v>t5/532481-current-medications-0-0.pdf</v>
      </c>
      <c r="E442">
        <v>119960</v>
      </c>
      <c r="F442">
        <v>532481</v>
      </c>
      <c r="G442" t="s">
        <v>306</v>
      </c>
      <c r="H442" t="s">
        <v>365</v>
      </c>
      <c r="I442" t="s">
        <v>366</v>
      </c>
    </row>
    <row r="443" spans="1:9" x14ac:dyDescent="0.2">
      <c r="A443" t="s">
        <v>364</v>
      </c>
      <c r="D443" t="str">
        <f>HYPERLINK("http://nlpdeep.cs.uic.edu:8080/proofing/gsii/532481-current-medications-0-0.pdf","gsii/532481-current-medications-0-0.pdf")</f>
        <v>gsii/532481-current-medications-0-0.pdf</v>
      </c>
      <c r="E443">
        <v>119960</v>
      </c>
      <c r="F443">
        <v>532481</v>
      </c>
      <c r="G443" t="s">
        <v>306</v>
      </c>
      <c r="H443" t="s">
        <v>365</v>
      </c>
      <c r="I443" t="s">
        <v>366</v>
      </c>
    </row>
    <row r="444" spans="1:9" x14ac:dyDescent="0.2">
      <c r="A444" t="s">
        <v>367</v>
      </c>
      <c r="D444" t="str">
        <f>HYPERLINK("http://nlpdeep.cs.uic.edu:8080/proofing/t5/532481-allergies-0-0.pdf","t5/532481-allergies-0-0.pdf")</f>
        <v>t5/532481-allergies-0-0.pdf</v>
      </c>
      <c r="E444">
        <v>119960</v>
      </c>
      <c r="F444">
        <v>532481</v>
      </c>
      <c r="G444" t="s">
        <v>306</v>
      </c>
      <c r="H444" t="s">
        <v>64</v>
      </c>
      <c r="I444" t="s">
        <v>368</v>
      </c>
    </row>
    <row r="445" spans="1:9" x14ac:dyDescent="0.2">
      <c r="A445" t="s">
        <v>367</v>
      </c>
      <c r="D445" t="str">
        <f>HYPERLINK("http://nlpdeep.cs.uic.edu:8080/proofing/gsii/532481-allergies-0-0.pdf","gsii/532481-allergies-0-0.pdf")</f>
        <v>gsii/532481-allergies-0-0.pdf</v>
      </c>
      <c r="E445">
        <v>119960</v>
      </c>
      <c r="F445">
        <v>532481</v>
      </c>
      <c r="G445" t="s">
        <v>306</v>
      </c>
      <c r="H445" t="s">
        <v>64</v>
      </c>
      <c r="I445" t="s">
        <v>368</v>
      </c>
    </row>
    <row r="446" spans="1:9" x14ac:dyDescent="0.2">
      <c r="A446" t="s">
        <v>369</v>
      </c>
      <c r="D446" t="str">
        <f>HYPERLINK("http://nlpdeep.cs.uic.edu:8080/proofing/t5/532481-social-history-0-0.pdf","t5/532481-social-history-0-0.pdf")</f>
        <v>t5/532481-social-history-0-0.pdf</v>
      </c>
      <c r="E446">
        <v>119960</v>
      </c>
      <c r="F446">
        <v>532481</v>
      </c>
      <c r="G446" t="s">
        <v>306</v>
      </c>
      <c r="H446" t="s">
        <v>118</v>
      </c>
      <c r="I446" t="s">
        <v>370</v>
      </c>
    </row>
    <row r="447" spans="1:9" x14ac:dyDescent="0.2">
      <c r="A447" t="s">
        <v>369</v>
      </c>
      <c r="D447" t="str">
        <f>HYPERLINK("http://nlpdeep.cs.uic.edu:8080/proofing/gsii/532481-social-history-0-0.pdf","gsii/532481-social-history-0-0.pdf")</f>
        <v>gsii/532481-social-history-0-0.pdf</v>
      </c>
      <c r="E447">
        <v>119960</v>
      </c>
      <c r="F447">
        <v>532481</v>
      </c>
      <c r="G447" t="s">
        <v>306</v>
      </c>
      <c r="H447" t="s">
        <v>118</v>
      </c>
      <c r="I447" t="s">
        <v>370</v>
      </c>
    </row>
    <row r="448" spans="1:9" x14ac:dyDescent="0.2">
      <c r="A448" t="s">
        <v>371</v>
      </c>
      <c r="D448" t="str">
        <f>HYPERLINK("http://nlpdeep.cs.uic.edu:8080/proofing/t5/532481-social-history-0-1.pdf","t5/532481-social-history-0-1.pdf")</f>
        <v>t5/532481-social-history-0-1.pdf</v>
      </c>
      <c r="E448">
        <v>119960</v>
      </c>
      <c r="F448">
        <v>532481</v>
      </c>
      <c r="G448" t="s">
        <v>306</v>
      </c>
      <c r="H448" t="s">
        <v>118</v>
      </c>
      <c r="I448" t="s">
        <v>121</v>
      </c>
    </row>
    <row r="449" spans="1:9" x14ac:dyDescent="0.2">
      <c r="A449" t="s">
        <v>371</v>
      </c>
      <c r="D449" t="str">
        <f>HYPERLINK("http://nlpdeep.cs.uic.edu:8080/proofing/gsii/532481-social-history-0-1.pdf","gsii/532481-social-history-0-1.pdf")</f>
        <v>gsii/532481-social-history-0-1.pdf</v>
      </c>
      <c r="E449">
        <v>119960</v>
      </c>
      <c r="F449">
        <v>532481</v>
      </c>
      <c r="G449" t="s">
        <v>306</v>
      </c>
      <c r="H449" t="s">
        <v>118</v>
      </c>
      <c r="I449" t="s">
        <v>121</v>
      </c>
    </row>
    <row r="450" spans="1:9" x14ac:dyDescent="0.2">
      <c r="A450" t="s">
        <v>372</v>
      </c>
      <c r="D450" t="str">
        <f>HYPERLINK("http://nlpdeep.cs.uic.edu:8080/proofing/t5/532481-social-history-0-2.pdf","t5/532481-social-history-0-2.pdf")</f>
        <v>t5/532481-social-history-0-2.pdf</v>
      </c>
      <c r="E450">
        <v>119960</v>
      </c>
      <c r="F450">
        <v>532481</v>
      </c>
      <c r="G450" t="s">
        <v>306</v>
      </c>
      <c r="H450" t="s">
        <v>118</v>
      </c>
      <c r="I450" t="s">
        <v>123</v>
      </c>
    </row>
    <row r="451" spans="1:9" x14ac:dyDescent="0.2">
      <c r="A451" t="s">
        <v>372</v>
      </c>
      <c r="D451" t="str">
        <f>HYPERLINK("http://nlpdeep.cs.uic.edu:8080/proofing/gsii/532481-social-history-0-2.pdf","gsii/532481-social-history-0-2.pdf")</f>
        <v>gsii/532481-social-history-0-2.pdf</v>
      </c>
      <c r="E451">
        <v>119960</v>
      </c>
      <c r="F451">
        <v>532481</v>
      </c>
      <c r="G451" t="s">
        <v>306</v>
      </c>
      <c r="H451" t="s">
        <v>118</v>
      </c>
      <c r="I451" t="s">
        <v>123</v>
      </c>
    </row>
    <row r="452" spans="1:9" x14ac:dyDescent="0.2">
      <c r="A452" t="s">
        <v>373</v>
      </c>
      <c r="D452" t="str">
        <f>HYPERLINK("http://nlpdeep.cs.uic.edu:8080/proofing/t5/532481-social-history-0-3.pdf","t5/532481-social-history-0-3.pdf")</f>
        <v>t5/532481-social-history-0-3.pdf</v>
      </c>
      <c r="E452">
        <v>119960</v>
      </c>
      <c r="F452">
        <v>532481</v>
      </c>
      <c r="G452" t="s">
        <v>306</v>
      </c>
      <c r="H452" t="s">
        <v>118</v>
      </c>
      <c r="I452" t="s">
        <v>374</v>
      </c>
    </row>
    <row r="453" spans="1:9" x14ac:dyDescent="0.2">
      <c r="A453" t="s">
        <v>373</v>
      </c>
      <c r="D453" t="str">
        <f>HYPERLINK("http://nlpdeep.cs.uic.edu:8080/proofing/gsii/532481-social-history-0-3.pdf","gsii/532481-social-history-0-3.pdf")</f>
        <v>gsii/532481-social-history-0-3.pdf</v>
      </c>
      <c r="E453">
        <v>119960</v>
      </c>
      <c r="F453">
        <v>532481</v>
      </c>
      <c r="G453" t="s">
        <v>306</v>
      </c>
      <c r="H453" t="s">
        <v>118</v>
      </c>
      <c r="I453" t="s">
        <v>374</v>
      </c>
    </row>
    <row r="454" spans="1:9" x14ac:dyDescent="0.2">
      <c r="A454" t="s">
        <v>375</v>
      </c>
      <c r="D454" t="str">
        <f>HYPERLINK("http://nlpdeep.cs.uic.edu:8080/proofing/t5/532481-social-history-0-4.pdf","t5/532481-social-history-0-4.pdf")</f>
        <v>t5/532481-social-history-0-4.pdf</v>
      </c>
      <c r="E454">
        <v>119960</v>
      </c>
      <c r="F454">
        <v>532481</v>
      </c>
      <c r="G454" t="s">
        <v>306</v>
      </c>
      <c r="H454" t="s">
        <v>118</v>
      </c>
      <c r="I454" t="s">
        <v>376</v>
      </c>
    </row>
    <row r="455" spans="1:9" x14ac:dyDescent="0.2">
      <c r="A455" t="s">
        <v>375</v>
      </c>
      <c r="D455" t="str">
        <f>HYPERLINK("http://nlpdeep.cs.uic.edu:8080/proofing/gsii/532481-social-history-0-4.pdf","gsii/532481-social-history-0-4.pdf")</f>
        <v>gsii/532481-social-history-0-4.pdf</v>
      </c>
      <c r="E455">
        <v>119960</v>
      </c>
      <c r="F455">
        <v>532481</v>
      </c>
      <c r="G455" t="s">
        <v>306</v>
      </c>
      <c r="H455" t="s">
        <v>118</v>
      </c>
      <c r="I455" t="s">
        <v>376</v>
      </c>
    </row>
    <row r="456" spans="1:9" x14ac:dyDescent="0.2">
      <c r="A456" t="s">
        <v>377</v>
      </c>
      <c r="D456" t="str">
        <f>HYPERLINK("http://nlpdeep.cs.uic.edu:8080/proofing/t5/532481-social-history-0-5.pdf","t5/532481-social-history-0-5.pdf")</f>
        <v>t5/532481-social-history-0-5.pdf</v>
      </c>
      <c r="E456">
        <v>119960</v>
      </c>
      <c r="F456">
        <v>532481</v>
      </c>
      <c r="G456" t="s">
        <v>306</v>
      </c>
      <c r="H456" t="s">
        <v>118</v>
      </c>
      <c r="I456" t="s">
        <v>378</v>
      </c>
    </row>
    <row r="457" spans="1:9" x14ac:dyDescent="0.2">
      <c r="A457" t="s">
        <v>377</v>
      </c>
      <c r="D457" t="str">
        <f>HYPERLINK("http://nlpdeep.cs.uic.edu:8080/proofing/gsii/532481-social-history-0-5.pdf","gsii/532481-social-history-0-5.pdf")</f>
        <v>gsii/532481-social-history-0-5.pdf</v>
      </c>
      <c r="E457">
        <v>119960</v>
      </c>
      <c r="F457">
        <v>532481</v>
      </c>
      <c r="G457" t="s">
        <v>306</v>
      </c>
      <c r="H457" t="s">
        <v>118</v>
      </c>
      <c r="I457" t="s">
        <v>378</v>
      </c>
    </row>
    <row r="458" spans="1:9" x14ac:dyDescent="0.2">
      <c r="A458" t="s">
        <v>379</v>
      </c>
      <c r="D458" t="str">
        <f>HYPERLINK("http://nlpdeep.cs.uic.edu:8080/proofing/t5/532481-social-history-0-6.pdf","t5/532481-social-history-0-6.pdf")</f>
        <v>t5/532481-social-history-0-6.pdf</v>
      </c>
      <c r="E458">
        <v>119960</v>
      </c>
      <c r="F458">
        <v>532481</v>
      </c>
      <c r="G458" t="s">
        <v>306</v>
      </c>
      <c r="H458" t="s">
        <v>118</v>
      </c>
      <c r="I458" t="s">
        <v>380</v>
      </c>
    </row>
    <row r="459" spans="1:9" x14ac:dyDescent="0.2">
      <c r="A459" t="s">
        <v>379</v>
      </c>
      <c r="D459" t="str">
        <f>HYPERLINK("http://nlpdeep.cs.uic.edu:8080/proofing/gsii/532481-social-history-0-6.pdf","gsii/532481-social-history-0-6.pdf")</f>
        <v>gsii/532481-social-history-0-6.pdf</v>
      </c>
      <c r="E459">
        <v>119960</v>
      </c>
      <c r="F459">
        <v>532481</v>
      </c>
      <c r="G459" t="s">
        <v>306</v>
      </c>
      <c r="H459" t="s">
        <v>118</v>
      </c>
      <c r="I459" t="s">
        <v>380</v>
      </c>
    </row>
    <row r="460" spans="1:9" x14ac:dyDescent="0.2">
      <c r="A460" t="s">
        <v>381</v>
      </c>
      <c r="D460" t="str">
        <f>HYPERLINK("http://nlpdeep.cs.uic.edu:8080/proofing/t5/532481-social-history-0-7.pdf","t5/532481-social-history-0-7.pdf")</f>
        <v>t5/532481-social-history-0-7.pdf</v>
      </c>
      <c r="E460">
        <v>119960</v>
      </c>
      <c r="F460">
        <v>532481</v>
      </c>
      <c r="G460" t="s">
        <v>306</v>
      </c>
      <c r="H460" t="s">
        <v>118</v>
      </c>
      <c r="I460" t="s">
        <v>382</v>
      </c>
    </row>
    <row r="461" spans="1:9" x14ac:dyDescent="0.2">
      <c r="A461" t="s">
        <v>381</v>
      </c>
      <c r="D461" t="str">
        <f>HYPERLINK("http://nlpdeep.cs.uic.edu:8080/proofing/gsii/532481-social-history-0-7.pdf","gsii/532481-social-history-0-7.pdf")</f>
        <v>gsii/532481-social-history-0-7.pdf</v>
      </c>
      <c r="E461">
        <v>119960</v>
      </c>
      <c r="F461">
        <v>532481</v>
      </c>
      <c r="G461" t="s">
        <v>306</v>
      </c>
      <c r="H461" t="s">
        <v>118</v>
      </c>
      <c r="I461" t="s">
        <v>382</v>
      </c>
    </row>
    <row r="462" spans="1:9" x14ac:dyDescent="0.2">
      <c r="A462" t="s">
        <v>383</v>
      </c>
      <c r="D462" t="str">
        <f>HYPERLINK("http://nlpdeep.cs.uic.edu:8080/proofing/t5/532481-family-history-0-0.pdf","t5/532481-family-history-0-0.pdf")</f>
        <v>t5/532481-family-history-0-0.pdf</v>
      </c>
      <c r="E462">
        <v>119960</v>
      </c>
      <c r="F462">
        <v>532481</v>
      </c>
      <c r="G462" t="s">
        <v>306</v>
      </c>
      <c r="H462" t="s">
        <v>107</v>
      </c>
      <c r="I462" t="s">
        <v>384</v>
      </c>
    </row>
    <row r="463" spans="1:9" x14ac:dyDescent="0.2">
      <c r="A463" t="s">
        <v>383</v>
      </c>
      <c r="D463" t="str">
        <f>HYPERLINK("http://nlpdeep.cs.uic.edu:8080/proofing/gsii/532481-family-history-0-0.pdf","gsii/532481-family-history-0-0.pdf")</f>
        <v>gsii/532481-family-history-0-0.pdf</v>
      </c>
      <c r="E463">
        <v>119960</v>
      </c>
      <c r="F463">
        <v>532481</v>
      </c>
      <c r="G463" t="s">
        <v>306</v>
      </c>
      <c r="H463" t="s">
        <v>107</v>
      </c>
      <c r="I463" t="s">
        <v>384</v>
      </c>
    </row>
    <row r="464" spans="1:9" x14ac:dyDescent="0.2">
      <c r="A464" t="s">
        <v>385</v>
      </c>
      <c r="D464" t="str">
        <f>HYPERLINK("http://nlpdeep.cs.uic.edu:8080/proofing/t5/532481-family-history-0-1.pdf","t5/532481-family-history-0-1.pdf")</f>
        <v>t5/532481-family-history-0-1.pdf</v>
      </c>
      <c r="E464">
        <v>119960</v>
      </c>
      <c r="F464">
        <v>532481</v>
      </c>
      <c r="G464" t="s">
        <v>306</v>
      </c>
      <c r="H464" t="s">
        <v>107</v>
      </c>
      <c r="I464" t="s">
        <v>386</v>
      </c>
    </row>
    <row r="465" spans="1:9" x14ac:dyDescent="0.2">
      <c r="A465" t="s">
        <v>385</v>
      </c>
      <c r="D465" t="str">
        <f>HYPERLINK("http://nlpdeep.cs.uic.edu:8080/proofing/gsii/532481-family-history-0-1.pdf","gsii/532481-family-history-0-1.pdf")</f>
        <v>gsii/532481-family-history-0-1.pdf</v>
      </c>
      <c r="E465">
        <v>119960</v>
      </c>
      <c r="F465">
        <v>532481</v>
      </c>
      <c r="G465" t="s">
        <v>306</v>
      </c>
      <c r="H465" t="s">
        <v>107</v>
      </c>
      <c r="I465" t="s">
        <v>386</v>
      </c>
    </row>
    <row r="466" spans="1:9" x14ac:dyDescent="0.2">
      <c r="A466" t="s">
        <v>387</v>
      </c>
      <c r="D466" t="str">
        <f>HYPERLINK("http://nlpdeep.cs.uic.edu:8080/proofing/t5/532481-family-history-0-2.pdf","t5/532481-family-history-0-2.pdf")</f>
        <v>t5/532481-family-history-0-2.pdf</v>
      </c>
      <c r="E466">
        <v>119960</v>
      </c>
      <c r="F466">
        <v>532481</v>
      </c>
      <c r="G466" t="s">
        <v>306</v>
      </c>
      <c r="H466" t="s">
        <v>107</v>
      </c>
      <c r="I466" t="s">
        <v>388</v>
      </c>
    </row>
    <row r="467" spans="1:9" x14ac:dyDescent="0.2">
      <c r="A467" t="s">
        <v>387</v>
      </c>
      <c r="D467" t="str">
        <f>HYPERLINK("http://nlpdeep.cs.uic.edu:8080/proofing/gsii/532481-family-history-0-2.pdf","gsii/532481-family-history-0-2.pdf")</f>
        <v>gsii/532481-family-history-0-2.pdf</v>
      </c>
      <c r="E467">
        <v>119960</v>
      </c>
      <c r="F467">
        <v>532481</v>
      </c>
      <c r="G467" t="s">
        <v>306</v>
      </c>
      <c r="H467" t="s">
        <v>107</v>
      </c>
      <c r="I467" t="s">
        <v>388</v>
      </c>
    </row>
    <row r="468" spans="1:9" x14ac:dyDescent="0.2">
      <c r="A468" t="s">
        <v>389</v>
      </c>
      <c r="D468" t="str">
        <f>HYPERLINK("http://nlpdeep.cs.uic.edu:8080/proofing/t5/532481-family-history-0-3.pdf","t5/532481-family-history-0-3.pdf")</f>
        <v>t5/532481-family-history-0-3.pdf</v>
      </c>
      <c r="E468">
        <v>119960</v>
      </c>
      <c r="F468">
        <v>532481</v>
      </c>
      <c r="G468" t="s">
        <v>306</v>
      </c>
      <c r="H468" t="s">
        <v>107</v>
      </c>
      <c r="I468" t="s">
        <v>390</v>
      </c>
    </row>
    <row r="469" spans="1:9" x14ac:dyDescent="0.2">
      <c r="A469" t="s">
        <v>389</v>
      </c>
      <c r="D469" t="str">
        <f>HYPERLINK("http://nlpdeep.cs.uic.edu:8080/proofing/gsii/532481-family-history-0-3.pdf","gsii/532481-family-history-0-3.pdf")</f>
        <v>gsii/532481-family-history-0-3.pdf</v>
      </c>
      <c r="E469">
        <v>119960</v>
      </c>
      <c r="F469">
        <v>532481</v>
      </c>
      <c r="G469" t="s">
        <v>306</v>
      </c>
      <c r="H469" t="s">
        <v>107</v>
      </c>
      <c r="I469" t="s">
        <v>390</v>
      </c>
    </row>
    <row r="470" spans="1:9" x14ac:dyDescent="0.2">
      <c r="A470" t="s">
        <v>391</v>
      </c>
      <c r="D470" t="str">
        <f>HYPERLINK("http://nlpdeep.cs.uic.edu:8080/proofing/t5/532481-family-history-0-4.pdf","t5/532481-family-history-0-4.pdf")</f>
        <v>t5/532481-family-history-0-4.pdf</v>
      </c>
      <c r="E470">
        <v>119960</v>
      </c>
      <c r="F470">
        <v>532481</v>
      </c>
      <c r="G470" t="s">
        <v>306</v>
      </c>
      <c r="H470" t="s">
        <v>107</v>
      </c>
      <c r="I470" t="s">
        <v>116</v>
      </c>
    </row>
    <row r="471" spans="1:9" x14ac:dyDescent="0.2">
      <c r="A471" t="s">
        <v>391</v>
      </c>
      <c r="D471" t="str">
        <f>HYPERLINK("http://nlpdeep.cs.uic.edu:8080/proofing/gsii/532481-family-history-0-4.pdf","gsii/532481-family-history-0-4.pdf")</f>
        <v>gsii/532481-family-history-0-4.pdf</v>
      </c>
      <c r="E471">
        <v>119960</v>
      </c>
      <c r="F471">
        <v>532481</v>
      </c>
      <c r="G471" t="s">
        <v>306</v>
      </c>
      <c r="H471" t="s">
        <v>107</v>
      </c>
      <c r="I471" t="s">
        <v>116</v>
      </c>
    </row>
    <row r="472" spans="1:9" x14ac:dyDescent="0.2">
      <c r="A472" t="s">
        <v>392</v>
      </c>
      <c r="D472" t="str">
        <f>HYPERLINK("http://nlpdeep.cs.uic.edu:8080/proofing/t5/532481-review-of-systems-0-0.pdf","t5/532481-review-of-systems-0-0.pdf")</f>
        <v>t5/532481-review-of-systems-0-0.pdf</v>
      </c>
      <c r="E472">
        <v>119960</v>
      </c>
      <c r="F472">
        <v>532481</v>
      </c>
      <c r="G472" t="s">
        <v>306</v>
      </c>
      <c r="H472" t="s">
        <v>393</v>
      </c>
      <c r="I472" t="s">
        <v>394</v>
      </c>
    </row>
    <row r="473" spans="1:9" x14ac:dyDescent="0.2">
      <c r="A473" t="s">
        <v>392</v>
      </c>
      <c r="D473" t="str">
        <f>HYPERLINK("http://nlpdeep.cs.uic.edu:8080/proofing/gsii/532481-review-of-systems-0-0.pdf","gsii/532481-review-of-systems-0-0.pdf")</f>
        <v>gsii/532481-review-of-systems-0-0.pdf</v>
      </c>
      <c r="E473">
        <v>119960</v>
      </c>
      <c r="F473">
        <v>532481</v>
      </c>
      <c r="G473" t="s">
        <v>306</v>
      </c>
      <c r="H473" t="s">
        <v>393</v>
      </c>
      <c r="I473" t="s">
        <v>394</v>
      </c>
    </row>
    <row r="474" spans="1:9" x14ac:dyDescent="0.2">
      <c r="A474" t="s">
        <v>395</v>
      </c>
      <c r="D474" t="str">
        <f>HYPERLINK("http://nlpdeep.cs.uic.edu:8080/proofing/t5/532481-review-of-systems-0-1.pdf","t5/532481-review-of-systems-0-1.pdf")</f>
        <v>t5/532481-review-of-systems-0-1.pdf</v>
      </c>
      <c r="E474">
        <v>119960</v>
      </c>
      <c r="F474">
        <v>532481</v>
      </c>
      <c r="G474" t="s">
        <v>306</v>
      </c>
      <c r="H474" t="s">
        <v>393</v>
      </c>
      <c r="I474" t="s">
        <v>396</v>
      </c>
    </row>
    <row r="475" spans="1:9" x14ac:dyDescent="0.2">
      <c r="A475" t="s">
        <v>395</v>
      </c>
      <c r="D475" t="str">
        <f>HYPERLINK("http://nlpdeep.cs.uic.edu:8080/proofing/gsii/532481-review-of-systems-0-1.pdf","gsii/532481-review-of-systems-0-1.pdf")</f>
        <v>gsii/532481-review-of-systems-0-1.pdf</v>
      </c>
      <c r="E475">
        <v>119960</v>
      </c>
      <c r="F475">
        <v>532481</v>
      </c>
      <c r="G475" t="s">
        <v>306</v>
      </c>
      <c r="H475" t="s">
        <v>393</v>
      </c>
      <c r="I475" t="s">
        <v>396</v>
      </c>
    </row>
    <row r="476" spans="1:9" x14ac:dyDescent="0.2">
      <c r="A476" t="s">
        <v>397</v>
      </c>
      <c r="D476" t="str">
        <f>HYPERLINK("http://nlpdeep.cs.uic.edu:8080/proofing/t5/532481-review-of-systems-0-2.pdf","t5/532481-review-of-systems-0-2.pdf")</f>
        <v>t5/532481-review-of-systems-0-2.pdf</v>
      </c>
      <c r="E476">
        <v>119960</v>
      </c>
      <c r="F476">
        <v>532481</v>
      </c>
      <c r="G476" t="s">
        <v>306</v>
      </c>
      <c r="H476" t="s">
        <v>393</v>
      </c>
      <c r="I476" t="s">
        <v>398</v>
      </c>
    </row>
    <row r="477" spans="1:9" x14ac:dyDescent="0.2">
      <c r="A477" t="s">
        <v>397</v>
      </c>
      <c r="D477" t="str">
        <f>HYPERLINK("http://nlpdeep.cs.uic.edu:8080/proofing/gsii/532481-review-of-systems-0-2.pdf","gsii/532481-review-of-systems-0-2.pdf")</f>
        <v>gsii/532481-review-of-systems-0-2.pdf</v>
      </c>
      <c r="E477">
        <v>119960</v>
      </c>
      <c r="F477">
        <v>532481</v>
      </c>
      <c r="G477" t="s">
        <v>306</v>
      </c>
      <c r="H477" t="s">
        <v>393</v>
      </c>
      <c r="I477" t="s">
        <v>398</v>
      </c>
    </row>
    <row r="478" spans="1:9" x14ac:dyDescent="0.2">
      <c r="A478" t="s">
        <v>399</v>
      </c>
      <c r="D478" t="str">
        <f>HYPERLINK("http://nlpdeep.cs.uic.edu:8080/proofing/t5/532481-review-of-systems-0-3.pdf","t5/532481-review-of-systems-0-3.pdf")</f>
        <v>t5/532481-review-of-systems-0-3.pdf</v>
      </c>
      <c r="E478">
        <v>119960</v>
      </c>
      <c r="F478">
        <v>532481</v>
      </c>
      <c r="G478" t="s">
        <v>306</v>
      </c>
      <c r="H478" t="s">
        <v>393</v>
      </c>
      <c r="I478" t="s">
        <v>400</v>
      </c>
    </row>
    <row r="479" spans="1:9" x14ac:dyDescent="0.2">
      <c r="A479" t="s">
        <v>399</v>
      </c>
      <c r="D479" t="str">
        <f>HYPERLINK("http://nlpdeep.cs.uic.edu:8080/proofing/gsii/532481-review-of-systems-0-3.pdf","gsii/532481-review-of-systems-0-3.pdf")</f>
        <v>gsii/532481-review-of-systems-0-3.pdf</v>
      </c>
      <c r="E479">
        <v>119960</v>
      </c>
      <c r="F479">
        <v>532481</v>
      </c>
      <c r="G479" t="s">
        <v>306</v>
      </c>
      <c r="H479" t="s">
        <v>393</v>
      </c>
      <c r="I479" t="s">
        <v>400</v>
      </c>
    </row>
    <row r="480" spans="1:9" x14ac:dyDescent="0.2">
      <c r="A480" t="s">
        <v>401</v>
      </c>
      <c r="D480" t="str">
        <f>HYPERLINK("http://nlpdeep.cs.uic.edu:8080/proofing/t5/532481-review-of-systems-0-4.pdf","t5/532481-review-of-systems-0-4.pdf")</f>
        <v>t5/532481-review-of-systems-0-4.pdf</v>
      </c>
      <c r="E480">
        <v>119960</v>
      </c>
      <c r="F480">
        <v>532481</v>
      </c>
      <c r="G480" t="s">
        <v>306</v>
      </c>
      <c r="H480" t="s">
        <v>393</v>
      </c>
      <c r="I480" t="s">
        <v>402</v>
      </c>
    </row>
    <row r="481" spans="1:9" x14ac:dyDescent="0.2">
      <c r="A481" t="s">
        <v>401</v>
      </c>
      <c r="D481" t="str">
        <f>HYPERLINK("http://nlpdeep.cs.uic.edu:8080/proofing/gsii/532481-review-of-systems-0-4.pdf","gsii/532481-review-of-systems-0-4.pdf")</f>
        <v>gsii/532481-review-of-systems-0-4.pdf</v>
      </c>
      <c r="E481">
        <v>119960</v>
      </c>
      <c r="F481">
        <v>532481</v>
      </c>
      <c r="G481" t="s">
        <v>306</v>
      </c>
      <c r="H481" t="s">
        <v>393</v>
      </c>
      <c r="I481" t="s">
        <v>402</v>
      </c>
    </row>
    <row r="482" spans="1:9" x14ac:dyDescent="0.2">
      <c r="A482" t="s">
        <v>403</v>
      </c>
      <c r="D482" t="str">
        <f>HYPERLINK("http://nlpdeep.cs.uic.edu:8080/proofing/t5/532481-review-of-systems-0-5.pdf","t5/532481-review-of-systems-0-5.pdf")</f>
        <v>t5/532481-review-of-systems-0-5.pdf</v>
      </c>
      <c r="E482">
        <v>119960</v>
      </c>
      <c r="F482">
        <v>532481</v>
      </c>
      <c r="G482" t="s">
        <v>306</v>
      </c>
      <c r="H482" t="s">
        <v>393</v>
      </c>
      <c r="I482" t="s">
        <v>404</v>
      </c>
    </row>
    <row r="483" spans="1:9" x14ac:dyDescent="0.2">
      <c r="A483" t="s">
        <v>403</v>
      </c>
      <c r="D483" t="str">
        <f>HYPERLINK("http://nlpdeep.cs.uic.edu:8080/proofing/gsii/532481-review-of-systems-0-5.pdf","gsii/532481-review-of-systems-0-5.pdf")</f>
        <v>gsii/532481-review-of-systems-0-5.pdf</v>
      </c>
      <c r="E483">
        <v>119960</v>
      </c>
      <c r="F483">
        <v>532481</v>
      </c>
      <c r="G483" t="s">
        <v>306</v>
      </c>
      <c r="H483" t="s">
        <v>393</v>
      </c>
      <c r="I483" t="s">
        <v>404</v>
      </c>
    </row>
    <row r="484" spans="1:9" x14ac:dyDescent="0.2">
      <c r="A484" t="s">
        <v>405</v>
      </c>
      <c r="D484" t="str">
        <f>HYPERLINK("http://nlpdeep.cs.uic.edu:8080/proofing/t5/532481-review-of-systems-0-6.pdf","t5/532481-review-of-systems-0-6.pdf")</f>
        <v>t5/532481-review-of-systems-0-6.pdf</v>
      </c>
      <c r="E484">
        <v>119960</v>
      </c>
      <c r="F484">
        <v>532481</v>
      </c>
      <c r="G484" t="s">
        <v>306</v>
      </c>
      <c r="H484" t="s">
        <v>393</v>
      </c>
      <c r="I484" t="s">
        <v>406</v>
      </c>
    </row>
    <row r="485" spans="1:9" x14ac:dyDescent="0.2">
      <c r="A485" t="s">
        <v>405</v>
      </c>
      <c r="D485" t="str">
        <f>HYPERLINK("http://nlpdeep.cs.uic.edu:8080/proofing/gsii/532481-review-of-systems-0-6.pdf","gsii/532481-review-of-systems-0-6.pdf")</f>
        <v>gsii/532481-review-of-systems-0-6.pdf</v>
      </c>
      <c r="E485">
        <v>119960</v>
      </c>
      <c r="F485">
        <v>532481</v>
      </c>
      <c r="G485" t="s">
        <v>306</v>
      </c>
      <c r="H485" t="s">
        <v>393</v>
      </c>
      <c r="I485" t="s">
        <v>406</v>
      </c>
    </row>
    <row r="486" spans="1:9" x14ac:dyDescent="0.2">
      <c r="A486" t="s">
        <v>407</v>
      </c>
      <c r="D486" t="str">
        <f>HYPERLINK("http://nlpdeep.cs.uic.edu:8080/proofing/t5/532481-review-of-systems-0-7.pdf","t5/532481-review-of-systems-0-7.pdf")</f>
        <v>t5/532481-review-of-systems-0-7.pdf</v>
      </c>
      <c r="E486">
        <v>119960</v>
      </c>
      <c r="F486">
        <v>532481</v>
      </c>
      <c r="G486" t="s">
        <v>306</v>
      </c>
      <c r="H486" t="s">
        <v>393</v>
      </c>
      <c r="I486" t="s">
        <v>408</v>
      </c>
    </row>
    <row r="487" spans="1:9" x14ac:dyDescent="0.2">
      <c r="A487" t="s">
        <v>407</v>
      </c>
      <c r="D487" t="str">
        <f>HYPERLINK("http://nlpdeep.cs.uic.edu:8080/proofing/gsii/532481-review-of-systems-0-7.pdf","gsii/532481-review-of-systems-0-7.pdf")</f>
        <v>gsii/532481-review-of-systems-0-7.pdf</v>
      </c>
      <c r="E487">
        <v>119960</v>
      </c>
      <c r="F487">
        <v>532481</v>
      </c>
      <c r="G487" t="s">
        <v>306</v>
      </c>
      <c r="H487" t="s">
        <v>393</v>
      </c>
      <c r="I487" t="s">
        <v>408</v>
      </c>
    </row>
    <row r="488" spans="1:9" x14ac:dyDescent="0.2">
      <c r="A488" t="s">
        <v>409</v>
      </c>
      <c r="D488" t="str">
        <f>HYPERLINK("http://nlpdeep.cs.uic.edu:8080/proofing/t5/532481-review-of-systems-0-8.pdf","t5/532481-review-of-systems-0-8.pdf")</f>
        <v>t5/532481-review-of-systems-0-8.pdf</v>
      </c>
      <c r="E488">
        <v>119960</v>
      </c>
      <c r="F488">
        <v>532481</v>
      </c>
      <c r="G488" t="s">
        <v>306</v>
      </c>
      <c r="H488" t="s">
        <v>393</v>
      </c>
      <c r="I488" t="s">
        <v>410</v>
      </c>
    </row>
    <row r="489" spans="1:9" x14ac:dyDescent="0.2">
      <c r="A489" t="s">
        <v>409</v>
      </c>
      <c r="D489" t="str">
        <f>HYPERLINK("http://nlpdeep.cs.uic.edu:8080/proofing/gsii/532481-review-of-systems-0-8.pdf","gsii/532481-review-of-systems-0-8.pdf")</f>
        <v>gsii/532481-review-of-systems-0-8.pdf</v>
      </c>
      <c r="E489">
        <v>119960</v>
      </c>
      <c r="F489">
        <v>532481</v>
      </c>
      <c r="G489" t="s">
        <v>306</v>
      </c>
      <c r="H489" t="s">
        <v>393</v>
      </c>
      <c r="I489" t="s">
        <v>410</v>
      </c>
    </row>
    <row r="490" spans="1:9" x14ac:dyDescent="0.2">
      <c r="A490" t="s">
        <v>411</v>
      </c>
      <c r="D490" t="str">
        <f>HYPERLINK("http://nlpdeep.cs.uic.edu:8080/proofing/t5/532481-review-of-systems-0-9.pdf","t5/532481-review-of-systems-0-9.pdf")</f>
        <v>t5/532481-review-of-systems-0-9.pdf</v>
      </c>
      <c r="E490">
        <v>119960</v>
      </c>
      <c r="F490">
        <v>532481</v>
      </c>
      <c r="G490" t="s">
        <v>306</v>
      </c>
      <c r="H490" t="s">
        <v>393</v>
      </c>
      <c r="I490" t="s">
        <v>412</v>
      </c>
    </row>
    <row r="491" spans="1:9" x14ac:dyDescent="0.2">
      <c r="A491" t="s">
        <v>411</v>
      </c>
      <c r="D491" t="str">
        <f>HYPERLINK("http://nlpdeep.cs.uic.edu:8080/proofing/gsii/532481-review-of-systems-0-9.pdf","gsii/532481-review-of-systems-0-9.pdf")</f>
        <v>gsii/532481-review-of-systems-0-9.pdf</v>
      </c>
      <c r="E491">
        <v>119960</v>
      </c>
      <c r="F491">
        <v>532481</v>
      </c>
      <c r="G491" t="s">
        <v>306</v>
      </c>
      <c r="H491" t="s">
        <v>393</v>
      </c>
      <c r="I491" t="s">
        <v>412</v>
      </c>
    </row>
    <row r="492" spans="1:9" x14ac:dyDescent="0.2">
      <c r="A492" t="s">
        <v>413</v>
      </c>
      <c r="D492" t="str">
        <f>HYPERLINK("http://nlpdeep.cs.uic.edu:8080/proofing/t5/532481-review-of-systems-0-10.pdf","t5/532481-review-of-systems-0-10.pdf")</f>
        <v>t5/532481-review-of-systems-0-10.pdf</v>
      </c>
      <c r="E492">
        <v>119960</v>
      </c>
      <c r="F492">
        <v>532481</v>
      </c>
      <c r="G492" t="s">
        <v>306</v>
      </c>
      <c r="H492" t="s">
        <v>393</v>
      </c>
      <c r="I492" t="s">
        <v>414</v>
      </c>
    </row>
    <row r="493" spans="1:9" x14ac:dyDescent="0.2">
      <c r="A493" t="s">
        <v>413</v>
      </c>
      <c r="D493" t="str">
        <f>HYPERLINK("http://nlpdeep.cs.uic.edu:8080/proofing/gsii/532481-review-of-systems-0-10.pdf","gsii/532481-review-of-systems-0-10.pdf")</f>
        <v>gsii/532481-review-of-systems-0-10.pdf</v>
      </c>
      <c r="E493">
        <v>119960</v>
      </c>
      <c r="F493">
        <v>532481</v>
      </c>
      <c r="G493" t="s">
        <v>306</v>
      </c>
      <c r="H493" t="s">
        <v>393</v>
      </c>
      <c r="I493" t="s">
        <v>414</v>
      </c>
    </row>
    <row r="494" spans="1:9" x14ac:dyDescent="0.2">
      <c r="A494" t="s">
        <v>415</v>
      </c>
      <c r="D494" t="str">
        <f>HYPERLINK("http://nlpdeep.cs.uic.edu:8080/proofing/t5/532481-review-of-systems-0-11.pdf","t5/532481-review-of-systems-0-11.pdf")</f>
        <v>t5/532481-review-of-systems-0-11.pdf</v>
      </c>
      <c r="E494">
        <v>119960</v>
      </c>
      <c r="F494">
        <v>532481</v>
      </c>
      <c r="G494" t="s">
        <v>306</v>
      </c>
      <c r="H494" t="s">
        <v>393</v>
      </c>
      <c r="I494" t="s">
        <v>416</v>
      </c>
    </row>
    <row r="495" spans="1:9" x14ac:dyDescent="0.2">
      <c r="A495" t="s">
        <v>415</v>
      </c>
      <c r="D495" t="str">
        <f>HYPERLINK("http://nlpdeep.cs.uic.edu:8080/proofing/gsii/532481-review-of-systems-0-11.pdf","gsii/532481-review-of-systems-0-11.pdf")</f>
        <v>gsii/532481-review-of-systems-0-11.pdf</v>
      </c>
      <c r="E495">
        <v>119960</v>
      </c>
      <c r="F495">
        <v>532481</v>
      </c>
      <c r="G495" t="s">
        <v>306</v>
      </c>
      <c r="H495" t="s">
        <v>393</v>
      </c>
      <c r="I495" t="s">
        <v>416</v>
      </c>
    </row>
    <row r="496" spans="1:9" x14ac:dyDescent="0.2">
      <c r="A496" t="s">
        <v>417</v>
      </c>
      <c r="D496" t="str">
        <f>HYPERLINK("http://nlpdeep.cs.uic.edu:8080/proofing/t5/532481-review-of-systems-0-12.pdf","t5/532481-review-of-systems-0-12.pdf")</f>
        <v>t5/532481-review-of-systems-0-12.pdf</v>
      </c>
      <c r="E496">
        <v>119960</v>
      </c>
      <c r="F496">
        <v>532481</v>
      </c>
      <c r="G496" t="s">
        <v>306</v>
      </c>
      <c r="H496" t="s">
        <v>393</v>
      </c>
      <c r="I496" t="s">
        <v>418</v>
      </c>
    </row>
    <row r="497" spans="1:9" x14ac:dyDescent="0.2">
      <c r="A497" t="s">
        <v>417</v>
      </c>
      <c r="D497" t="str">
        <f>HYPERLINK("http://nlpdeep.cs.uic.edu:8080/proofing/gsii/532481-review-of-systems-0-12.pdf","gsii/532481-review-of-systems-0-12.pdf")</f>
        <v>gsii/532481-review-of-systems-0-12.pdf</v>
      </c>
      <c r="E497">
        <v>119960</v>
      </c>
      <c r="F497">
        <v>532481</v>
      </c>
      <c r="G497" t="s">
        <v>306</v>
      </c>
      <c r="H497" t="s">
        <v>393</v>
      </c>
      <c r="I497" t="s">
        <v>418</v>
      </c>
    </row>
    <row r="498" spans="1:9" x14ac:dyDescent="0.2">
      <c r="A498" t="s">
        <v>419</v>
      </c>
      <c r="D498" t="str">
        <f>HYPERLINK("http://nlpdeep.cs.uic.edu:8080/proofing/t5/532481-review-of-systems-0-13.pdf","t5/532481-review-of-systems-0-13.pdf")</f>
        <v>t5/532481-review-of-systems-0-13.pdf</v>
      </c>
      <c r="E498">
        <v>119960</v>
      </c>
      <c r="F498">
        <v>532481</v>
      </c>
      <c r="G498" t="s">
        <v>306</v>
      </c>
      <c r="H498" t="s">
        <v>393</v>
      </c>
      <c r="I498" t="s">
        <v>420</v>
      </c>
    </row>
    <row r="499" spans="1:9" x14ac:dyDescent="0.2">
      <c r="A499" t="s">
        <v>419</v>
      </c>
      <c r="D499" t="str">
        <f>HYPERLINK("http://nlpdeep.cs.uic.edu:8080/proofing/gsii/532481-review-of-systems-0-13.pdf","gsii/532481-review-of-systems-0-13.pdf")</f>
        <v>gsii/532481-review-of-systems-0-13.pdf</v>
      </c>
      <c r="E499">
        <v>119960</v>
      </c>
      <c r="F499">
        <v>532481</v>
      </c>
      <c r="G499" t="s">
        <v>306</v>
      </c>
      <c r="H499" t="s">
        <v>393</v>
      </c>
      <c r="I499" t="s">
        <v>420</v>
      </c>
    </row>
    <row r="500" spans="1:9" x14ac:dyDescent="0.2">
      <c r="A500" t="s">
        <v>421</v>
      </c>
      <c r="D500" t="str">
        <f>HYPERLINK("http://nlpdeep.cs.uic.edu:8080/proofing/t5/532481-review-of-systems-0-14.pdf","t5/532481-review-of-systems-0-14.pdf")</f>
        <v>t5/532481-review-of-systems-0-14.pdf</v>
      </c>
      <c r="E500">
        <v>119960</v>
      </c>
      <c r="F500">
        <v>532481</v>
      </c>
      <c r="G500" t="s">
        <v>306</v>
      </c>
      <c r="H500" t="s">
        <v>393</v>
      </c>
      <c r="I500" t="s">
        <v>422</v>
      </c>
    </row>
    <row r="501" spans="1:9" x14ac:dyDescent="0.2">
      <c r="A501" t="s">
        <v>421</v>
      </c>
      <c r="D501" t="str">
        <f>HYPERLINK("http://nlpdeep.cs.uic.edu:8080/proofing/gsii/532481-review-of-systems-0-14.pdf","gsii/532481-review-of-systems-0-14.pdf")</f>
        <v>gsii/532481-review-of-systems-0-14.pdf</v>
      </c>
      <c r="E501">
        <v>119960</v>
      </c>
      <c r="F501">
        <v>532481</v>
      </c>
      <c r="G501" t="s">
        <v>306</v>
      </c>
      <c r="H501" t="s">
        <v>393</v>
      </c>
      <c r="I501" t="s">
        <v>422</v>
      </c>
    </row>
    <row r="502" spans="1:9" x14ac:dyDescent="0.2">
      <c r="A502" t="s">
        <v>423</v>
      </c>
      <c r="D502" t="str">
        <f>HYPERLINK("http://nlpdeep.cs.uic.edu:8080/proofing/t5/532481-physical-examination-0-0.pdf","t5/532481-physical-examination-0-0.pdf")</f>
        <v>t5/532481-physical-examination-0-0.pdf</v>
      </c>
      <c r="E502">
        <v>119960</v>
      </c>
      <c r="F502">
        <v>532481</v>
      </c>
      <c r="G502" t="s">
        <v>306</v>
      </c>
      <c r="H502" t="s">
        <v>138</v>
      </c>
      <c r="I502" t="s">
        <v>424</v>
      </c>
    </row>
    <row r="503" spans="1:9" x14ac:dyDescent="0.2">
      <c r="A503" t="s">
        <v>423</v>
      </c>
      <c r="D503" t="str">
        <f>HYPERLINK("http://nlpdeep.cs.uic.edu:8080/proofing/gsii/532481-physical-examination-0-0.pdf","gsii/532481-physical-examination-0-0.pdf")</f>
        <v>gsii/532481-physical-examination-0-0.pdf</v>
      </c>
      <c r="E503">
        <v>119960</v>
      </c>
      <c r="F503">
        <v>532481</v>
      </c>
      <c r="G503" t="s">
        <v>306</v>
      </c>
      <c r="H503" t="s">
        <v>138</v>
      </c>
      <c r="I503" t="s">
        <v>424</v>
      </c>
    </row>
    <row r="504" spans="1:9" x14ac:dyDescent="0.2">
      <c r="A504" t="s">
        <v>425</v>
      </c>
      <c r="D504" t="str">
        <f>HYPERLINK("http://nlpdeep.cs.uic.edu:8080/proofing/t5/532481-physical-examination-0-1.pdf","t5/532481-physical-examination-0-1.pdf")</f>
        <v>t5/532481-physical-examination-0-1.pdf</v>
      </c>
      <c r="E504">
        <v>119960</v>
      </c>
      <c r="F504">
        <v>532481</v>
      </c>
      <c r="G504" t="s">
        <v>306</v>
      </c>
      <c r="H504" t="s">
        <v>138</v>
      </c>
      <c r="I504" t="s">
        <v>426</v>
      </c>
    </row>
    <row r="505" spans="1:9" x14ac:dyDescent="0.2">
      <c r="A505" t="s">
        <v>425</v>
      </c>
      <c r="D505" t="str">
        <f>HYPERLINK("http://nlpdeep.cs.uic.edu:8080/proofing/gsii/532481-physical-examination-0-1.pdf","gsii/532481-physical-examination-0-1.pdf")</f>
        <v>gsii/532481-physical-examination-0-1.pdf</v>
      </c>
      <c r="E505">
        <v>119960</v>
      </c>
      <c r="F505">
        <v>532481</v>
      </c>
      <c r="G505" t="s">
        <v>306</v>
      </c>
      <c r="H505" t="s">
        <v>138</v>
      </c>
      <c r="I505" t="s">
        <v>426</v>
      </c>
    </row>
    <row r="506" spans="1:9" x14ac:dyDescent="0.2">
      <c r="A506" t="s">
        <v>427</v>
      </c>
      <c r="D506" t="str">
        <f>HYPERLINK("http://nlpdeep.cs.uic.edu:8080/proofing/t5/532481-physical-examination-0-2.pdf","t5/532481-physical-examination-0-2.pdf")</f>
        <v>t5/532481-physical-examination-0-2.pdf</v>
      </c>
      <c r="E506">
        <v>119960</v>
      </c>
      <c r="F506">
        <v>532481</v>
      </c>
      <c r="G506" t="s">
        <v>306</v>
      </c>
      <c r="H506" t="s">
        <v>138</v>
      </c>
      <c r="I506" t="s">
        <v>428</v>
      </c>
    </row>
    <row r="507" spans="1:9" x14ac:dyDescent="0.2">
      <c r="A507" t="s">
        <v>427</v>
      </c>
      <c r="D507" t="str">
        <f>HYPERLINK("http://nlpdeep.cs.uic.edu:8080/proofing/gsii/532481-physical-examination-0-2.pdf","gsii/532481-physical-examination-0-2.pdf")</f>
        <v>gsii/532481-physical-examination-0-2.pdf</v>
      </c>
      <c r="E507">
        <v>119960</v>
      </c>
      <c r="F507">
        <v>532481</v>
      </c>
      <c r="G507" t="s">
        <v>306</v>
      </c>
      <c r="H507" t="s">
        <v>138</v>
      </c>
      <c r="I507" t="s">
        <v>428</v>
      </c>
    </row>
    <row r="508" spans="1:9" x14ac:dyDescent="0.2">
      <c r="A508" t="s">
        <v>429</v>
      </c>
      <c r="D508" t="str">
        <f>HYPERLINK("http://nlpdeep.cs.uic.edu:8080/proofing/t5/532481-physical-examination-0-3.pdf","t5/532481-physical-examination-0-3.pdf")</f>
        <v>t5/532481-physical-examination-0-3.pdf</v>
      </c>
      <c r="E508">
        <v>119960</v>
      </c>
      <c r="F508">
        <v>532481</v>
      </c>
      <c r="G508" t="s">
        <v>306</v>
      </c>
      <c r="H508" t="s">
        <v>138</v>
      </c>
      <c r="I508" t="s">
        <v>430</v>
      </c>
    </row>
    <row r="509" spans="1:9" x14ac:dyDescent="0.2">
      <c r="A509" t="s">
        <v>429</v>
      </c>
      <c r="D509" t="str">
        <f>HYPERLINK("http://nlpdeep.cs.uic.edu:8080/proofing/gsii/532481-physical-examination-0-3.pdf","gsii/532481-physical-examination-0-3.pdf")</f>
        <v>gsii/532481-physical-examination-0-3.pdf</v>
      </c>
      <c r="E509">
        <v>119960</v>
      </c>
      <c r="F509">
        <v>532481</v>
      </c>
      <c r="G509" t="s">
        <v>306</v>
      </c>
      <c r="H509" t="s">
        <v>138</v>
      </c>
      <c r="I509" t="s">
        <v>430</v>
      </c>
    </row>
    <row r="510" spans="1:9" x14ac:dyDescent="0.2">
      <c r="A510" t="s">
        <v>431</v>
      </c>
      <c r="D510" t="str">
        <f>HYPERLINK("http://nlpdeep.cs.uic.edu:8080/proofing/t5/532481-physical-examination-0-4.pdf","t5/532481-physical-examination-0-4.pdf")</f>
        <v>t5/532481-physical-examination-0-4.pdf</v>
      </c>
      <c r="E510">
        <v>119960</v>
      </c>
      <c r="F510">
        <v>532481</v>
      </c>
      <c r="G510" t="s">
        <v>306</v>
      </c>
      <c r="H510" t="s">
        <v>138</v>
      </c>
      <c r="I510" t="s">
        <v>432</v>
      </c>
    </row>
    <row r="511" spans="1:9" x14ac:dyDescent="0.2">
      <c r="A511" t="s">
        <v>431</v>
      </c>
      <c r="D511" t="str">
        <f>HYPERLINK("http://nlpdeep.cs.uic.edu:8080/proofing/gsii/532481-physical-examination-0-4.pdf","gsii/532481-physical-examination-0-4.pdf")</f>
        <v>gsii/532481-physical-examination-0-4.pdf</v>
      </c>
      <c r="E511">
        <v>119960</v>
      </c>
      <c r="F511">
        <v>532481</v>
      </c>
      <c r="G511" t="s">
        <v>306</v>
      </c>
      <c r="H511" t="s">
        <v>138</v>
      </c>
      <c r="I511" t="s">
        <v>432</v>
      </c>
    </row>
    <row r="512" spans="1:9" x14ac:dyDescent="0.2">
      <c r="A512" t="s">
        <v>433</v>
      </c>
      <c r="D512" t="str">
        <f>HYPERLINK("http://nlpdeep.cs.uic.edu:8080/proofing/t5/532481-physical-examination-0-5.pdf","t5/532481-physical-examination-0-5.pdf")</f>
        <v>t5/532481-physical-examination-0-5.pdf</v>
      </c>
      <c r="E512">
        <v>119960</v>
      </c>
      <c r="F512">
        <v>532481</v>
      </c>
      <c r="G512" t="s">
        <v>306</v>
      </c>
      <c r="H512" t="s">
        <v>138</v>
      </c>
      <c r="I512" t="s">
        <v>434</v>
      </c>
    </row>
    <row r="513" spans="1:9" x14ac:dyDescent="0.2">
      <c r="A513" t="s">
        <v>433</v>
      </c>
      <c r="D513" t="str">
        <f>HYPERLINK("http://nlpdeep.cs.uic.edu:8080/proofing/gsii/532481-physical-examination-0-5.pdf","gsii/532481-physical-examination-0-5.pdf")</f>
        <v>gsii/532481-physical-examination-0-5.pdf</v>
      </c>
      <c r="E513">
        <v>119960</v>
      </c>
      <c r="F513">
        <v>532481</v>
      </c>
      <c r="G513" t="s">
        <v>306</v>
      </c>
      <c r="H513" t="s">
        <v>138</v>
      </c>
      <c r="I513" t="s">
        <v>434</v>
      </c>
    </row>
    <row r="514" spans="1:9" x14ac:dyDescent="0.2">
      <c r="A514" t="s">
        <v>435</v>
      </c>
      <c r="D514" t="str">
        <f>HYPERLINK("http://nlpdeep.cs.uic.edu:8080/proofing/t5/532481-physical-examination-0-6.pdf","t5/532481-physical-examination-0-6.pdf")</f>
        <v>t5/532481-physical-examination-0-6.pdf</v>
      </c>
      <c r="E514">
        <v>119960</v>
      </c>
      <c r="F514">
        <v>532481</v>
      </c>
      <c r="G514" t="s">
        <v>306</v>
      </c>
      <c r="H514" t="s">
        <v>138</v>
      </c>
      <c r="I514" t="s">
        <v>436</v>
      </c>
    </row>
    <row r="515" spans="1:9" x14ac:dyDescent="0.2">
      <c r="A515" t="s">
        <v>435</v>
      </c>
      <c r="D515" t="str">
        <f>HYPERLINK("http://nlpdeep.cs.uic.edu:8080/proofing/gsii/532481-physical-examination-0-6.pdf","gsii/532481-physical-examination-0-6.pdf")</f>
        <v>gsii/532481-physical-examination-0-6.pdf</v>
      </c>
      <c r="E515">
        <v>119960</v>
      </c>
      <c r="F515">
        <v>532481</v>
      </c>
      <c r="G515" t="s">
        <v>306</v>
      </c>
      <c r="H515" t="s">
        <v>138</v>
      </c>
      <c r="I515" t="s">
        <v>436</v>
      </c>
    </row>
    <row r="516" spans="1:9" x14ac:dyDescent="0.2">
      <c r="A516" t="s">
        <v>437</v>
      </c>
      <c r="D516" t="str">
        <f>HYPERLINK("http://nlpdeep.cs.uic.edu:8080/proofing/t5/532481-physical-examination-0-7.pdf","t5/532481-physical-examination-0-7.pdf")</f>
        <v>t5/532481-physical-examination-0-7.pdf</v>
      </c>
      <c r="E516">
        <v>119960</v>
      </c>
      <c r="F516">
        <v>532481</v>
      </c>
      <c r="G516" t="s">
        <v>306</v>
      </c>
      <c r="H516" t="s">
        <v>138</v>
      </c>
      <c r="I516" t="s">
        <v>438</v>
      </c>
    </row>
    <row r="517" spans="1:9" x14ac:dyDescent="0.2">
      <c r="A517" t="s">
        <v>437</v>
      </c>
      <c r="D517" t="str">
        <f>HYPERLINK("http://nlpdeep.cs.uic.edu:8080/proofing/gsii/532481-physical-examination-0-7.pdf","gsii/532481-physical-examination-0-7.pdf")</f>
        <v>gsii/532481-physical-examination-0-7.pdf</v>
      </c>
      <c r="E517">
        <v>119960</v>
      </c>
      <c r="F517">
        <v>532481</v>
      </c>
      <c r="G517" t="s">
        <v>306</v>
      </c>
      <c r="H517" t="s">
        <v>138</v>
      </c>
      <c r="I517" t="s">
        <v>438</v>
      </c>
    </row>
    <row r="518" spans="1:9" x14ac:dyDescent="0.2">
      <c r="A518" t="s">
        <v>439</v>
      </c>
      <c r="D518" t="str">
        <f>HYPERLINK("http://nlpdeep.cs.uic.edu:8080/proofing/t5/532481-physical-examination-0-8.pdf","t5/532481-physical-examination-0-8.pdf")</f>
        <v>t5/532481-physical-examination-0-8.pdf</v>
      </c>
      <c r="E518">
        <v>119960</v>
      </c>
      <c r="F518">
        <v>532481</v>
      </c>
      <c r="G518" t="s">
        <v>306</v>
      </c>
      <c r="H518" t="s">
        <v>138</v>
      </c>
      <c r="I518" t="s">
        <v>440</v>
      </c>
    </row>
    <row r="519" spans="1:9" x14ac:dyDescent="0.2">
      <c r="A519" t="s">
        <v>439</v>
      </c>
      <c r="D519" t="str">
        <f>HYPERLINK("http://nlpdeep.cs.uic.edu:8080/proofing/gsii/532481-physical-examination-0-8.pdf","gsii/532481-physical-examination-0-8.pdf")</f>
        <v>gsii/532481-physical-examination-0-8.pdf</v>
      </c>
      <c r="E519">
        <v>119960</v>
      </c>
      <c r="F519">
        <v>532481</v>
      </c>
      <c r="G519" t="s">
        <v>306</v>
      </c>
      <c r="H519" t="s">
        <v>138</v>
      </c>
      <c r="I519" t="s">
        <v>440</v>
      </c>
    </row>
    <row r="520" spans="1:9" x14ac:dyDescent="0.2">
      <c r="A520" t="s">
        <v>441</v>
      </c>
      <c r="D520" t="str">
        <f>HYPERLINK("http://nlpdeep.cs.uic.edu:8080/proofing/t5/532481-physical-examination-0-9.pdf","t5/532481-physical-examination-0-9.pdf")</f>
        <v>t5/532481-physical-examination-0-9.pdf</v>
      </c>
      <c r="E520">
        <v>119960</v>
      </c>
      <c r="F520">
        <v>532481</v>
      </c>
      <c r="G520" t="s">
        <v>306</v>
      </c>
      <c r="H520" t="s">
        <v>138</v>
      </c>
      <c r="I520" t="s">
        <v>442</v>
      </c>
    </row>
    <row r="521" spans="1:9" x14ac:dyDescent="0.2">
      <c r="A521" t="s">
        <v>441</v>
      </c>
      <c r="D521" t="str">
        <f>HYPERLINK("http://nlpdeep.cs.uic.edu:8080/proofing/gsii/532481-physical-examination-0-9.pdf","gsii/532481-physical-examination-0-9.pdf")</f>
        <v>gsii/532481-physical-examination-0-9.pdf</v>
      </c>
      <c r="E521">
        <v>119960</v>
      </c>
      <c r="F521">
        <v>532481</v>
      </c>
      <c r="G521" t="s">
        <v>306</v>
      </c>
      <c r="H521" t="s">
        <v>138</v>
      </c>
      <c r="I521" t="s">
        <v>442</v>
      </c>
    </row>
    <row r="522" spans="1:9" x14ac:dyDescent="0.2">
      <c r="A522" t="s">
        <v>443</v>
      </c>
      <c r="D522" t="str">
        <f>HYPERLINK("http://nlpdeep.cs.uic.edu:8080/proofing/t5/532481-physical-examination-0-10.pdf","t5/532481-physical-examination-0-10.pdf")</f>
        <v>t5/532481-physical-examination-0-10.pdf</v>
      </c>
      <c r="E522">
        <v>119960</v>
      </c>
      <c r="F522">
        <v>532481</v>
      </c>
      <c r="G522" t="s">
        <v>306</v>
      </c>
      <c r="H522" t="s">
        <v>138</v>
      </c>
      <c r="I522" t="s">
        <v>444</v>
      </c>
    </row>
    <row r="523" spans="1:9" x14ac:dyDescent="0.2">
      <c r="A523" t="s">
        <v>443</v>
      </c>
      <c r="D523" t="str">
        <f>HYPERLINK("http://nlpdeep.cs.uic.edu:8080/proofing/gsii/532481-physical-examination-0-10.pdf","gsii/532481-physical-examination-0-10.pdf")</f>
        <v>gsii/532481-physical-examination-0-10.pdf</v>
      </c>
      <c r="E523">
        <v>119960</v>
      </c>
      <c r="F523">
        <v>532481</v>
      </c>
      <c r="G523" t="s">
        <v>306</v>
      </c>
      <c r="H523" t="s">
        <v>138</v>
      </c>
      <c r="I523" t="s">
        <v>444</v>
      </c>
    </row>
    <row r="524" spans="1:9" x14ac:dyDescent="0.2">
      <c r="A524" t="s">
        <v>445</v>
      </c>
      <c r="D524" t="str">
        <f>HYPERLINK("http://nlpdeep.cs.uic.edu:8080/proofing/t5/532481-physical-examination-0-11.pdf","t5/532481-physical-examination-0-11.pdf")</f>
        <v>t5/532481-physical-examination-0-11.pdf</v>
      </c>
      <c r="E524">
        <v>119960</v>
      </c>
      <c r="F524">
        <v>532481</v>
      </c>
      <c r="G524" t="s">
        <v>306</v>
      </c>
      <c r="H524" t="s">
        <v>138</v>
      </c>
      <c r="I524" t="s">
        <v>446</v>
      </c>
    </row>
    <row r="525" spans="1:9" x14ac:dyDescent="0.2">
      <c r="A525" t="s">
        <v>445</v>
      </c>
      <c r="D525" t="str">
        <f>HYPERLINK("http://nlpdeep.cs.uic.edu:8080/proofing/gsii/532481-physical-examination-0-11.pdf","gsii/532481-physical-examination-0-11.pdf")</f>
        <v>gsii/532481-physical-examination-0-11.pdf</v>
      </c>
      <c r="E525">
        <v>119960</v>
      </c>
      <c r="F525">
        <v>532481</v>
      </c>
      <c r="G525" t="s">
        <v>306</v>
      </c>
      <c r="H525" t="s">
        <v>138</v>
      </c>
      <c r="I525" t="s">
        <v>446</v>
      </c>
    </row>
    <row r="526" spans="1:9" x14ac:dyDescent="0.2">
      <c r="A526" t="s">
        <v>447</v>
      </c>
      <c r="D526" t="str">
        <f>HYPERLINK("http://nlpdeep.cs.uic.edu:8080/proofing/t5/532481-physical-examination-0-12.pdf","t5/532481-physical-examination-0-12.pdf")</f>
        <v>t5/532481-physical-examination-0-12.pdf</v>
      </c>
      <c r="E526">
        <v>119960</v>
      </c>
      <c r="F526">
        <v>532481</v>
      </c>
      <c r="G526" t="s">
        <v>306</v>
      </c>
      <c r="H526" t="s">
        <v>138</v>
      </c>
      <c r="I526" t="s">
        <v>448</v>
      </c>
    </row>
    <row r="527" spans="1:9" x14ac:dyDescent="0.2">
      <c r="A527" t="s">
        <v>447</v>
      </c>
      <c r="D527" t="str">
        <f>HYPERLINK("http://nlpdeep.cs.uic.edu:8080/proofing/gsii/532481-physical-examination-0-12.pdf","gsii/532481-physical-examination-0-12.pdf")</f>
        <v>gsii/532481-physical-examination-0-12.pdf</v>
      </c>
      <c r="E527">
        <v>119960</v>
      </c>
      <c r="F527">
        <v>532481</v>
      </c>
      <c r="G527" t="s">
        <v>306</v>
      </c>
      <c r="H527" t="s">
        <v>138</v>
      </c>
      <c r="I527" t="s">
        <v>448</v>
      </c>
    </row>
    <row r="528" spans="1:9" x14ac:dyDescent="0.2">
      <c r="A528" t="s">
        <v>449</v>
      </c>
      <c r="D528" t="str">
        <f>HYPERLINK("http://nlpdeep.cs.uic.edu:8080/proofing/t5/532481-physical-examination-0-13.pdf","t5/532481-physical-examination-0-13.pdf")</f>
        <v>t5/532481-physical-examination-0-13.pdf</v>
      </c>
      <c r="E528">
        <v>119960</v>
      </c>
      <c r="F528">
        <v>532481</v>
      </c>
      <c r="G528" t="s">
        <v>306</v>
      </c>
      <c r="H528" t="s">
        <v>138</v>
      </c>
      <c r="I528" t="s">
        <v>450</v>
      </c>
    </row>
    <row r="529" spans="1:9" x14ac:dyDescent="0.2">
      <c r="A529" t="s">
        <v>449</v>
      </c>
      <c r="D529" t="str">
        <f>HYPERLINK("http://nlpdeep.cs.uic.edu:8080/proofing/gsii/532481-physical-examination-0-13.pdf","gsii/532481-physical-examination-0-13.pdf")</f>
        <v>gsii/532481-physical-examination-0-13.pdf</v>
      </c>
      <c r="E529">
        <v>119960</v>
      </c>
      <c r="F529">
        <v>532481</v>
      </c>
      <c r="G529" t="s">
        <v>306</v>
      </c>
      <c r="H529" t="s">
        <v>138</v>
      </c>
      <c r="I529" t="s">
        <v>450</v>
      </c>
    </row>
    <row r="530" spans="1:9" x14ac:dyDescent="0.2">
      <c r="A530" t="s">
        <v>451</v>
      </c>
      <c r="D530" t="str">
        <f>HYPERLINK("http://nlpdeep.cs.uic.edu:8080/proofing/t5/532481-physical-examination-0-14.pdf","t5/532481-physical-examination-0-14.pdf")</f>
        <v>t5/532481-physical-examination-0-14.pdf</v>
      </c>
      <c r="E530">
        <v>119960</v>
      </c>
      <c r="F530">
        <v>532481</v>
      </c>
      <c r="G530" t="s">
        <v>306</v>
      </c>
      <c r="H530" t="s">
        <v>138</v>
      </c>
      <c r="I530" t="s">
        <v>452</v>
      </c>
    </row>
    <row r="531" spans="1:9" x14ac:dyDescent="0.2">
      <c r="A531" t="s">
        <v>451</v>
      </c>
      <c r="D531" t="str">
        <f>HYPERLINK("http://nlpdeep.cs.uic.edu:8080/proofing/gsii/532481-physical-examination-0-14.pdf","gsii/532481-physical-examination-0-14.pdf")</f>
        <v>gsii/532481-physical-examination-0-14.pdf</v>
      </c>
      <c r="E531">
        <v>119960</v>
      </c>
      <c r="F531">
        <v>532481</v>
      </c>
      <c r="G531" t="s">
        <v>306</v>
      </c>
      <c r="H531" t="s">
        <v>138</v>
      </c>
      <c r="I531" t="s">
        <v>452</v>
      </c>
    </row>
    <row r="532" spans="1:9" x14ac:dyDescent="0.2">
      <c r="A532" t="s">
        <v>453</v>
      </c>
      <c r="D532" t="str">
        <f>HYPERLINK("http://nlpdeep.cs.uic.edu:8080/proofing/t5/532481-physical-examination-0-15.pdf","t5/532481-physical-examination-0-15.pdf")</f>
        <v>t5/532481-physical-examination-0-15.pdf</v>
      </c>
      <c r="E532">
        <v>119960</v>
      </c>
      <c r="F532">
        <v>532481</v>
      </c>
      <c r="G532" t="s">
        <v>306</v>
      </c>
      <c r="H532" t="s">
        <v>138</v>
      </c>
      <c r="I532" t="s">
        <v>454</v>
      </c>
    </row>
    <row r="533" spans="1:9" x14ac:dyDescent="0.2">
      <c r="A533" t="s">
        <v>453</v>
      </c>
      <c r="D533" t="str">
        <f>HYPERLINK("http://nlpdeep.cs.uic.edu:8080/proofing/gsii/532481-physical-examination-0-15.pdf","gsii/532481-physical-examination-0-15.pdf")</f>
        <v>gsii/532481-physical-examination-0-15.pdf</v>
      </c>
      <c r="E533">
        <v>119960</v>
      </c>
      <c r="F533">
        <v>532481</v>
      </c>
      <c r="G533" t="s">
        <v>306</v>
      </c>
      <c r="H533" t="s">
        <v>138</v>
      </c>
      <c r="I533" t="s">
        <v>454</v>
      </c>
    </row>
    <row r="534" spans="1:9" x14ac:dyDescent="0.2">
      <c r="A534" t="s">
        <v>455</v>
      </c>
      <c r="D534" t="str">
        <f>HYPERLINK("http://nlpdeep.cs.uic.edu:8080/proofing/t5/532481-physical-examination-0-16.pdf","t5/532481-physical-examination-0-16.pdf")</f>
        <v>t5/532481-physical-examination-0-16.pdf</v>
      </c>
      <c r="E534">
        <v>119960</v>
      </c>
      <c r="F534">
        <v>532481</v>
      </c>
      <c r="G534" t="s">
        <v>306</v>
      </c>
      <c r="H534" t="s">
        <v>138</v>
      </c>
      <c r="I534" t="s">
        <v>456</v>
      </c>
    </row>
    <row r="535" spans="1:9" x14ac:dyDescent="0.2">
      <c r="A535" t="s">
        <v>455</v>
      </c>
      <c r="D535" t="str">
        <f>HYPERLINK("http://nlpdeep.cs.uic.edu:8080/proofing/gsii/532481-physical-examination-0-16.pdf","gsii/532481-physical-examination-0-16.pdf")</f>
        <v>gsii/532481-physical-examination-0-16.pdf</v>
      </c>
      <c r="E535">
        <v>119960</v>
      </c>
      <c r="F535">
        <v>532481</v>
      </c>
      <c r="G535" t="s">
        <v>306</v>
      </c>
      <c r="H535" t="s">
        <v>138</v>
      </c>
      <c r="I535" t="s">
        <v>456</v>
      </c>
    </row>
    <row r="536" spans="1:9" x14ac:dyDescent="0.2">
      <c r="A536" t="s">
        <v>457</v>
      </c>
      <c r="D536" t="str">
        <f>HYPERLINK("http://nlpdeep.cs.uic.edu:8080/proofing/t5/532481-physical-examination-0-17.pdf","t5/532481-physical-examination-0-17.pdf")</f>
        <v>t5/532481-physical-examination-0-17.pdf</v>
      </c>
      <c r="E536">
        <v>119960</v>
      </c>
      <c r="F536">
        <v>532481</v>
      </c>
      <c r="G536" t="s">
        <v>306</v>
      </c>
      <c r="H536" t="s">
        <v>138</v>
      </c>
      <c r="I536" t="s">
        <v>458</v>
      </c>
    </row>
    <row r="537" spans="1:9" x14ac:dyDescent="0.2">
      <c r="A537" t="s">
        <v>457</v>
      </c>
      <c r="D537" t="str">
        <f>HYPERLINK("http://nlpdeep.cs.uic.edu:8080/proofing/gsii/532481-physical-examination-0-17.pdf","gsii/532481-physical-examination-0-17.pdf")</f>
        <v>gsii/532481-physical-examination-0-17.pdf</v>
      </c>
      <c r="E537">
        <v>119960</v>
      </c>
      <c r="F537">
        <v>532481</v>
      </c>
      <c r="G537" t="s">
        <v>306</v>
      </c>
      <c r="H537" t="s">
        <v>138</v>
      </c>
      <c r="I537" t="s">
        <v>458</v>
      </c>
    </row>
    <row r="538" spans="1:9" x14ac:dyDescent="0.2">
      <c r="A538" t="s">
        <v>459</v>
      </c>
      <c r="D538" t="str">
        <f>HYPERLINK("http://nlpdeep.cs.uic.edu:8080/proofing/t5/532481-physical-examination-0-18.pdf","t5/532481-physical-examination-0-18.pdf")</f>
        <v>t5/532481-physical-examination-0-18.pdf</v>
      </c>
      <c r="E538">
        <v>119960</v>
      </c>
      <c r="F538">
        <v>532481</v>
      </c>
      <c r="G538" t="s">
        <v>306</v>
      </c>
      <c r="H538" t="s">
        <v>138</v>
      </c>
      <c r="I538" t="s">
        <v>460</v>
      </c>
    </row>
    <row r="539" spans="1:9" x14ac:dyDescent="0.2">
      <c r="A539" t="s">
        <v>459</v>
      </c>
      <c r="D539" t="str">
        <f>HYPERLINK("http://nlpdeep.cs.uic.edu:8080/proofing/gsii/532481-physical-examination-0-18.pdf","gsii/532481-physical-examination-0-18.pdf")</f>
        <v>gsii/532481-physical-examination-0-18.pdf</v>
      </c>
      <c r="E539">
        <v>119960</v>
      </c>
      <c r="F539">
        <v>532481</v>
      </c>
      <c r="G539" t="s">
        <v>306</v>
      </c>
      <c r="H539" t="s">
        <v>138</v>
      </c>
      <c r="I539" t="s">
        <v>460</v>
      </c>
    </row>
    <row r="540" spans="1:9" x14ac:dyDescent="0.2">
      <c r="A540" t="s">
        <v>461</v>
      </c>
      <c r="D540" t="str">
        <f>HYPERLINK("http://nlpdeep.cs.uic.edu:8080/proofing/t5/532481-physical-examination-0-19.pdf","t5/532481-physical-examination-0-19.pdf")</f>
        <v>t5/532481-physical-examination-0-19.pdf</v>
      </c>
      <c r="E540">
        <v>119960</v>
      </c>
      <c r="F540">
        <v>532481</v>
      </c>
      <c r="G540" t="s">
        <v>306</v>
      </c>
      <c r="H540" t="s">
        <v>138</v>
      </c>
      <c r="I540" t="s">
        <v>462</v>
      </c>
    </row>
    <row r="541" spans="1:9" x14ac:dyDescent="0.2">
      <c r="A541" t="s">
        <v>461</v>
      </c>
      <c r="D541" t="str">
        <f>HYPERLINK("http://nlpdeep.cs.uic.edu:8080/proofing/gsii/532481-physical-examination-0-19.pdf","gsii/532481-physical-examination-0-19.pdf")</f>
        <v>gsii/532481-physical-examination-0-19.pdf</v>
      </c>
      <c r="E541">
        <v>119960</v>
      </c>
      <c r="F541">
        <v>532481</v>
      </c>
      <c r="G541" t="s">
        <v>306</v>
      </c>
      <c r="H541" t="s">
        <v>138</v>
      </c>
      <c r="I541" t="s">
        <v>462</v>
      </c>
    </row>
    <row r="542" spans="1:9" x14ac:dyDescent="0.2">
      <c r="A542" t="s">
        <v>463</v>
      </c>
      <c r="D542" t="str">
        <f>HYPERLINK("http://nlpdeep.cs.uic.edu:8080/proofing/t5/532481-physical-examination-0-20.pdf","t5/532481-physical-examination-0-20.pdf")</f>
        <v>t5/532481-physical-examination-0-20.pdf</v>
      </c>
      <c r="E542">
        <v>119960</v>
      </c>
      <c r="F542">
        <v>532481</v>
      </c>
      <c r="G542" t="s">
        <v>306</v>
      </c>
      <c r="H542" t="s">
        <v>138</v>
      </c>
      <c r="I542" t="s">
        <v>464</v>
      </c>
    </row>
    <row r="543" spans="1:9" x14ac:dyDescent="0.2">
      <c r="A543" t="s">
        <v>463</v>
      </c>
      <c r="D543" t="str">
        <f>HYPERLINK("http://nlpdeep.cs.uic.edu:8080/proofing/gsii/532481-physical-examination-0-20.pdf","gsii/532481-physical-examination-0-20.pdf")</f>
        <v>gsii/532481-physical-examination-0-20.pdf</v>
      </c>
      <c r="E543">
        <v>119960</v>
      </c>
      <c r="F543">
        <v>532481</v>
      </c>
      <c r="G543" t="s">
        <v>306</v>
      </c>
      <c r="H543" t="s">
        <v>138</v>
      </c>
      <c r="I543" t="s">
        <v>464</v>
      </c>
    </row>
    <row r="544" spans="1:9" x14ac:dyDescent="0.2">
      <c r="A544" t="s">
        <v>465</v>
      </c>
      <c r="D544" t="str">
        <f>HYPERLINK("http://nlpdeep.cs.uic.edu:8080/proofing/t5/532481-physical-examination-0-21.pdf","t5/532481-physical-examination-0-21.pdf")</f>
        <v>t5/532481-physical-examination-0-21.pdf</v>
      </c>
      <c r="E544">
        <v>119960</v>
      </c>
      <c r="F544">
        <v>532481</v>
      </c>
      <c r="G544" t="s">
        <v>306</v>
      </c>
      <c r="H544" t="s">
        <v>138</v>
      </c>
      <c r="I544" t="s">
        <v>466</v>
      </c>
    </row>
    <row r="545" spans="1:9" x14ac:dyDescent="0.2">
      <c r="A545" t="s">
        <v>465</v>
      </c>
      <c r="D545" t="str">
        <f>HYPERLINK("http://nlpdeep.cs.uic.edu:8080/proofing/gsii/532481-physical-examination-0-21.pdf","gsii/532481-physical-examination-0-21.pdf")</f>
        <v>gsii/532481-physical-examination-0-21.pdf</v>
      </c>
      <c r="E545">
        <v>119960</v>
      </c>
      <c r="F545">
        <v>532481</v>
      </c>
      <c r="G545" t="s">
        <v>306</v>
      </c>
      <c r="H545" t="s">
        <v>138</v>
      </c>
      <c r="I545" t="s">
        <v>466</v>
      </c>
    </row>
    <row r="546" spans="1:9" x14ac:dyDescent="0.2">
      <c r="A546" t="s">
        <v>467</v>
      </c>
      <c r="D546" t="str">
        <f>HYPERLINK("http://nlpdeep.cs.uic.edu:8080/proofing/t5/532481-physical-examination-0-22.pdf","t5/532481-physical-examination-0-22.pdf")</f>
        <v>t5/532481-physical-examination-0-22.pdf</v>
      </c>
      <c r="E546">
        <v>119960</v>
      </c>
      <c r="F546">
        <v>532481</v>
      </c>
      <c r="G546" t="s">
        <v>306</v>
      </c>
      <c r="H546" t="s">
        <v>138</v>
      </c>
      <c r="I546" t="s">
        <v>468</v>
      </c>
    </row>
    <row r="547" spans="1:9" x14ac:dyDescent="0.2">
      <c r="A547" t="s">
        <v>467</v>
      </c>
      <c r="D547" t="str">
        <f>HYPERLINK("http://nlpdeep.cs.uic.edu:8080/proofing/gsii/532481-physical-examination-0-22.pdf","gsii/532481-physical-examination-0-22.pdf")</f>
        <v>gsii/532481-physical-examination-0-22.pdf</v>
      </c>
      <c r="E547">
        <v>119960</v>
      </c>
      <c r="F547">
        <v>532481</v>
      </c>
      <c r="G547" t="s">
        <v>306</v>
      </c>
      <c r="H547" t="s">
        <v>138</v>
      </c>
      <c r="I547" t="s">
        <v>468</v>
      </c>
    </row>
    <row r="548" spans="1:9" x14ac:dyDescent="0.2">
      <c r="A548" t="s">
        <v>469</v>
      </c>
      <c r="D548" t="str">
        <f>HYPERLINK("http://nlpdeep.cs.uic.edu:8080/proofing/t5/532481-physical-examination-0-23.pdf","t5/532481-physical-examination-0-23.pdf")</f>
        <v>t5/532481-physical-examination-0-23.pdf</v>
      </c>
      <c r="E548">
        <v>119960</v>
      </c>
      <c r="F548">
        <v>532481</v>
      </c>
      <c r="G548" t="s">
        <v>306</v>
      </c>
      <c r="H548" t="s">
        <v>138</v>
      </c>
      <c r="I548" t="s">
        <v>470</v>
      </c>
    </row>
    <row r="549" spans="1:9" x14ac:dyDescent="0.2">
      <c r="A549" t="s">
        <v>469</v>
      </c>
      <c r="D549" t="str">
        <f>HYPERLINK("http://nlpdeep.cs.uic.edu:8080/proofing/gsii/532481-physical-examination-0-23.pdf","gsii/532481-physical-examination-0-23.pdf")</f>
        <v>gsii/532481-physical-examination-0-23.pdf</v>
      </c>
      <c r="E549">
        <v>119960</v>
      </c>
      <c r="F549">
        <v>532481</v>
      </c>
      <c r="G549" t="s">
        <v>306</v>
      </c>
      <c r="H549" t="s">
        <v>138</v>
      </c>
      <c r="I549" t="s">
        <v>470</v>
      </c>
    </row>
    <row r="550" spans="1:9" x14ac:dyDescent="0.2">
      <c r="A550" t="s">
        <v>471</v>
      </c>
      <c r="D550" t="str">
        <f>HYPERLINK("http://nlpdeep.cs.uic.edu:8080/proofing/t5/532481-physical-examination-0-24.pdf","t5/532481-physical-examination-0-24.pdf")</f>
        <v>t5/532481-physical-examination-0-24.pdf</v>
      </c>
      <c r="E550">
        <v>119960</v>
      </c>
      <c r="F550">
        <v>532481</v>
      </c>
      <c r="G550" t="s">
        <v>306</v>
      </c>
      <c r="H550" t="s">
        <v>138</v>
      </c>
      <c r="I550" t="s">
        <v>472</v>
      </c>
    </row>
    <row r="551" spans="1:9" x14ac:dyDescent="0.2">
      <c r="A551" t="s">
        <v>471</v>
      </c>
      <c r="D551" t="str">
        <f>HYPERLINK("http://nlpdeep.cs.uic.edu:8080/proofing/gsii/532481-physical-examination-0-24.pdf","gsii/532481-physical-examination-0-24.pdf")</f>
        <v>gsii/532481-physical-examination-0-24.pdf</v>
      </c>
      <c r="E551">
        <v>119960</v>
      </c>
      <c r="F551">
        <v>532481</v>
      </c>
      <c r="G551" t="s">
        <v>306</v>
      </c>
      <c r="H551" t="s">
        <v>138</v>
      </c>
      <c r="I551" t="s">
        <v>472</v>
      </c>
    </row>
    <row r="552" spans="1:9" x14ac:dyDescent="0.2">
      <c r="A552" t="s">
        <v>473</v>
      </c>
      <c r="D552" t="str">
        <f>HYPERLINK("http://nlpdeep.cs.uic.edu:8080/proofing/t5/532481-physical-examination-0-25.pdf","t5/532481-physical-examination-0-25.pdf")</f>
        <v>t5/532481-physical-examination-0-25.pdf</v>
      </c>
      <c r="E552">
        <v>119960</v>
      </c>
      <c r="F552">
        <v>532481</v>
      </c>
      <c r="G552" t="s">
        <v>306</v>
      </c>
      <c r="H552" t="s">
        <v>138</v>
      </c>
      <c r="I552" t="s">
        <v>474</v>
      </c>
    </row>
    <row r="553" spans="1:9" x14ac:dyDescent="0.2">
      <c r="A553" t="s">
        <v>473</v>
      </c>
      <c r="D553" t="str">
        <f>HYPERLINK("http://nlpdeep.cs.uic.edu:8080/proofing/gsii/532481-physical-examination-0-25.pdf","gsii/532481-physical-examination-0-25.pdf")</f>
        <v>gsii/532481-physical-examination-0-25.pdf</v>
      </c>
      <c r="E553">
        <v>119960</v>
      </c>
      <c r="F553">
        <v>532481</v>
      </c>
      <c r="G553" t="s">
        <v>306</v>
      </c>
      <c r="H553" t="s">
        <v>138</v>
      </c>
      <c r="I553" t="s">
        <v>474</v>
      </c>
    </row>
    <row r="554" spans="1:9" x14ac:dyDescent="0.2">
      <c r="A554" t="s">
        <v>475</v>
      </c>
      <c r="D554" t="str">
        <f>HYPERLINK("http://nlpdeep.cs.uic.edu:8080/proofing/t5/532481-physical-examination-0-26.pdf","t5/532481-physical-examination-0-26.pdf")</f>
        <v>t5/532481-physical-examination-0-26.pdf</v>
      </c>
      <c r="E554">
        <v>119960</v>
      </c>
      <c r="F554">
        <v>532481</v>
      </c>
      <c r="G554" t="s">
        <v>306</v>
      </c>
      <c r="H554" t="s">
        <v>138</v>
      </c>
      <c r="I554" t="s">
        <v>476</v>
      </c>
    </row>
    <row r="555" spans="1:9" x14ac:dyDescent="0.2">
      <c r="A555" t="s">
        <v>475</v>
      </c>
      <c r="D555" t="str">
        <f>HYPERLINK("http://nlpdeep.cs.uic.edu:8080/proofing/gsii/532481-physical-examination-0-26.pdf","gsii/532481-physical-examination-0-26.pdf")</f>
        <v>gsii/532481-physical-examination-0-26.pdf</v>
      </c>
      <c r="E555">
        <v>119960</v>
      </c>
      <c r="F555">
        <v>532481</v>
      </c>
      <c r="G555" t="s">
        <v>306</v>
      </c>
      <c r="H555" t="s">
        <v>138</v>
      </c>
      <c r="I555" t="s">
        <v>476</v>
      </c>
    </row>
    <row r="556" spans="1:9" x14ac:dyDescent="0.2">
      <c r="A556" t="s">
        <v>477</v>
      </c>
      <c r="D556" t="str">
        <f>HYPERLINK("http://nlpdeep.cs.uic.edu:8080/proofing/t5/532481-physical-examination-0-27.pdf","t5/532481-physical-examination-0-27.pdf")</f>
        <v>t5/532481-physical-examination-0-27.pdf</v>
      </c>
      <c r="E556">
        <v>119960</v>
      </c>
      <c r="F556">
        <v>532481</v>
      </c>
      <c r="G556" t="s">
        <v>306</v>
      </c>
      <c r="H556" t="s">
        <v>138</v>
      </c>
      <c r="I556" t="s">
        <v>478</v>
      </c>
    </row>
    <row r="557" spans="1:9" x14ac:dyDescent="0.2">
      <c r="A557" t="s">
        <v>477</v>
      </c>
      <c r="D557" t="str">
        <f>HYPERLINK("http://nlpdeep.cs.uic.edu:8080/proofing/gsii/532481-physical-examination-0-27.pdf","gsii/532481-physical-examination-0-27.pdf")</f>
        <v>gsii/532481-physical-examination-0-27.pdf</v>
      </c>
      <c r="E557">
        <v>119960</v>
      </c>
      <c r="F557">
        <v>532481</v>
      </c>
      <c r="G557" t="s">
        <v>306</v>
      </c>
      <c r="H557" t="s">
        <v>138</v>
      </c>
      <c r="I557" t="s">
        <v>478</v>
      </c>
    </row>
    <row r="558" spans="1:9" x14ac:dyDescent="0.2">
      <c r="A558" t="s">
        <v>479</v>
      </c>
      <c r="D558" t="str">
        <f>HYPERLINK("http://nlpdeep.cs.uic.edu:8080/proofing/t5/532481-physical-examination-0-28.pdf","t5/532481-physical-examination-0-28.pdf")</f>
        <v>t5/532481-physical-examination-0-28.pdf</v>
      </c>
      <c r="E558">
        <v>119960</v>
      </c>
      <c r="F558">
        <v>532481</v>
      </c>
      <c r="G558" t="s">
        <v>306</v>
      </c>
      <c r="H558" t="s">
        <v>138</v>
      </c>
      <c r="I558" t="s">
        <v>480</v>
      </c>
    </row>
    <row r="559" spans="1:9" x14ac:dyDescent="0.2">
      <c r="A559" t="s">
        <v>479</v>
      </c>
      <c r="D559" t="str">
        <f>HYPERLINK("http://nlpdeep.cs.uic.edu:8080/proofing/gsii/532481-physical-examination-0-28.pdf","gsii/532481-physical-examination-0-28.pdf")</f>
        <v>gsii/532481-physical-examination-0-28.pdf</v>
      </c>
      <c r="E559">
        <v>119960</v>
      </c>
      <c r="F559">
        <v>532481</v>
      </c>
      <c r="G559" t="s">
        <v>306</v>
      </c>
      <c r="H559" t="s">
        <v>138</v>
      </c>
      <c r="I559" t="s">
        <v>480</v>
      </c>
    </row>
    <row r="560" spans="1:9" x14ac:dyDescent="0.2">
      <c r="A560" t="s">
        <v>481</v>
      </c>
      <c r="D560" t="str">
        <f>HYPERLINK("http://nlpdeep.cs.uic.edu:8080/proofing/t5/532481-physical-examination-0-29.pdf","t5/532481-physical-examination-0-29.pdf")</f>
        <v>t5/532481-physical-examination-0-29.pdf</v>
      </c>
      <c r="E560">
        <v>119960</v>
      </c>
      <c r="F560">
        <v>532481</v>
      </c>
      <c r="G560" t="s">
        <v>306</v>
      </c>
      <c r="H560" t="s">
        <v>138</v>
      </c>
      <c r="I560" t="s">
        <v>482</v>
      </c>
    </row>
    <row r="561" spans="1:9" x14ac:dyDescent="0.2">
      <c r="A561" t="s">
        <v>481</v>
      </c>
      <c r="D561" t="str">
        <f>HYPERLINK("http://nlpdeep.cs.uic.edu:8080/proofing/gsii/532481-physical-examination-0-29.pdf","gsii/532481-physical-examination-0-29.pdf")</f>
        <v>gsii/532481-physical-examination-0-29.pdf</v>
      </c>
      <c r="E561">
        <v>119960</v>
      </c>
      <c r="F561">
        <v>532481</v>
      </c>
      <c r="G561" t="s">
        <v>306</v>
      </c>
      <c r="H561" t="s">
        <v>138</v>
      </c>
      <c r="I561" t="s">
        <v>482</v>
      </c>
    </row>
    <row r="562" spans="1:9" x14ac:dyDescent="0.2">
      <c r="A562" t="s">
        <v>483</v>
      </c>
      <c r="D562" t="str">
        <f>HYPERLINK("http://nlpdeep.cs.uic.edu:8080/proofing/t5/532481-physical-examination-0-30.pdf","t5/532481-physical-examination-0-30.pdf")</f>
        <v>t5/532481-physical-examination-0-30.pdf</v>
      </c>
      <c r="E562">
        <v>119960</v>
      </c>
      <c r="F562">
        <v>532481</v>
      </c>
      <c r="G562" t="s">
        <v>306</v>
      </c>
      <c r="H562" t="s">
        <v>138</v>
      </c>
      <c r="I562" t="s">
        <v>484</v>
      </c>
    </row>
    <row r="563" spans="1:9" x14ac:dyDescent="0.2">
      <c r="A563" t="s">
        <v>483</v>
      </c>
      <c r="D563" t="str">
        <f>HYPERLINK("http://nlpdeep.cs.uic.edu:8080/proofing/gsii/532481-physical-examination-0-30.pdf","gsii/532481-physical-examination-0-30.pdf")</f>
        <v>gsii/532481-physical-examination-0-30.pdf</v>
      </c>
      <c r="E563">
        <v>119960</v>
      </c>
      <c r="F563">
        <v>532481</v>
      </c>
      <c r="G563" t="s">
        <v>306</v>
      </c>
      <c r="H563" t="s">
        <v>138</v>
      </c>
      <c r="I563" t="s">
        <v>484</v>
      </c>
    </row>
    <row r="564" spans="1:9" x14ac:dyDescent="0.2">
      <c r="A564" t="s">
        <v>485</v>
      </c>
      <c r="D564" t="str">
        <f>HYPERLINK("http://nlpdeep.cs.uic.edu:8080/proofing/t5/532481-physical-examination-0-31.pdf","t5/532481-physical-examination-0-31.pdf")</f>
        <v>t5/532481-physical-examination-0-31.pdf</v>
      </c>
      <c r="E564">
        <v>119960</v>
      </c>
      <c r="F564">
        <v>532481</v>
      </c>
      <c r="G564" t="s">
        <v>306</v>
      </c>
      <c r="H564" t="s">
        <v>138</v>
      </c>
      <c r="I564" t="s">
        <v>486</v>
      </c>
    </row>
    <row r="565" spans="1:9" x14ac:dyDescent="0.2">
      <c r="A565" t="s">
        <v>485</v>
      </c>
      <c r="D565" t="str">
        <f>HYPERLINK("http://nlpdeep.cs.uic.edu:8080/proofing/gsii/532481-physical-examination-0-31.pdf","gsii/532481-physical-examination-0-31.pdf")</f>
        <v>gsii/532481-physical-examination-0-31.pdf</v>
      </c>
      <c r="E565">
        <v>119960</v>
      </c>
      <c r="F565">
        <v>532481</v>
      </c>
      <c r="G565" t="s">
        <v>306</v>
      </c>
      <c r="H565" t="s">
        <v>138</v>
      </c>
      <c r="I565" t="s">
        <v>486</v>
      </c>
    </row>
    <row r="566" spans="1:9" x14ac:dyDescent="0.2">
      <c r="A566" t="s">
        <v>487</v>
      </c>
      <c r="D566" t="str">
        <f>HYPERLINK("http://nlpdeep.cs.uic.edu:8080/proofing/t5/532481-physical-examination-0-32.pdf","t5/532481-physical-examination-0-32.pdf")</f>
        <v>t5/532481-physical-examination-0-32.pdf</v>
      </c>
      <c r="E566">
        <v>119960</v>
      </c>
      <c r="F566">
        <v>532481</v>
      </c>
      <c r="G566" t="s">
        <v>306</v>
      </c>
      <c r="H566" t="s">
        <v>138</v>
      </c>
      <c r="I566" t="s">
        <v>488</v>
      </c>
    </row>
    <row r="567" spans="1:9" x14ac:dyDescent="0.2">
      <c r="A567" t="s">
        <v>487</v>
      </c>
      <c r="D567" t="str">
        <f>HYPERLINK("http://nlpdeep.cs.uic.edu:8080/proofing/gsii/532481-physical-examination-0-32.pdf","gsii/532481-physical-examination-0-32.pdf")</f>
        <v>gsii/532481-physical-examination-0-32.pdf</v>
      </c>
      <c r="E567">
        <v>119960</v>
      </c>
      <c r="F567">
        <v>532481</v>
      </c>
      <c r="G567" t="s">
        <v>306</v>
      </c>
      <c r="H567" t="s">
        <v>138</v>
      </c>
      <c r="I567" t="s">
        <v>488</v>
      </c>
    </row>
    <row r="568" spans="1:9" x14ac:dyDescent="0.2">
      <c r="A568" t="s">
        <v>489</v>
      </c>
      <c r="D568" t="str">
        <f>HYPERLINK("http://nlpdeep.cs.uic.edu:8080/proofing/t5/532481-labs-imaging-0-0.pdf","t5/532481-labs-imaging-0-0.pdf")</f>
        <v>t5/532481-labs-imaging-0-0.pdf</v>
      </c>
      <c r="E568">
        <v>119960</v>
      </c>
      <c r="F568">
        <v>532481</v>
      </c>
      <c r="G568" t="s">
        <v>306</v>
      </c>
      <c r="H568" t="s">
        <v>147</v>
      </c>
      <c r="I568" t="s">
        <v>490</v>
      </c>
    </row>
    <row r="569" spans="1:9" x14ac:dyDescent="0.2">
      <c r="A569" t="s">
        <v>489</v>
      </c>
      <c r="D569" t="str">
        <f>HYPERLINK("http://nlpdeep.cs.uic.edu:8080/proofing/gsii/532481-labs-imaging-0-0.pdf","gsii/532481-labs-imaging-0-0.pdf")</f>
        <v>gsii/532481-labs-imaging-0-0.pdf</v>
      </c>
      <c r="E569">
        <v>119960</v>
      </c>
      <c r="F569">
        <v>532481</v>
      </c>
      <c r="G569" t="s">
        <v>306</v>
      </c>
      <c r="H569" t="s">
        <v>147</v>
      </c>
      <c r="I569" t="s">
        <v>490</v>
      </c>
    </row>
    <row r="570" spans="1:9" x14ac:dyDescent="0.2">
      <c r="A570" t="s">
        <v>491</v>
      </c>
      <c r="D570" t="str">
        <f>HYPERLINK("http://nlpdeep.cs.uic.edu:8080/proofing/t5/532481-assessment-and-plan-0-0.pdf","t5/532481-assessment-and-plan-0-0.pdf")</f>
        <v>t5/532481-assessment-and-plan-0-0.pdf</v>
      </c>
      <c r="E570">
        <v>119960</v>
      </c>
      <c r="F570">
        <v>532481</v>
      </c>
      <c r="G570" t="s">
        <v>306</v>
      </c>
      <c r="H570" t="s">
        <v>195</v>
      </c>
      <c r="I570" t="s">
        <v>311</v>
      </c>
    </row>
    <row r="571" spans="1:9" x14ac:dyDescent="0.2">
      <c r="A571" t="s">
        <v>491</v>
      </c>
      <c r="D571" t="str">
        <f>HYPERLINK("http://nlpdeep.cs.uic.edu:8080/proofing/gsii/532481-assessment-and-plan-0-0.pdf","gsii/532481-assessment-and-plan-0-0.pdf")</f>
        <v>gsii/532481-assessment-and-plan-0-0.pdf</v>
      </c>
      <c r="E571">
        <v>119960</v>
      </c>
      <c r="F571">
        <v>532481</v>
      </c>
      <c r="G571" t="s">
        <v>306</v>
      </c>
      <c r="H571" t="s">
        <v>195</v>
      </c>
      <c r="I571" t="s">
        <v>311</v>
      </c>
    </row>
    <row r="572" spans="1:9" x14ac:dyDescent="0.2">
      <c r="A572" t="s">
        <v>492</v>
      </c>
      <c r="D572" t="str">
        <f>HYPERLINK("http://nlpdeep.cs.uic.edu:8080/proofing/t5/532481-assessment-and-plan-0-1.pdf","t5/532481-assessment-and-plan-0-1.pdf")</f>
        <v>t5/532481-assessment-and-plan-0-1.pdf</v>
      </c>
      <c r="E572">
        <v>119960</v>
      </c>
      <c r="F572">
        <v>532481</v>
      </c>
      <c r="G572" t="s">
        <v>306</v>
      </c>
      <c r="H572" t="s">
        <v>195</v>
      </c>
      <c r="I572" t="s">
        <v>493</v>
      </c>
    </row>
    <row r="573" spans="1:9" x14ac:dyDescent="0.2">
      <c r="A573" t="s">
        <v>492</v>
      </c>
      <c r="D573" t="str">
        <f>HYPERLINK("http://nlpdeep.cs.uic.edu:8080/proofing/gsii/532481-assessment-and-plan-0-1.pdf","gsii/532481-assessment-and-plan-0-1.pdf")</f>
        <v>gsii/532481-assessment-and-plan-0-1.pdf</v>
      </c>
      <c r="E573">
        <v>119960</v>
      </c>
      <c r="F573">
        <v>532481</v>
      </c>
      <c r="G573" t="s">
        <v>306</v>
      </c>
      <c r="H573" t="s">
        <v>195</v>
      </c>
      <c r="I573" t="s">
        <v>493</v>
      </c>
    </row>
    <row r="574" spans="1:9" x14ac:dyDescent="0.2">
      <c r="A574" t="s">
        <v>494</v>
      </c>
      <c r="D574" t="str">
        <f>HYPERLINK("http://nlpdeep.cs.uic.edu:8080/proofing/t5/532481-assessment-and-plan-0-2.pdf","t5/532481-assessment-and-plan-0-2.pdf")</f>
        <v>t5/532481-assessment-and-plan-0-2.pdf</v>
      </c>
      <c r="E574">
        <v>119960</v>
      </c>
      <c r="F574">
        <v>532481</v>
      </c>
      <c r="G574" t="s">
        <v>306</v>
      </c>
      <c r="H574" t="s">
        <v>195</v>
      </c>
      <c r="I574" t="s">
        <v>495</v>
      </c>
    </row>
    <row r="575" spans="1:9" x14ac:dyDescent="0.2">
      <c r="A575" t="s">
        <v>494</v>
      </c>
      <c r="D575" t="str">
        <f>HYPERLINK("http://nlpdeep.cs.uic.edu:8080/proofing/gsii/532481-assessment-and-plan-0-2.pdf","gsii/532481-assessment-and-plan-0-2.pdf")</f>
        <v>gsii/532481-assessment-and-plan-0-2.pdf</v>
      </c>
      <c r="E575">
        <v>119960</v>
      </c>
      <c r="F575">
        <v>532481</v>
      </c>
      <c r="G575" t="s">
        <v>306</v>
      </c>
      <c r="H575" t="s">
        <v>195</v>
      </c>
      <c r="I575" t="s">
        <v>495</v>
      </c>
    </row>
    <row r="576" spans="1:9" x14ac:dyDescent="0.2">
      <c r="A576" t="s">
        <v>496</v>
      </c>
      <c r="D576" t="str">
        <f>HYPERLINK("http://nlpdeep.cs.uic.edu:8080/proofing/t5/532481-assessment-and-plan-0-3.pdf","t5/532481-assessment-and-plan-0-3.pdf")</f>
        <v>t5/532481-assessment-and-plan-0-3.pdf</v>
      </c>
      <c r="E576">
        <v>119960</v>
      </c>
      <c r="F576">
        <v>532481</v>
      </c>
      <c r="G576" t="s">
        <v>306</v>
      </c>
      <c r="H576" t="s">
        <v>195</v>
      </c>
      <c r="I576" t="s">
        <v>497</v>
      </c>
    </row>
    <row r="577" spans="1:9" x14ac:dyDescent="0.2">
      <c r="A577" t="s">
        <v>496</v>
      </c>
      <c r="D577" t="str">
        <f>HYPERLINK("http://nlpdeep.cs.uic.edu:8080/proofing/gsii/532481-assessment-and-plan-0-3.pdf","gsii/532481-assessment-and-plan-0-3.pdf")</f>
        <v>gsii/532481-assessment-and-plan-0-3.pdf</v>
      </c>
      <c r="E577">
        <v>119960</v>
      </c>
      <c r="F577">
        <v>532481</v>
      </c>
      <c r="G577" t="s">
        <v>306</v>
      </c>
      <c r="H577" t="s">
        <v>195</v>
      </c>
      <c r="I577" t="s">
        <v>497</v>
      </c>
    </row>
    <row r="578" spans="1:9" x14ac:dyDescent="0.2">
      <c r="A578" t="s">
        <v>498</v>
      </c>
      <c r="D578" t="str">
        <f>HYPERLINK("http://nlpdeep.cs.uic.edu:8080/proofing/t5/532481-assessment-and-plan-0-4.pdf","t5/532481-assessment-and-plan-0-4.pdf")</f>
        <v>t5/532481-assessment-and-plan-0-4.pdf</v>
      </c>
      <c r="E578">
        <v>119960</v>
      </c>
      <c r="F578">
        <v>532481</v>
      </c>
      <c r="G578" t="s">
        <v>306</v>
      </c>
      <c r="H578" t="s">
        <v>195</v>
      </c>
      <c r="I578" t="s">
        <v>499</v>
      </c>
    </row>
    <row r="579" spans="1:9" x14ac:dyDescent="0.2">
      <c r="A579" t="s">
        <v>498</v>
      </c>
      <c r="D579" t="str">
        <f>HYPERLINK("http://nlpdeep.cs.uic.edu:8080/proofing/gsii/532481-assessment-and-plan-0-4.pdf","gsii/532481-assessment-and-plan-0-4.pdf")</f>
        <v>gsii/532481-assessment-and-plan-0-4.pdf</v>
      </c>
      <c r="E579">
        <v>119960</v>
      </c>
      <c r="F579">
        <v>532481</v>
      </c>
      <c r="G579" t="s">
        <v>306</v>
      </c>
      <c r="H579" t="s">
        <v>195</v>
      </c>
      <c r="I579" t="s">
        <v>499</v>
      </c>
    </row>
    <row r="580" spans="1:9" x14ac:dyDescent="0.2">
      <c r="A580" t="s">
        <v>500</v>
      </c>
      <c r="D580" t="str">
        <f>HYPERLINK("http://nlpdeep.cs.uic.edu:8080/proofing/t5/532481-assessment-and-plan-0-5.pdf","t5/532481-assessment-and-plan-0-5.pdf")</f>
        <v>t5/532481-assessment-and-plan-0-5.pdf</v>
      </c>
      <c r="E580">
        <v>119960</v>
      </c>
      <c r="F580">
        <v>532481</v>
      </c>
      <c r="G580" t="s">
        <v>306</v>
      </c>
      <c r="H580" t="s">
        <v>195</v>
      </c>
      <c r="I580" t="s">
        <v>501</v>
      </c>
    </row>
    <row r="581" spans="1:9" x14ac:dyDescent="0.2">
      <c r="A581" t="s">
        <v>500</v>
      </c>
      <c r="D581" t="str">
        <f>HYPERLINK("http://nlpdeep.cs.uic.edu:8080/proofing/gsii/532481-assessment-and-plan-0-5.pdf","gsii/532481-assessment-and-plan-0-5.pdf")</f>
        <v>gsii/532481-assessment-and-plan-0-5.pdf</v>
      </c>
      <c r="E581">
        <v>119960</v>
      </c>
      <c r="F581">
        <v>532481</v>
      </c>
      <c r="G581" t="s">
        <v>306</v>
      </c>
      <c r="H581" t="s">
        <v>195</v>
      </c>
      <c r="I581" t="s">
        <v>501</v>
      </c>
    </row>
    <row r="582" spans="1:9" x14ac:dyDescent="0.2">
      <c r="A582" t="s">
        <v>502</v>
      </c>
      <c r="D582" t="str">
        <f>HYPERLINK("http://nlpdeep.cs.uic.edu:8080/proofing/t5/532481-assessment-and-plan-0-6.pdf","t5/532481-assessment-and-plan-0-6.pdf")</f>
        <v>t5/532481-assessment-and-plan-0-6.pdf</v>
      </c>
      <c r="E582">
        <v>119960</v>
      </c>
      <c r="F582">
        <v>532481</v>
      </c>
      <c r="G582" t="s">
        <v>306</v>
      </c>
      <c r="H582" t="s">
        <v>195</v>
      </c>
      <c r="I582" t="s">
        <v>503</v>
      </c>
    </row>
    <row r="583" spans="1:9" x14ac:dyDescent="0.2">
      <c r="A583" t="s">
        <v>502</v>
      </c>
      <c r="D583" t="str">
        <f>HYPERLINK("http://nlpdeep.cs.uic.edu:8080/proofing/gsii/532481-assessment-and-plan-0-6.pdf","gsii/532481-assessment-and-plan-0-6.pdf")</f>
        <v>gsii/532481-assessment-and-plan-0-6.pdf</v>
      </c>
      <c r="E583">
        <v>119960</v>
      </c>
      <c r="F583">
        <v>532481</v>
      </c>
      <c r="G583" t="s">
        <v>306</v>
      </c>
      <c r="H583" t="s">
        <v>195</v>
      </c>
      <c r="I583" t="s">
        <v>503</v>
      </c>
    </row>
    <row r="584" spans="1:9" x14ac:dyDescent="0.2">
      <c r="A584" t="s">
        <v>504</v>
      </c>
      <c r="D584" t="str">
        <f>HYPERLINK("http://nlpdeep.cs.uic.edu:8080/proofing/t5/532481-assessment-and-plan-0-7.pdf","t5/532481-assessment-and-plan-0-7.pdf")</f>
        <v>t5/532481-assessment-and-plan-0-7.pdf</v>
      </c>
      <c r="E584">
        <v>119960</v>
      </c>
      <c r="F584">
        <v>532481</v>
      </c>
      <c r="G584" t="s">
        <v>306</v>
      </c>
      <c r="H584" t="s">
        <v>195</v>
      </c>
      <c r="I584" t="s">
        <v>505</v>
      </c>
    </row>
    <row r="585" spans="1:9" x14ac:dyDescent="0.2">
      <c r="A585" t="s">
        <v>504</v>
      </c>
      <c r="D585" t="str">
        <f>HYPERLINK("http://nlpdeep.cs.uic.edu:8080/proofing/gsii/532481-assessment-and-plan-0-7.pdf","gsii/532481-assessment-and-plan-0-7.pdf")</f>
        <v>gsii/532481-assessment-and-plan-0-7.pdf</v>
      </c>
      <c r="E585">
        <v>119960</v>
      </c>
      <c r="F585">
        <v>532481</v>
      </c>
      <c r="G585" t="s">
        <v>306</v>
      </c>
      <c r="H585" t="s">
        <v>195</v>
      </c>
      <c r="I585" t="s">
        <v>505</v>
      </c>
    </row>
    <row r="586" spans="1:9" x14ac:dyDescent="0.2">
      <c r="A586" t="s">
        <v>506</v>
      </c>
      <c r="D586" t="str">
        <f>HYPERLINK("http://nlpdeep.cs.uic.edu:8080/proofing/t5/532481-assessment-and-plan-0-8.pdf","t5/532481-assessment-and-plan-0-8.pdf")</f>
        <v>t5/532481-assessment-and-plan-0-8.pdf</v>
      </c>
      <c r="E586">
        <v>119960</v>
      </c>
      <c r="F586">
        <v>532481</v>
      </c>
      <c r="G586" t="s">
        <v>306</v>
      </c>
      <c r="H586" t="s">
        <v>195</v>
      </c>
      <c r="I586" t="s">
        <v>507</v>
      </c>
    </row>
    <row r="587" spans="1:9" x14ac:dyDescent="0.2">
      <c r="A587" t="s">
        <v>506</v>
      </c>
      <c r="D587" t="str">
        <f>HYPERLINK("http://nlpdeep.cs.uic.edu:8080/proofing/gsii/532481-assessment-and-plan-0-8.pdf","gsii/532481-assessment-and-plan-0-8.pdf")</f>
        <v>gsii/532481-assessment-and-plan-0-8.pdf</v>
      </c>
      <c r="E587">
        <v>119960</v>
      </c>
      <c r="F587">
        <v>532481</v>
      </c>
      <c r="G587" t="s">
        <v>306</v>
      </c>
      <c r="H587" t="s">
        <v>195</v>
      </c>
      <c r="I587" t="s">
        <v>507</v>
      </c>
    </row>
    <row r="588" spans="1:9" x14ac:dyDescent="0.2">
      <c r="A588" t="s">
        <v>508</v>
      </c>
      <c r="D588" t="str">
        <f>HYPERLINK("http://nlpdeep.cs.uic.edu:8080/proofing/t5/532481-assessment-and-plan-0-9.pdf","t5/532481-assessment-and-plan-0-9.pdf")</f>
        <v>t5/532481-assessment-and-plan-0-9.pdf</v>
      </c>
      <c r="E588">
        <v>119960</v>
      </c>
      <c r="F588">
        <v>532481</v>
      </c>
      <c r="G588" t="s">
        <v>306</v>
      </c>
      <c r="H588" t="s">
        <v>195</v>
      </c>
      <c r="I588" t="s">
        <v>509</v>
      </c>
    </row>
    <row r="589" spans="1:9" x14ac:dyDescent="0.2">
      <c r="A589" t="s">
        <v>508</v>
      </c>
      <c r="D589" t="str">
        <f>HYPERLINK("http://nlpdeep.cs.uic.edu:8080/proofing/gsii/532481-assessment-and-plan-0-9.pdf","gsii/532481-assessment-and-plan-0-9.pdf")</f>
        <v>gsii/532481-assessment-and-plan-0-9.pdf</v>
      </c>
      <c r="E589">
        <v>119960</v>
      </c>
      <c r="F589">
        <v>532481</v>
      </c>
      <c r="G589" t="s">
        <v>306</v>
      </c>
      <c r="H589" t="s">
        <v>195</v>
      </c>
      <c r="I589" t="s">
        <v>509</v>
      </c>
    </row>
    <row r="590" spans="1:9" x14ac:dyDescent="0.2">
      <c r="A590" t="s">
        <v>510</v>
      </c>
      <c r="D590" t="str">
        <f>HYPERLINK("http://nlpdeep.cs.uic.edu:8080/proofing/t5/532481-assessment-and-plan-0-10.pdf","t5/532481-assessment-and-plan-0-10.pdf")</f>
        <v>t5/532481-assessment-and-plan-0-10.pdf</v>
      </c>
      <c r="E590">
        <v>119960</v>
      </c>
      <c r="F590">
        <v>532481</v>
      </c>
      <c r="G590" t="s">
        <v>306</v>
      </c>
      <c r="H590" t="s">
        <v>195</v>
      </c>
      <c r="I590" t="s">
        <v>511</v>
      </c>
    </row>
    <row r="591" spans="1:9" x14ac:dyDescent="0.2">
      <c r="A591" t="s">
        <v>510</v>
      </c>
      <c r="D591" t="str">
        <f>HYPERLINK("http://nlpdeep.cs.uic.edu:8080/proofing/gsii/532481-assessment-and-plan-0-10.pdf","gsii/532481-assessment-and-plan-0-10.pdf")</f>
        <v>gsii/532481-assessment-and-plan-0-10.pdf</v>
      </c>
      <c r="E591">
        <v>119960</v>
      </c>
      <c r="F591">
        <v>532481</v>
      </c>
      <c r="G591" t="s">
        <v>306</v>
      </c>
      <c r="H591" t="s">
        <v>195</v>
      </c>
      <c r="I591" t="s">
        <v>511</v>
      </c>
    </row>
    <row r="592" spans="1:9" x14ac:dyDescent="0.2">
      <c r="A592" t="s">
        <v>512</v>
      </c>
      <c r="D592" t="str">
        <f>HYPERLINK("http://nlpdeep.cs.uic.edu:8080/proofing/t5/532481-assessment-and-plan-0-11.pdf","t5/532481-assessment-and-plan-0-11.pdf")</f>
        <v>t5/532481-assessment-and-plan-0-11.pdf</v>
      </c>
      <c r="E592">
        <v>119960</v>
      </c>
      <c r="F592">
        <v>532481</v>
      </c>
      <c r="G592" t="s">
        <v>306</v>
      </c>
      <c r="H592" t="s">
        <v>195</v>
      </c>
      <c r="I592" t="s">
        <v>513</v>
      </c>
    </row>
    <row r="593" spans="1:9" x14ac:dyDescent="0.2">
      <c r="A593" t="s">
        <v>512</v>
      </c>
      <c r="D593" t="str">
        <f>HYPERLINK("http://nlpdeep.cs.uic.edu:8080/proofing/gsii/532481-assessment-and-plan-0-11.pdf","gsii/532481-assessment-and-plan-0-11.pdf")</f>
        <v>gsii/532481-assessment-and-plan-0-11.pdf</v>
      </c>
      <c r="E593">
        <v>119960</v>
      </c>
      <c r="F593">
        <v>532481</v>
      </c>
      <c r="G593" t="s">
        <v>306</v>
      </c>
      <c r="H593" t="s">
        <v>195</v>
      </c>
      <c r="I593" t="s">
        <v>513</v>
      </c>
    </row>
    <row r="594" spans="1:9" x14ac:dyDescent="0.2">
      <c r="A594" t="s">
        <v>514</v>
      </c>
      <c r="D594" t="str">
        <f>HYPERLINK("http://nlpdeep.cs.uic.edu:8080/proofing/t5/532481-assessment-and-plan-0-12.pdf","t5/532481-assessment-and-plan-0-12.pdf")</f>
        <v>t5/532481-assessment-and-plan-0-12.pdf</v>
      </c>
      <c r="E594">
        <v>119960</v>
      </c>
      <c r="F594">
        <v>532481</v>
      </c>
      <c r="G594" t="s">
        <v>306</v>
      </c>
      <c r="H594" t="s">
        <v>195</v>
      </c>
      <c r="I594" t="s">
        <v>515</v>
      </c>
    </row>
    <row r="595" spans="1:9" x14ac:dyDescent="0.2">
      <c r="A595" t="s">
        <v>514</v>
      </c>
      <c r="D595" t="str">
        <f>HYPERLINK("http://nlpdeep.cs.uic.edu:8080/proofing/gsii/532481-assessment-and-plan-0-12.pdf","gsii/532481-assessment-and-plan-0-12.pdf")</f>
        <v>gsii/532481-assessment-and-plan-0-12.pdf</v>
      </c>
      <c r="E595">
        <v>119960</v>
      </c>
      <c r="F595">
        <v>532481</v>
      </c>
      <c r="G595" t="s">
        <v>306</v>
      </c>
      <c r="H595" t="s">
        <v>195</v>
      </c>
      <c r="I595" t="s">
        <v>515</v>
      </c>
    </row>
    <row r="596" spans="1:9" x14ac:dyDescent="0.2">
      <c r="A596" t="s">
        <v>516</v>
      </c>
      <c r="D596" t="str">
        <f>HYPERLINK("http://nlpdeep.cs.uic.edu:8080/proofing/t5/532899-allergies-0-0.pdf","t5/532899-allergies-0-0.pdf")</f>
        <v>t5/532899-allergies-0-0.pdf</v>
      </c>
      <c r="E596">
        <v>119960</v>
      </c>
      <c r="F596">
        <v>532899</v>
      </c>
      <c r="G596" t="s">
        <v>9</v>
      </c>
      <c r="H596" t="s">
        <v>64</v>
      </c>
      <c r="I596" t="s">
        <v>517</v>
      </c>
    </row>
    <row r="597" spans="1:9" x14ac:dyDescent="0.2">
      <c r="A597" t="s">
        <v>516</v>
      </c>
      <c r="D597" t="str">
        <f>HYPERLINK("http://nlpdeep.cs.uic.edu:8080/proofing/gsii/532899-allergies-0-0.pdf","gsii/532899-allergies-0-0.pdf")</f>
        <v>gsii/532899-allergies-0-0.pdf</v>
      </c>
      <c r="E597">
        <v>119960</v>
      </c>
      <c r="F597">
        <v>532899</v>
      </c>
      <c r="G597" t="s">
        <v>9</v>
      </c>
      <c r="H597" t="s">
        <v>64</v>
      </c>
      <c r="I597" t="s">
        <v>517</v>
      </c>
    </row>
    <row r="598" spans="1:9" x14ac:dyDescent="0.2">
      <c r="A598" t="s">
        <v>518</v>
      </c>
      <c r="D598" t="str">
        <f>HYPERLINK("http://nlpdeep.cs.uic.edu:8080/proofing/t5/532899-last-dose-of-antibiotics-0-0.pdf","t5/532899-last-dose-of-antibiotics-0-0.pdf")</f>
        <v>t5/532899-last-dose-of-antibiotics-0-0.pdf</v>
      </c>
      <c r="E598">
        <v>119960</v>
      </c>
      <c r="F598">
        <v>532899</v>
      </c>
      <c r="G598" t="s">
        <v>9</v>
      </c>
      <c r="H598" t="s">
        <v>235</v>
      </c>
      <c r="I598" t="s">
        <v>519</v>
      </c>
    </row>
    <row r="599" spans="1:9" x14ac:dyDescent="0.2">
      <c r="A599" t="s">
        <v>518</v>
      </c>
      <c r="D599" t="str">
        <f>HYPERLINK("http://nlpdeep.cs.uic.edu:8080/proofing/gsii/532899-last-dose-of-antibiotics-0-0.pdf","gsii/532899-last-dose-of-antibiotics-0-0.pdf")</f>
        <v>gsii/532899-last-dose-of-antibiotics-0-0.pdf</v>
      </c>
      <c r="E599">
        <v>119960</v>
      </c>
      <c r="F599">
        <v>532899</v>
      </c>
      <c r="G599" t="s">
        <v>9</v>
      </c>
      <c r="H599" t="s">
        <v>235</v>
      </c>
      <c r="I599" t="s">
        <v>519</v>
      </c>
    </row>
    <row r="600" spans="1:9" x14ac:dyDescent="0.2">
      <c r="A600" t="s">
        <v>520</v>
      </c>
      <c r="D600" t="str">
        <f>HYPERLINK("http://nlpdeep.cs.uic.edu:8080/proofing/t5/532899-other-medications-0-0.pdf","t5/532899-other-medications-0-0.pdf")</f>
        <v>t5/532899-other-medications-0-0.pdf</v>
      </c>
      <c r="E600">
        <v>119960</v>
      </c>
      <c r="F600">
        <v>532899</v>
      </c>
      <c r="G600" t="s">
        <v>9</v>
      </c>
      <c r="H600" t="s">
        <v>67</v>
      </c>
      <c r="I600" t="s">
        <v>521</v>
      </c>
    </row>
    <row r="601" spans="1:9" x14ac:dyDescent="0.2">
      <c r="A601" t="s">
        <v>520</v>
      </c>
      <c r="D601" t="str">
        <f>HYPERLINK("http://nlpdeep.cs.uic.edu:8080/proofing/gsii/532899-other-medications-0-0.pdf","gsii/532899-other-medications-0-0.pdf")</f>
        <v>gsii/532899-other-medications-0-0.pdf</v>
      </c>
      <c r="E601">
        <v>119960</v>
      </c>
      <c r="F601">
        <v>532899</v>
      </c>
      <c r="G601" t="s">
        <v>9</v>
      </c>
      <c r="H601" t="s">
        <v>67</v>
      </c>
      <c r="I601" t="s">
        <v>521</v>
      </c>
    </row>
    <row r="602" spans="1:9" x14ac:dyDescent="0.2">
      <c r="A602" t="s">
        <v>522</v>
      </c>
      <c r="D602" t="str">
        <f>HYPERLINK("http://nlpdeep.cs.uic.edu:8080/proofing/t5/532899-past-medical-history-0-0.pdf","t5/532899-past-medical-history-0-0.pdf")</f>
        <v>t5/532899-past-medical-history-0-0.pdf</v>
      </c>
      <c r="E602">
        <v>119960</v>
      </c>
      <c r="F602">
        <v>532899</v>
      </c>
      <c r="G602" t="s">
        <v>9</v>
      </c>
      <c r="H602" t="s">
        <v>76</v>
      </c>
      <c r="I602" t="s">
        <v>523</v>
      </c>
    </row>
    <row r="603" spans="1:9" x14ac:dyDescent="0.2">
      <c r="A603" t="s">
        <v>522</v>
      </c>
      <c r="D603" t="str">
        <f>HYPERLINK("http://nlpdeep.cs.uic.edu:8080/proofing/gsii/532899-past-medical-history-0-0.pdf","gsii/532899-past-medical-history-0-0.pdf")</f>
        <v>gsii/532899-past-medical-history-0-0.pdf</v>
      </c>
      <c r="E603">
        <v>119960</v>
      </c>
      <c r="F603">
        <v>532899</v>
      </c>
      <c r="G603" t="s">
        <v>9</v>
      </c>
      <c r="H603" t="s">
        <v>76</v>
      </c>
      <c r="I603" t="s">
        <v>523</v>
      </c>
    </row>
    <row r="604" spans="1:9" x14ac:dyDescent="0.2">
      <c r="A604" t="s">
        <v>524</v>
      </c>
      <c r="D604" t="str">
        <f>HYPERLINK("http://nlpdeep.cs.uic.edu:8080/proofing/t5/532899-review-of-systems-0-0.pdf","t5/532899-review-of-systems-0-0.pdf")</f>
        <v>t5/532899-review-of-systems-0-0.pdf</v>
      </c>
      <c r="E604">
        <v>119960</v>
      </c>
      <c r="F604">
        <v>532899</v>
      </c>
      <c r="G604" t="s">
        <v>9</v>
      </c>
      <c r="H604" t="s">
        <v>393</v>
      </c>
      <c r="I604" t="s">
        <v>523</v>
      </c>
    </row>
    <row r="605" spans="1:9" x14ac:dyDescent="0.2">
      <c r="A605" t="s">
        <v>524</v>
      </c>
      <c r="D605" t="str">
        <f>HYPERLINK("http://nlpdeep.cs.uic.edu:8080/proofing/gsii/532899-review-of-systems-0-0.pdf","gsii/532899-review-of-systems-0-0.pdf")</f>
        <v>gsii/532899-review-of-systems-0-0.pdf</v>
      </c>
      <c r="E605">
        <v>119960</v>
      </c>
      <c r="F605">
        <v>532899</v>
      </c>
      <c r="G605" t="s">
        <v>9</v>
      </c>
      <c r="H605" t="s">
        <v>393</v>
      </c>
      <c r="I605" t="s">
        <v>523</v>
      </c>
    </row>
    <row r="606" spans="1:9" x14ac:dyDescent="0.2">
      <c r="A606" t="s">
        <v>525</v>
      </c>
      <c r="D606" t="str">
        <f>HYPERLINK("http://nlpdeep.cs.uic.edu:8080/proofing/t5/532899-flowsheet-data-vitals-0-0.pdf","t5/532899-flowsheet-data-vitals-0-0.pdf")</f>
        <v>t5/532899-flowsheet-data-vitals-0-0.pdf</v>
      </c>
      <c r="E606">
        <v>119960</v>
      </c>
      <c r="F606">
        <v>532899</v>
      </c>
      <c r="G606" t="s">
        <v>9</v>
      </c>
      <c r="H606" t="s">
        <v>135</v>
      </c>
      <c r="I606" t="s">
        <v>526</v>
      </c>
    </row>
    <row r="607" spans="1:9" x14ac:dyDescent="0.2">
      <c r="A607" t="s">
        <v>525</v>
      </c>
      <c r="D607" t="str">
        <f>HYPERLINK("http://nlpdeep.cs.uic.edu:8080/proofing/gsii/532899-flowsheet-data-vitals-0-0.pdf","gsii/532899-flowsheet-data-vitals-0-0.pdf")</f>
        <v>gsii/532899-flowsheet-data-vitals-0-0.pdf</v>
      </c>
      <c r="E607">
        <v>119960</v>
      </c>
      <c r="F607">
        <v>532899</v>
      </c>
      <c r="G607" t="s">
        <v>9</v>
      </c>
      <c r="H607" t="s">
        <v>135</v>
      </c>
      <c r="I607" t="s">
        <v>526</v>
      </c>
    </row>
    <row r="608" spans="1:9" x14ac:dyDescent="0.2">
      <c r="A608" t="s">
        <v>527</v>
      </c>
      <c r="D608" t="str">
        <f>HYPERLINK("http://nlpdeep.cs.uic.edu:8080/proofing/t5/532899-physical-examination-0-0.pdf","t5/532899-physical-examination-0-0.pdf")</f>
        <v>t5/532899-physical-examination-0-0.pdf</v>
      </c>
      <c r="E608">
        <v>119960</v>
      </c>
      <c r="F608">
        <v>532899</v>
      </c>
      <c r="G608" t="s">
        <v>9</v>
      </c>
      <c r="H608" t="s">
        <v>138</v>
      </c>
      <c r="I608" t="s">
        <v>528</v>
      </c>
    </row>
    <row r="609" spans="1:9" x14ac:dyDescent="0.2">
      <c r="A609" t="s">
        <v>527</v>
      </c>
      <c r="D609" t="str">
        <f>HYPERLINK("http://nlpdeep.cs.uic.edu:8080/proofing/gsii/532899-physical-examination-0-0.pdf","gsii/532899-physical-examination-0-0.pdf")</f>
        <v>gsii/532899-physical-examination-0-0.pdf</v>
      </c>
      <c r="E609">
        <v>119960</v>
      </c>
      <c r="F609">
        <v>532899</v>
      </c>
      <c r="G609" t="s">
        <v>9</v>
      </c>
      <c r="H609" t="s">
        <v>138</v>
      </c>
      <c r="I609" t="s">
        <v>528</v>
      </c>
    </row>
    <row r="610" spans="1:9" x14ac:dyDescent="0.2">
      <c r="A610" t="s">
        <v>529</v>
      </c>
      <c r="D610" t="str">
        <f>HYPERLINK("http://nlpdeep.cs.uic.edu:8080/proofing/t5/532899-physical-examination-0-1.pdf","t5/532899-physical-examination-0-1.pdf")</f>
        <v>t5/532899-physical-examination-0-1.pdf</v>
      </c>
      <c r="E610">
        <v>119960</v>
      </c>
      <c r="F610">
        <v>532899</v>
      </c>
      <c r="G610" t="s">
        <v>9</v>
      </c>
      <c r="H610" t="s">
        <v>138</v>
      </c>
      <c r="I610" t="s">
        <v>530</v>
      </c>
    </row>
    <row r="611" spans="1:9" x14ac:dyDescent="0.2">
      <c r="A611" t="s">
        <v>529</v>
      </c>
      <c r="D611" t="str">
        <f>HYPERLINK("http://nlpdeep.cs.uic.edu:8080/proofing/gsii/532899-physical-examination-0-1.pdf","gsii/532899-physical-examination-0-1.pdf")</f>
        <v>gsii/532899-physical-examination-0-1.pdf</v>
      </c>
      <c r="E611">
        <v>119960</v>
      </c>
      <c r="F611">
        <v>532899</v>
      </c>
      <c r="G611" t="s">
        <v>9</v>
      </c>
      <c r="H611" t="s">
        <v>138</v>
      </c>
      <c r="I611" t="s">
        <v>530</v>
      </c>
    </row>
    <row r="612" spans="1:9" x14ac:dyDescent="0.2">
      <c r="A612" t="s">
        <v>531</v>
      </c>
      <c r="D612" t="str">
        <f>HYPERLINK("http://nlpdeep.cs.uic.edu:8080/proofing/t5/532899-labs-imaging-0-0.pdf","t5/532899-labs-imaging-0-0.pdf")</f>
        <v>t5/532899-labs-imaging-0-0.pdf</v>
      </c>
      <c r="E612">
        <v>119960</v>
      </c>
      <c r="F612">
        <v>532899</v>
      </c>
      <c r="G612" t="s">
        <v>9</v>
      </c>
      <c r="H612" t="s">
        <v>147</v>
      </c>
      <c r="I612" t="s">
        <v>532</v>
      </c>
    </row>
    <row r="613" spans="1:9" x14ac:dyDescent="0.2">
      <c r="A613" t="s">
        <v>531</v>
      </c>
      <c r="D613" t="str">
        <f>HYPERLINK("http://nlpdeep.cs.uic.edu:8080/proofing/gsii/532899-labs-imaging-0-0.pdf","gsii/532899-labs-imaging-0-0.pdf")</f>
        <v>gsii/532899-labs-imaging-0-0.pdf</v>
      </c>
      <c r="E613">
        <v>119960</v>
      </c>
      <c r="F613">
        <v>532899</v>
      </c>
      <c r="G613" t="s">
        <v>9</v>
      </c>
      <c r="H613" t="s">
        <v>147</v>
      </c>
      <c r="I613" t="s">
        <v>532</v>
      </c>
    </row>
    <row r="614" spans="1:9" x14ac:dyDescent="0.2">
      <c r="A614" t="s">
        <v>533</v>
      </c>
      <c r="D614" t="str">
        <f>HYPERLINK("http://nlpdeep.cs.uic.edu:8080/proofing/t5/532899-assessment-and-plan-0-0.pdf","t5/532899-assessment-and-plan-0-0.pdf")</f>
        <v>t5/532899-assessment-and-plan-0-0.pdf</v>
      </c>
      <c r="E614">
        <v>119960</v>
      </c>
      <c r="F614">
        <v>532899</v>
      </c>
      <c r="G614" t="s">
        <v>9</v>
      </c>
      <c r="H614" t="s">
        <v>195</v>
      </c>
      <c r="I614" t="s">
        <v>534</v>
      </c>
    </row>
    <row r="615" spans="1:9" x14ac:dyDescent="0.2">
      <c r="A615" t="s">
        <v>533</v>
      </c>
      <c r="D615" t="str">
        <f>HYPERLINK("http://nlpdeep.cs.uic.edu:8080/proofing/gsii/532899-assessment-and-plan-0-0.pdf","gsii/532899-assessment-and-plan-0-0.pdf")</f>
        <v>gsii/532899-assessment-and-plan-0-0.pdf</v>
      </c>
      <c r="E615">
        <v>119960</v>
      </c>
      <c r="F615">
        <v>532899</v>
      </c>
      <c r="G615" t="s">
        <v>9</v>
      </c>
      <c r="H615" t="s">
        <v>195</v>
      </c>
      <c r="I615" t="s">
        <v>534</v>
      </c>
    </row>
    <row r="616" spans="1:9" x14ac:dyDescent="0.2">
      <c r="A616" t="s">
        <v>535</v>
      </c>
      <c r="D616" t="str">
        <f>HYPERLINK("http://nlpdeep.cs.uic.edu:8080/proofing/t5/532899-code-status-0-0.pdf","t5/532899-code-status-0-0.pdf")</f>
        <v>t5/532899-code-status-0-0.pdf</v>
      </c>
      <c r="E616">
        <v>119960</v>
      </c>
      <c r="F616">
        <v>532899</v>
      </c>
      <c r="G616" t="s">
        <v>9</v>
      </c>
      <c r="H616" t="s">
        <v>201</v>
      </c>
      <c r="I616" t="s">
        <v>536</v>
      </c>
    </row>
    <row r="617" spans="1:9" x14ac:dyDescent="0.2">
      <c r="A617" t="s">
        <v>535</v>
      </c>
      <c r="D617" t="str">
        <f>HYPERLINK("http://nlpdeep.cs.uic.edu:8080/proofing/gsii/532899-code-status-0-0.pdf","gsii/532899-code-status-0-0.pdf")</f>
        <v>gsii/532899-code-status-0-0.pdf</v>
      </c>
      <c r="E617">
        <v>119960</v>
      </c>
      <c r="F617">
        <v>532899</v>
      </c>
      <c r="G617" t="s">
        <v>9</v>
      </c>
      <c r="H617" t="s">
        <v>201</v>
      </c>
      <c r="I617" t="s">
        <v>536</v>
      </c>
    </row>
    <row r="618" spans="1:9" x14ac:dyDescent="0.2">
      <c r="A618" t="s">
        <v>537</v>
      </c>
      <c r="D618" t="str">
        <f>HYPERLINK("http://nlpdeep.cs.uic.edu:8080/proofing/t5/532483-24-hour-events-0-0.pdf","t5/532483-24-hour-events-0-0.pdf")</f>
        <v>t5/532483-24-hour-events-0-0.pdf</v>
      </c>
      <c r="E618">
        <v>119960</v>
      </c>
      <c r="F618">
        <v>532483</v>
      </c>
      <c r="G618" t="s">
        <v>9</v>
      </c>
      <c r="H618" t="s">
        <v>538</v>
      </c>
      <c r="I618" t="s">
        <v>539</v>
      </c>
    </row>
    <row r="619" spans="1:9" x14ac:dyDescent="0.2">
      <c r="A619" t="s">
        <v>537</v>
      </c>
      <c r="D619" t="str">
        <f>HYPERLINK("http://nlpdeep.cs.uic.edu:8080/proofing/gsii/532483-24-hour-events-0-0.pdf","gsii/532483-24-hour-events-0-0.pdf")</f>
        <v>gsii/532483-24-hour-events-0-0.pdf</v>
      </c>
      <c r="E619">
        <v>119960</v>
      </c>
      <c r="F619">
        <v>532483</v>
      </c>
      <c r="G619" t="s">
        <v>9</v>
      </c>
      <c r="H619" t="s">
        <v>538</v>
      </c>
      <c r="I619" t="s">
        <v>539</v>
      </c>
    </row>
    <row r="620" spans="1:9" x14ac:dyDescent="0.2">
      <c r="A620" t="s">
        <v>540</v>
      </c>
      <c r="D620" t="str">
        <f>HYPERLINK("http://nlpdeep.cs.uic.edu:8080/proofing/t5/532483-24-hour-events-0-1.pdf","t5/532483-24-hour-events-0-1.pdf")</f>
        <v>t5/532483-24-hour-events-0-1.pdf</v>
      </c>
      <c r="E620">
        <v>119960</v>
      </c>
      <c r="F620">
        <v>532483</v>
      </c>
      <c r="G620" t="s">
        <v>9</v>
      </c>
      <c r="H620" t="s">
        <v>538</v>
      </c>
      <c r="I620" t="s">
        <v>541</v>
      </c>
    </row>
    <row r="621" spans="1:9" x14ac:dyDescent="0.2">
      <c r="A621" t="s">
        <v>540</v>
      </c>
      <c r="D621" t="str">
        <f>HYPERLINK("http://nlpdeep.cs.uic.edu:8080/proofing/gsii/532483-24-hour-events-0-1.pdf","gsii/532483-24-hour-events-0-1.pdf")</f>
        <v>gsii/532483-24-hour-events-0-1.pdf</v>
      </c>
      <c r="E621">
        <v>119960</v>
      </c>
      <c r="F621">
        <v>532483</v>
      </c>
      <c r="G621" t="s">
        <v>9</v>
      </c>
      <c r="H621" t="s">
        <v>538</v>
      </c>
      <c r="I621" t="s">
        <v>541</v>
      </c>
    </row>
    <row r="622" spans="1:9" x14ac:dyDescent="0.2">
      <c r="A622" t="s">
        <v>542</v>
      </c>
      <c r="D622" t="str">
        <f>HYPERLINK("http://nlpdeep.cs.uic.edu:8080/proofing/t5/532483-allergies-0-0.pdf","t5/532483-allergies-0-0.pdf")</f>
        <v>t5/532483-allergies-0-0.pdf</v>
      </c>
      <c r="E622">
        <v>119960</v>
      </c>
      <c r="F622">
        <v>532483</v>
      </c>
      <c r="G622" t="s">
        <v>9</v>
      </c>
      <c r="H622" t="s">
        <v>64</v>
      </c>
      <c r="I622" t="s">
        <v>517</v>
      </c>
    </row>
    <row r="623" spans="1:9" x14ac:dyDescent="0.2">
      <c r="A623" t="s">
        <v>542</v>
      </c>
      <c r="D623" t="str">
        <f>HYPERLINK("http://nlpdeep.cs.uic.edu:8080/proofing/gsii/532483-allergies-0-0.pdf","gsii/532483-allergies-0-0.pdf")</f>
        <v>gsii/532483-allergies-0-0.pdf</v>
      </c>
      <c r="E623">
        <v>119960</v>
      </c>
      <c r="F623">
        <v>532483</v>
      </c>
      <c r="G623" t="s">
        <v>9</v>
      </c>
      <c r="H623" t="s">
        <v>64</v>
      </c>
      <c r="I623" t="s">
        <v>517</v>
      </c>
    </row>
    <row r="624" spans="1:9" x14ac:dyDescent="0.2">
      <c r="A624" t="s">
        <v>543</v>
      </c>
      <c r="D624" t="str">
        <f>HYPERLINK("http://nlpdeep.cs.uic.edu:8080/proofing/t5/532483-other-medications-0-0.pdf","t5/532483-other-medications-0-0.pdf")</f>
        <v>t5/532483-other-medications-0-0.pdf</v>
      </c>
      <c r="E624">
        <v>119960</v>
      </c>
      <c r="F624">
        <v>532483</v>
      </c>
      <c r="G624" t="s">
        <v>9</v>
      </c>
      <c r="H624" t="s">
        <v>67</v>
      </c>
      <c r="I624" t="s">
        <v>544</v>
      </c>
    </row>
    <row r="625" spans="1:9" x14ac:dyDescent="0.2">
      <c r="A625" t="s">
        <v>543</v>
      </c>
      <c r="D625" t="str">
        <f>HYPERLINK("http://nlpdeep.cs.uic.edu:8080/proofing/gsii/532483-other-medications-0-0.pdf","gsii/532483-other-medications-0-0.pdf")</f>
        <v>gsii/532483-other-medications-0-0.pdf</v>
      </c>
      <c r="E625">
        <v>119960</v>
      </c>
      <c r="F625">
        <v>532483</v>
      </c>
      <c r="G625" t="s">
        <v>9</v>
      </c>
      <c r="H625" t="s">
        <v>67</v>
      </c>
      <c r="I625" t="s">
        <v>544</v>
      </c>
    </row>
    <row r="626" spans="1:9" x14ac:dyDescent="0.2">
      <c r="A626" t="s">
        <v>545</v>
      </c>
      <c r="D626" t="str">
        <f>HYPERLINK("http://nlpdeep.cs.uic.edu:8080/proofing/t5/532483-past-medical-history-0-0.pdf","t5/532483-past-medical-history-0-0.pdf")</f>
        <v>t5/532483-past-medical-history-0-0.pdf</v>
      </c>
      <c r="E626">
        <v>119960</v>
      </c>
      <c r="F626">
        <v>532483</v>
      </c>
      <c r="G626" t="s">
        <v>9</v>
      </c>
      <c r="H626" t="s">
        <v>76</v>
      </c>
      <c r="I626" t="s">
        <v>546</v>
      </c>
    </row>
    <row r="627" spans="1:9" x14ac:dyDescent="0.2">
      <c r="A627" t="s">
        <v>545</v>
      </c>
      <c r="D627" t="str">
        <f>HYPERLINK("http://nlpdeep.cs.uic.edu:8080/proofing/gsii/532483-past-medical-history-0-0.pdf","gsii/532483-past-medical-history-0-0.pdf")</f>
        <v>gsii/532483-past-medical-history-0-0.pdf</v>
      </c>
      <c r="E627">
        <v>119960</v>
      </c>
      <c r="F627">
        <v>532483</v>
      </c>
      <c r="G627" t="s">
        <v>9</v>
      </c>
      <c r="H627" t="s">
        <v>76</v>
      </c>
      <c r="I627" t="s">
        <v>546</v>
      </c>
    </row>
    <row r="628" spans="1:9" x14ac:dyDescent="0.2">
      <c r="A628" t="s">
        <v>547</v>
      </c>
      <c r="D628" t="str">
        <f>HYPERLINK("http://nlpdeep.cs.uic.edu:8080/proofing/t5/532483-review-of-systems-0-0.pdf","t5/532483-review-of-systems-0-0.pdf")</f>
        <v>t5/532483-review-of-systems-0-0.pdf</v>
      </c>
      <c r="E628">
        <v>119960</v>
      </c>
      <c r="F628">
        <v>532483</v>
      </c>
      <c r="G628" t="s">
        <v>9</v>
      </c>
      <c r="H628" t="s">
        <v>393</v>
      </c>
      <c r="I628" t="s">
        <v>546</v>
      </c>
    </row>
    <row r="629" spans="1:9" x14ac:dyDescent="0.2">
      <c r="A629" t="s">
        <v>547</v>
      </c>
      <c r="D629" t="str">
        <f>HYPERLINK("http://nlpdeep.cs.uic.edu:8080/proofing/gsii/532483-review-of-systems-0-0.pdf","gsii/532483-review-of-systems-0-0.pdf")</f>
        <v>gsii/532483-review-of-systems-0-0.pdf</v>
      </c>
      <c r="E629">
        <v>119960</v>
      </c>
      <c r="F629">
        <v>532483</v>
      </c>
      <c r="G629" t="s">
        <v>9</v>
      </c>
      <c r="H629" t="s">
        <v>393</v>
      </c>
      <c r="I629" t="s">
        <v>546</v>
      </c>
    </row>
    <row r="630" spans="1:9" x14ac:dyDescent="0.2">
      <c r="A630" t="s">
        <v>548</v>
      </c>
      <c r="D630" t="str">
        <f>HYPERLINK("http://nlpdeep.cs.uic.edu:8080/proofing/t5/532483-labs-imaging-0-0.pdf","t5/532483-labs-imaging-0-0.pdf")</f>
        <v>t5/532483-labs-imaging-0-0.pdf</v>
      </c>
      <c r="E630">
        <v>119960</v>
      </c>
      <c r="F630">
        <v>532483</v>
      </c>
      <c r="G630" t="s">
        <v>9</v>
      </c>
      <c r="H630" t="s">
        <v>147</v>
      </c>
      <c r="I630" t="s">
        <v>549</v>
      </c>
    </row>
    <row r="631" spans="1:9" x14ac:dyDescent="0.2">
      <c r="A631" t="s">
        <v>548</v>
      </c>
      <c r="D631" t="str">
        <f>HYPERLINK("http://nlpdeep.cs.uic.edu:8080/proofing/gsii/532483-labs-imaging-0-0.pdf","gsii/532483-labs-imaging-0-0.pdf")</f>
        <v>gsii/532483-labs-imaging-0-0.pdf</v>
      </c>
      <c r="E631">
        <v>119960</v>
      </c>
      <c r="F631">
        <v>532483</v>
      </c>
      <c r="G631" t="s">
        <v>9</v>
      </c>
      <c r="H631" t="s">
        <v>147</v>
      </c>
      <c r="I631" t="s">
        <v>549</v>
      </c>
    </row>
    <row r="632" spans="1:9" x14ac:dyDescent="0.2">
      <c r="A632" t="s">
        <v>550</v>
      </c>
      <c r="D632" t="str">
        <f>HYPERLINK("http://nlpdeep.cs.uic.edu:8080/proofing/t5/532483-physical-examination-0-0.pdf","t5/532483-physical-examination-0-0.pdf")</f>
        <v>t5/532483-physical-examination-0-0.pdf</v>
      </c>
      <c r="E632">
        <v>119960</v>
      </c>
      <c r="F632">
        <v>532483</v>
      </c>
      <c r="G632" t="s">
        <v>9</v>
      </c>
      <c r="H632" t="s">
        <v>138</v>
      </c>
      <c r="I632" t="s">
        <v>551</v>
      </c>
    </row>
    <row r="633" spans="1:9" x14ac:dyDescent="0.2">
      <c r="A633" t="s">
        <v>550</v>
      </c>
      <c r="D633" t="str">
        <f>HYPERLINK("http://nlpdeep.cs.uic.edu:8080/proofing/gsii/532483-physical-examination-0-0.pdf","gsii/532483-physical-examination-0-0.pdf")</f>
        <v>gsii/532483-physical-examination-0-0.pdf</v>
      </c>
      <c r="E633">
        <v>119960</v>
      </c>
      <c r="F633">
        <v>532483</v>
      </c>
      <c r="G633" t="s">
        <v>9</v>
      </c>
      <c r="H633" t="s">
        <v>138</v>
      </c>
      <c r="I633" t="s">
        <v>551</v>
      </c>
    </row>
    <row r="634" spans="1:9" x14ac:dyDescent="0.2">
      <c r="A634" t="s">
        <v>552</v>
      </c>
      <c r="D634" t="str">
        <f>HYPERLINK("http://nlpdeep.cs.uic.edu:8080/proofing/t5/532483-physical-examination-0-1.pdf","t5/532483-physical-examination-0-1.pdf")</f>
        <v>t5/532483-physical-examination-0-1.pdf</v>
      </c>
      <c r="E634">
        <v>119960</v>
      </c>
      <c r="F634">
        <v>532483</v>
      </c>
      <c r="G634" t="s">
        <v>9</v>
      </c>
      <c r="H634" t="s">
        <v>138</v>
      </c>
      <c r="I634" t="s">
        <v>553</v>
      </c>
    </row>
    <row r="635" spans="1:9" x14ac:dyDescent="0.2">
      <c r="A635" t="s">
        <v>552</v>
      </c>
      <c r="D635" t="str">
        <f>HYPERLINK("http://nlpdeep.cs.uic.edu:8080/proofing/gsii/532483-physical-examination-0-1.pdf","gsii/532483-physical-examination-0-1.pdf")</f>
        <v>gsii/532483-physical-examination-0-1.pdf</v>
      </c>
      <c r="E635">
        <v>119960</v>
      </c>
      <c r="F635">
        <v>532483</v>
      </c>
      <c r="G635" t="s">
        <v>9</v>
      </c>
      <c r="H635" t="s">
        <v>138</v>
      </c>
      <c r="I635" t="s">
        <v>553</v>
      </c>
    </row>
    <row r="636" spans="1:9" x14ac:dyDescent="0.2">
      <c r="A636" t="s">
        <v>554</v>
      </c>
      <c r="D636" t="str">
        <f>HYPERLINK("http://nlpdeep.cs.uic.edu:8080/proofing/t5/532483-physical-examination-0-2.pdf","t5/532483-physical-examination-0-2.pdf")</f>
        <v>t5/532483-physical-examination-0-2.pdf</v>
      </c>
      <c r="E636">
        <v>119960</v>
      </c>
      <c r="F636">
        <v>532483</v>
      </c>
      <c r="G636" t="s">
        <v>9</v>
      </c>
      <c r="H636" t="s">
        <v>138</v>
      </c>
      <c r="I636" t="s">
        <v>555</v>
      </c>
    </row>
    <row r="637" spans="1:9" x14ac:dyDescent="0.2">
      <c r="A637" t="s">
        <v>554</v>
      </c>
      <c r="D637" t="str">
        <f>HYPERLINK("http://nlpdeep.cs.uic.edu:8080/proofing/gsii/532483-physical-examination-0-2.pdf","gsii/532483-physical-examination-0-2.pdf")</f>
        <v>gsii/532483-physical-examination-0-2.pdf</v>
      </c>
      <c r="E637">
        <v>119960</v>
      </c>
      <c r="F637">
        <v>532483</v>
      </c>
      <c r="G637" t="s">
        <v>9</v>
      </c>
      <c r="H637" t="s">
        <v>138</v>
      </c>
      <c r="I637" t="s">
        <v>555</v>
      </c>
    </row>
    <row r="638" spans="1:9" x14ac:dyDescent="0.2">
      <c r="A638" t="s">
        <v>556</v>
      </c>
      <c r="D638" t="str">
        <f>HYPERLINK("http://nlpdeep.cs.uic.edu:8080/proofing/t5/532483-physical-examination-0-3.pdf","t5/532483-physical-examination-0-3.pdf")</f>
        <v>t5/532483-physical-examination-0-3.pdf</v>
      </c>
      <c r="E638">
        <v>119960</v>
      </c>
      <c r="F638">
        <v>532483</v>
      </c>
      <c r="G638" t="s">
        <v>9</v>
      </c>
      <c r="H638" t="s">
        <v>138</v>
      </c>
      <c r="I638" t="s">
        <v>557</v>
      </c>
    </row>
    <row r="639" spans="1:9" x14ac:dyDescent="0.2">
      <c r="A639" t="s">
        <v>556</v>
      </c>
      <c r="D639" t="str">
        <f>HYPERLINK("http://nlpdeep.cs.uic.edu:8080/proofing/gsii/532483-physical-examination-0-3.pdf","gsii/532483-physical-examination-0-3.pdf")</f>
        <v>gsii/532483-physical-examination-0-3.pdf</v>
      </c>
      <c r="E639">
        <v>119960</v>
      </c>
      <c r="F639">
        <v>532483</v>
      </c>
      <c r="G639" t="s">
        <v>9</v>
      </c>
      <c r="H639" t="s">
        <v>138</v>
      </c>
      <c r="I639" t="s">
        <v>557</v>
      </c>
    </row>
    <row r="640" spans="1:9" x14ac:dyDescent="0.2">
      <c r="A640" t="s">
        <v>558</v>
      </c>
      <c r="D640" t="str">
        <f>HYPERLINK("http://nlpdeep.cs.uic.edu:8080/proofing/t5/532483-physical-examination-0-4.pdf","t5/532483-physical-examination-0-4.pdf")</f>
        <v>t5/532483-physical-examination-0-4.pdf</v>
      </c>
      <c r="E640">
        <v>119960</v>
      </c>
      <c r="F640">
        <v>532483</v>
      </c>
      <c r="G640" t="s">
        <v>9</v>
      </c>
      <c r="H640" t="s">
        <v>138</v>
      </c>
      <c r="I640" t="s">
        <v>559</v>
      </c>
    </row>
    <row r="641" spans="1:9" x14ac:dyDescent="0.2">
      <c r="A641" t="s">
        <v>558</v>
      </c>
      <c r="D641" t="str">
        <f>HYPERLINK("http://nlpdeep.cs.uic.edu:8080/proofing/gsii/532483-physical-examination-0-4.pdf","gsii/532483-physical-examination-0-4.pdf")</f>
        <v>gsii/532483-physical-examination-0-4.pdf</v>
      </c>
      <c r="E641">
        <v>119960</v>
      </c>
      <c r="F641">
        <v>532483</v>
      </c>
      <c r="G641" t="s">
        <v>9</v>
      </c>
      <c r="H641" t="s">
        <v>138</v>
      </c>
      <c r="I641" t="s">
        <v>559</v>
      </c>
    </row>
    <row r="642" spans="1:9" x14ac:dyDescent="0.2">
      <c r="A642" t="s">
        <v>560</v>
      </c>
      <c r="D642" t="str">
        <f>HYPERLINK("http://nlpdeep.cs.uic.edu:8080/proofing/t5/532483-assessment-and-plan-0-0.pdf","t5/532483-assessment-and-plan-0-0.pdf")</f>
        <v>t5/532483-assessment-and-plan-0-0.pdf</v>
      </c>
      <c r="E642">
        <v>119960</v>
      </c>
      <c r="F642">
        <v>532483</v>
      </c>
      <c r="G642" t="s">
        <v>9</v>
      </c>
      <c r="H642" t="s">
        <v>195</v>
      </c>
      <c r="I642" t="s">
        <v>561</v>
      </c>
    </row>
    <row r="643" spans="1:9" x14ac:dyDescent="0.2">
      <c r="A643" t="s">
        <v>560</v>
      </c>
      <c r="D643" t="str">
        <f>HYPERLINK("http://nlpdeep.cs.uic.edu:8080/proofing/gsii/532483-assessment-and-plan-0-0.pdf","gsii/532483-assessment-and-plan-0-0.pdf")</f>
        <v>gsii/532483-assessment-and-plan-0-0.pdf</v>
      </c>
      <c r="E643">
        <v>119960</v>
      </c>
      <c r="F643">
        <v>532483</v>
      </c>
      <c r="G643" t="s">
        <v>9</v>
      </c>
      <c r="H643" t="s">
        <v>195</v>
      </c>
      <c r="I643" t="s">
        <v>561</v>
      </c>
    </row>
    <row r="644" spans="1:9" x14ac:dyDescent="0.2">
      <c r="A644" t="s">
        <v>562</v>
      </c>
      <c r="D644" t="str">
        <f>HYPERLINK("http://nlpdeep.cs.uic.edu:8080/proofing/t5/532483-communication-0-0.pdf","t5/532483-communication-0-0.pdf")</f>
        <v>t5/532483-communication-0-0.pdf</v>
      </c>
      <c r="E644">
        <v>119960</v>
      </c>
      <c r="F644">
        <v>532483</v>
      </c>
      <c r="G644" t="s">
        <v>9</v>
      </c>
      <c r="H644" t="s">
        <v>198</v>
      </c>
      <c r="I644" t="s">
        <v>563</v>
      </c>
    </row>
    <row r="645" spans="1:9" x14ac:dyDescent="0.2">
      <c r="A645" t="s">
        <v>562</v>
      </c>
      <c r="D645" t="str">
        <f>HYPERLINK("http://nlpdeep.cs.uic.edu:8080/proofing/gsii/532483-communication-0-0.pdf","gsii/532483-communication-0-0.pdf")</f>
        <v>gsii/532483-communication-0-0.pdf</v>
      </c>
      <c r="E645">
        <v>119960</v>
      </c>
      <c r="F645">
        <v>532483</v>
      </c>
      <c r="G645" t="s">
        <v>9</v>
      </c>
      <c r="H645" t="s">
        <v>198</v>
      </c>
      <c r="I645" t="s">
        <v>563</v>
      </c>
    </row>
    <row r="646" spans="1:9" x14ac:dyDescent="0.2">
      <c r="A646" t="s">
        <v>564</v>
      </c>
      <c r="D646" t="str">
        <f>HYPERLINK("http://nlpdeep.cs.uic.edu:8080/proofing/t5/532483-code-status-0-0.pdf","t5/532483-code-status-0-0.pdf")</f>
        <v>t5/532483-code-status-0-0.pdf</v>
      </c>
      <c r="E646">
        <v>119960</v>
      </c>
      <c r="F646">
        <v>532483</v>
      </c>
      <c r="G646" t="s">
        <v>9</v>
      </c>
      <c r="H646" t="s">
        <v>201</v>
      </c>
      <c r="I646" t="s">
        <v>202</v>
      </c>
    </row>
    <row r="647" spans="1:9" x14ac:dyDescent="0.2">
      <c r="A647" t="s">
        <v>564</v>
      </c>
      <c r="D647" t="str">
        <f>HYPERLINK("http://nlpdeep.cs.uic.edu:8080/proofing/gsii/532483-code-status-0-0.pdf","gsii/532483-code-status-0-0.pdf")</f>
        <v>gsii/532483-code-status-0-0.pdf</v>
      </c>
      <c r="E647">
        <v>119960</v>
      </c>
      <c r="F647">
        <v>532483</v>
      </c>
      <c r="G647" t="s">
        <v>9</v>
      </c>
      <c r="H647" t="s">
        <v>201</v>
      </c>
      <c r="I647" t="s">
        <v>202</v>
      </c>
    </row>
    <row r="648" spans="1:9" x14ac:dyDescent="0.2">
      <c r="A648" t="s">
        <v>565</v>
      </c>
      <c r="D648" t="str">
        <f>HYPERLINK("http://nlpdeep.cs.uic.edu:8080/proofing/t5/532483-disposition-0-0.pdf","t5/532483-disposition-0-0.pdf")</f>
        <v>t5/532483-disposition-0-0.pdf</v>
      </c>
      <c r="E648">
        <v>119960</v>
      </c>
      <c r="F648">
        <v>532483</v>
      </c>
      <c r="G648" t="s">
        <v>9</v>
      </c>
      <c r="H648" t="s">
        <v>204</v>
      </c>
      <c r="I648" t="s">
        <v>205</v>
      </c>
    </row>
    <row r="649" spans="1:9" x14ac:dyDescent="0.2">
      <c r="A649" t="s">
        <v>565</v>
      </c>
      <c r="D649" t="str">
        <f>HYPERLINK("http://nlpdeep.cs.uic.edu:8080/proofing/gsii/532483-disposition-0-0.pdf","gsii/532483-disposition-0-0.pdf")</f>
        <v>gsii/532483-disposition-0-0.pdf</v>
      </c>
      <c r="E649">
        <v>119960</v>
      </c>
      <c r="F649">
        <v>532483</v>
      </c>
      <c r="G649" t="s">
        <v>9</v>
      </c>
      <c r="H649" t="s">
        <v>204</v>
      </c>
      <c r="I649" t="s">
        <v>205</v>
      </c>
    </row>
    <row r="650" spans="1:9" x14ac:dyDescent="0.2">
      <c r="A650" t="s">
        <v>566</v>
      </c>
      <c r="D650" t="str">
        <f>HYPERLINK("http://nlpdeep.cs.uic.edu:8080/proofing/t5/532409-chief-complaint-0-0.pdf","t5/532409-chief-complaint-0-0.pdf")</f>
        <v>t5/532409-chief-complaint-0-0.pdf</v>
      </c>
      <c r="E650">
        <v>119960</v>
      </c>
      <c r="F650">
        <v>532409</v>
      </c>
      <c r="G650" t="s">
        <v>9</v>
      </c>
      <c r="H650" t="s">
        <v>10</v>
      </c>
      <c r="I650" t="s">
        <v>11</v>
      </c>
    </row>
    <row r="651" spans="1:9" x14ac:dyDescent="0.2">
      <c r="A651" t="s">
        <v>566</v>
      </c>
      <c r="D651" t="str">
        <f>HYPERLINK("http://nlpdeep.cs.uic.edu:8080/proofing/gsii/532409-chief-complaint-0-0.pdf","gsii/532409-chief-complaint-0-0.pdf")</f>
        <v>gsii/532409-chief-complaint-0-0.pdf</v>
      </c>
      <c r="E651">
        <v>119960</v>
      </c>
      <c r="F651">
        <v>532409</v>
      </c>
      <c r="G651" t="s">
        <v>9</v>
      </c>
      <c r="H651" t="s">
        <v>10</v>
      </c>
      <c r="I651" t="s">
        <v>11</v>
      </c>
    </row>
    <row r="652" spans="1:9" x14ac:dyDescent="0.2">
      <c r="A652" t="s">
        <v>567</v>
      </c>
      <c r="D652" t="str">
        <f>HYPERLINK("http://nlpdeep.cs.uic.edu:8080/proofing/t5/532409-history-of-present-illness-0-0.pdf","t5/532409-history-of-present-illness-0-0.pdf")</f>
        <v>t5/532409-history-of-present-illness-0-0.pdf</v>
      </c>
      <c r="E652">
        <v>119960</v>
      </c>
      <c r="F652">
        <v>532409</v>
      </c>
      <c r="G652" t="s">
        <v>9</v>
      </c>
      <c r="H652" t="s">
        <v>13</v>
      </c>
      <c r="I652" t="s">
        <v>14</v>
      </c>
    </row>
    <row r="653" spans="1:9" x14ac:dyDescent="0.2">
      <c r="A653" t="s">
        <v>567</v>
      </c>
      <c r="D653" t="str">
        <f>HYPERLINK("http://nlpdeep.cs.uic.edu:8080/proofing/gsii/532409-history-of-present-illness-0-0.pdf","gsii/532409-history-of-present-illness-0-0.pdf")</f>
        <v>gsii/532409-history-of-present-illness-0-0.pdf</v>
      </c>
      <c r="E653">
        <v>119960</v>
      </c>
      <c r="F653">
        <v>532409</v>
      </c>
      <c r="G653" t="s">
        <v>9</v>
      </c>
      <c r="H653" t="s">
        <v>13</v>
      </c>
      <c r="I653" t="s">
        <v>14</v>
      </c>
    </row>
    <row r="654" spans="1:9" x14ac:dyDescent="0.2">
      <c r="A654" t="s">
        <v>568</v>
      </c>
      <c r="D654" t="str">
        <f>HYPERLINK("http://nlpdeep.cs.uic.edu:8080/proofing/t5/532409-history-of-present-illness-0-1.pdf","t5/532409-history-of-present-illness-0-1.pdf")</f>
        <v>t5/532409-history-of-present-illness-0-1.pdf</v>
      </c>
      <c r="E654">
        <v>119960</v>
      </c>
      <c r="F654">
        <v>532409</v>
      </c>
      <c r="G654" t="s">
        <v>9</v>
      </c>
      <c r="H654" t="s">
        <v>13</v>
      </c>
      <c r="I654" t="s">
        <v>16</v>
      </c>
    </row>
    <row r="655" spans="1:9" x14ac:dyDescent="0.2">
      <c r="A655" t="s">
        <v>568</v>
      </c>
      <c r="D655" t="str">
        <f>HYPERLINK("http://nlpdeep.cs.uic.edu:8080/proofing/gsii/532409-history-of-present-illness-0-1.pdf","gsii/532409-history-of-present-illness-0-1.pdf")</f>
        <v>gsii/532409-history-of-present-illness-0-1.pdf</v>
      </c>
      <c r="E655">
        <v>119960</v>
      </c>
      <c r="F655">
        <v>532409</v>
      </c>
      <c r="G655" t="s">
        <v>9</v>
      </c>
      <c r="H655" t="s">
        <v>13</v>
      </c>
      <c r="I655" t="s">
        <v>16</v>
      </c>
    </row>
    <row r="656" spans="1:9" x14ac:dyDescent="0.2">
      <c r="A656" t="s">
        <v>569</v>
      </c>
      <c r="D656" t="str">
        <f>HYPERLINK("http://nlpdeep.cs.uic.edu:8080/proofing/t5/532409-history-of-present-illness-0-2.pdf","t5/532409-history-of-present-illness-0-2.pdf")</f>
        <v>t5/532409-history-of-present-illness-0-2.pdf</v>
      </c>
      <c r="E656">
        <v>119960</v>
      </c>
      <c r="F656">
        <v>532409</v>
      </c>
      <c r="G656" t="s">
        <v>9</v>
      </c>
      <c r="H656" t="s">
        <v>13</v>
      </c>
      <c r="I656" t="s">
        <v>18</v>
      </c>
    </row>
    <row r="657" spans="1:9" x14ac:dyDescent="0.2">
      <c r="A657" t="s">
        <v>569</v>
      </c>
      <c r="D657" t="str">
        <f>HYPERLINK("http://nlpdeep.cs.uic.edu:8080/proofing/gsii/532409-history-of-present-illness-0-2.pdf","gsii/532409-history-of-present-illness-0-2.pdf")</f>
        <v>gsii/532409-history-of-present-illness-0-2.pdf</v>
      </c>
      <c r="E657">
        <v>119960</v>
      </c>
      <c r="F657">
        <v>532409</v>
      </c>
      <c r="G657" t="s">
        <v>9</v>
      </c>
      <c r="H657" t="s">
        <v>13</v>
      </c>
      <c r="I657" t="s">
        <v>18</v>
      </c>
    </row>
    <row r="658" spans="1:9" x14ac:dyDescent="0.2">
      <c r="A658" t="s">
        <v>570</v>
      </c>
      <c r="D658" t="str">
        <f>HYPERLINK("http://nlpdeep.cs.uic.edu:8080/proofing/t5/532409-history-of-present-illness-0-3.pdf","t5/532409-history-of-present-illness-0-3.pdf")</f>
        <v>t5/532409-history-of-present-illness-0-3.pdf</v>
      </c>
      <c r="E658">
        <v>119960</v>
      </c>
      <c r="F658">
        <v>532409</v>
      </c>
      <c r="G658" t="s">
        <v>9</v>
      </c>
      <c r="H658" t="s">
        <v>13</v>
      </c>
      <c r="I658" t="s">
        <v>20</v>
      </c>
    </row>
    <row r="659" spans="1:9" x14ac:dyDescent="0.2">
      <c r="A659" t="s">
        <v>570</v>
      </c>
      <c r="D659" t="str">
        <f>HYPERLINK("http://nlpdeep.cs.uic.edu:8080/proofing/gsii/532409-history-of-present-illness-0-3.pdf","gsii/532409-history-of-present-illness-0-3.pdf")</f>
        <v>gsii/532409-history-of-present-illness-0-3.pdf</v>
      </c>
      <c r="E659">
        <v>119960</v>
      </c>
      <c r="F659">
        <v>532409</v>
      </c>
      <c r="G659" t="s">
        <v>9</v>
      </c>
      <c r="H659" t="s">
        <v>13</v>
      </c>
      <c r="I659" t="s">
        <v>20</v>
      </c>
    </row>
    <row r="660" spans="1:9" x14ac:dyDescent="0.2">
      <c r="A660" t="s">
        <v>571</v>
      </c>
      <c r="D660" t="str">
        <f>HYPERLINK("http://nlpdeep.cs.uic.edu:8080/proofing/t5/532409-history-of-present-illness-0-4.pdf","t5/532409-history-of-present-illness-0-4.pdf")</f>
        <v>t5/532409-history-of-present-illness-0-4.pdf</v>
      </c>
      <c r="E660">
        <v>119960</v>
      </c>
      <c r="F660">
        <v>532409</v>
      </c>
      <c r="G660" t="s">
        <v>9</v>
      </c>
      <c r="H660" t="s">
        <v>13</v>
      </c>
      <c r="I660" t="s">
        <v>22</v>
      </c>
    </row>
    <row r="661" spans="1:9" x14ac:dyDescent="0.2">
      <c r="A661" t="s">
        <v>571</v>
      </c>
      <c r="D661" t="str">
        <f>HYPERLINK("http://nlpdeep.cs.uic.edu:8080/proofing/gsii/532409-history-of-present-illness-0-4.pdf","gsii/532409-history-of-present-illness-0-4.pdf")</f>
        <v>gsii/532409-history-of-present-illness-0-4.pdf</v>
      </c>
      <c r="E661">
        <v>119960</v>
      </c>
      <c r="F661">
        <v>532409</v>
      </c>
      <c r="G661" t="s">
        <v>9</v>
      </c>
      <c r="H661" t="s">
        <v>13</v>
      </c>
      <c r="I661" t="s">
        <v>22</v>
      </c>
    </row>
    <row r="662" spans="1:9" x14ac:dyDescent="0.2">
      <c r="A662" t="s">
        <v>572</v>
      </c>
      <c r="D662" t="str">
        <f>HYPERLINK("http://nlpdeep.cs.uic.edu:8080/proofing/t5/532409-history-of-present-illness-0-5.pdf","t5/532409-history-of-present-illness-0-5.pdf")</f>
        <v>t5/532409-history-of-present-illness-0-5.pdf</v>
      </c>
      <c r="E662">
        <v>119960</v>
      </c>
      <c r="F662">
        <v>532409</v>
      </c>
      <c r="G662" t="s">
        <v>9</v>
      </c>
      <c r="H662" t="s">
        <v>13</v>
      </c>
      <c r="I662" t="s">
        <v>24</v>
      </c>
    </row>
    <row r="663" spans="1:9" x14ac:dyDescent="0.2">
      <c r="A663" t="s">
        <v>572</v>
      </c>
      <c r="D663" t="str">
        <f>HYPERLINK("http://nlpdeep.cs.uic.edu:8080/proofing/gsii/532409-history-of-present-illness-0-5.pdf","gsii/532409-history-of-present-illness-0-5.pdf")</f>
        <v>gsii/532409-history-of-present-illness-0-5.pdf</v>
      </c>
      <c r="E663">
        <v>119960</v>
      </c>
      <c r="F663">
        <v>532409</v>
      </c>
      <c r="G663" t="s">
        <v>9</v>
      </c>
      <c r="H663" t="s">
        <v>13</v>
      </c>
      <c r="I663" t="s">
        <v>24</v>
      </c>
    </row>
    <row r="664" spans="1:9" x14ac:dyDescent="0.2">
      <c r="A664" t="s">
        <v>573</v>
      </c>
      <c r="D664" t="str">
        <f>HYPERLINK("http://nlpdeep.cs.uic.edu:8080/proofing/t5/532409-history-of-present-illness-0-6.pdf","t5/532409-history-of-present-illness-0-6.pdf")</f>
        <v>t5/532409-history-of-present-illness-0-6.pdf</v>
      </c>
      <c r="E664">
        <v>119960</v>
      </c>
      <c r="F664">
        <v>532409</v>
      </c>
      <c r="G664" t="s">
        <v>9</v>
      </c>
      <c r="H664" t="s">
        <v>13</v>
      </c>
      <c r="I664" t="s">
        <v>26</v>
      </c>
    </row>
    <row r="665" spans="1:9" x14ac:dyDescent="0.2">
      <c r="A665" t="s">
        <v>573</v>
      </c>
      <c r="D665" t="str">
        <f>HYPERLINK("http://nlpdeep.cs.uic.edu:8080/proofing/gsii/532409-history-of-present-illness-0-6.pdf","gsii/532409-history-of-present-illness-0-6.pdf")</f>
        <v>gsii/532409-history-of-present-illness-0-6.pdf</v>
      </c>
      <c r="E665">
        <v>119960</v>
      </c>
      <c r="F665">
        <v>532409</v>
      </c>
      <c r="G665" t="s">
        <v>9</v>
      </c>
      <c r="H665" t="s">
        <v>13</v>
      </c>
      <c r="I665" t="s">
        <v>26</v>
      </c>
    </row>
    <row r="666" spans="1:9" x14ac:dyDescent="0.2">
      <c r="A666" t="s">
        <v>574</v>
      </c>
      <c r="D666" t="str">
        <f>HYPERLINK("http://nlpdeep.cs.uic.edu:8080/proofing/t5/532409-history-of-present-illness-1-0.pdf","t5/532409-history-of-present-illness-1-0.pdf")</f>
        <v>t5/532409-history-of-present-illness-1-0.pdf</v>
      </c>
      <c r="E666">
        <v>119960</v>
      </c>
      <c r="F666">
        <v>532409</v>
      </c>
      <c r="G666" t="s">
        <v>9</v>
      </c>
      <c r="H666" t="s">
        <v>13</v>
      </c>
      <c r="I666" t="s">
        <v>28</v>
      </c>
    </row>
    <row r="667" spans="1:9" x14ac:dyDescent="0.2">
      <c r="A667" t="s">
        <v>574</v>
      </c>
      <c r="D667" t="str">
        <f>HYPERLINK("http://nlpdeep.cs.uic.edu:8080/proofing/gsii/532409-history-of-present-illness-1-0.pdf","gsii/532409-history-of-present-illness-1-0.pdf")</f>
        <v>gsii/532409-history-of-present-illness-1-0.pdf</v>
      </c>
      <c r="E667">
        <v>119960</v>
      </c>
      <c r="F667">
        <v>532409</v>
      </c>
      <c r="G667" t="s">
        <v>9</v>
      </c>
      <c r="H667" t="s">
        <v>13</v>
      </c>
      <c r="I667" t="s">
        <v>28</v>
      </c>
    </row>
    <row r="668" spans="1:9" x14ac:dyDescent="0.2">
      <c r="A668" t="s">
        <v>575</v>
      </c>
      <c r="D668" t="str">
        <f>HYPERLINK("http://nlpdeep.cs.uic.edu:8080/proofing/t5/532409-history-of-present-illness-1-1.pdf","t5/532409-history-of-present-illness-1-1.pdf")</f>
        <v>t5/532409-history-of-present-illness-1-1.pdf</v>
      </c>
      <c r="E668">
        <v>119960</v>
      </c>
      <c r="F668">
        <v>532409</v>
      </c>
      <c r="G668" t="s">
        <v>9</v>
      </c>
      <c r="H668" t="s">
        <v>13</v>
      </c>
      <c r="I668" t="s">
        <v>30</v>
      </c>
    </row>
    <row r="669" spans="1:9" x14ac:dyDescent="0.2">
      <c r="A669" t="s">
        <v>575</v>
      </c>
      <c r="D669" t="str">
        <f>HYPERLINK("http://nlpdeep.cs.uic.edu:8080/proofing/gsii/532409-history-of-present-illness-1-1.pdf","gsii/532409-history-of-present-illness-1-1.pdf")</f>
        <v>gsii/532409-history-of-present-illness-1-1.pdf</v>
      </c>
      <c r="E669">
        <v>119960</v>
      </c>
      <c r="F669">
        <v>532409</v>
      </c>
      <c r="G669" t="s">
        <v>9</v>
      </c>
      <c r="H669" t="s">
        <v>13</v>
      </c>
      <c r="I669" t="s">
        <v>30</v>
      </c>
    </row>
    <row r="670" spans="1:9" x14ac:dyDescent="0.2">
      <c r="A670" t="s">
        <v>576</v>
      </c>
      <c r="D670" t="str">
        <f>HYPERLINK("http://nlpdeep.cs.uic.edu:8080/proofing/t5/532409-history-of-present-illness-1-2.pdf","t5/532409-history-of-present-illness-1-2.pdf")</f>
        <v>t5/532409-history-of-present-illness-1-2.pdf</v>
      </c>
      <c r="E670">
        <v>119960</v>
      </c>
      <c r="F670">
        <v>532409</v>
      </c>
      <c r="G670" t="s">
        <v>9</v>
      </c>
      <c r="H670" t="s">
        <v>13</v>
      </c>
      <c r="I670" t="s">
        <v>32</v>
      </c>
    </row>
    <row r="671" spans="1:9" x14ac:dyDescent="0.2">
      <c r="A671" t="s">
        <v>576</v>
      </c>
      <c r="D671" t="str">
        <f>HYPERLINK("http://nlpdeep.cs.uic.edu:8080/proofing/gsii/532409-history-of-present-illness-1-2.pdf","gsii/532409-history-of-present-illness-1-2.pdf")</f>
        <v>gsii/532409-history-of-present-illness-1-2.pdf</v>
      </c>
      <c r="E671">
        <v>119960</v>
      </c>
      <c r="F671">
        <v>532409</v>
      </c>
      <c r="G671" t="s">
        <v>9</v>
      </c>
      <c r="H671" t="s">
        <v>13</v>
      </c>
      <c r="I671" t="s">
        <v>32</v>
      </c>
    </row>
    <row r="672" spans="1:9" x14ac:dyDescent="0.2">
      <c r="A672" t="s">
        <v>577</v>
      </c>
      <c r="D672" t="str">
        <f>HYPERLINK("http://nlpdeep.cs.uic.edu:8080/proofing/t5/532409-history-of-present-illness-1-3.pdf","t5/532409-history-of-present-illness-1-3.pdf")</f>
        <v>t5/532409-history-of-present-illness-1-3.pdf</v>
      </c>
      <c r="E672">
        <v>119960</v>
      </c>
      <c r="F672">
        <v>532409</v>
      </c>
      <c r="G672" t="s">
        <v>9</v>
      </c>
      <c r="H672" t="s">
        <v>13</v>
      </c>
      <c r="I672" t="s">
        <v>34</v>
      </c>
    </row>
    <row r="673" spans="1:9" x14ac:dyDescent="0.2">
      <c r="A673" t="s">
        <v>577</v>
      </c>
      <c r="D673" t="str">
        <f>HYPERLINK("http://nlpdeep.cs.uic.edu:8080/proofing/gsii/532409-history-of-present-illness-1-3.pdf","gsii/532409-history-of-present-illness-1-3.pdf")</f>
        <v>gsii/532409-history-of-present-illness-1-3.pdf</v>
      </c>
      <c r="E673">
        <v>119960</v>
      </c>
      <c r="F673">
        <v>532409</v>
      </c>
      <c r="G673" t="s">
        <v>9</v>
      </c>
      <c r="H673" t="s">
        <v>13</v>
      </c>
      <c r="I673" t="s">
        <v>34</v>
      </c>
    </row>
    <row r="674" spans="1:9" x14ac:dyDescent="0.2">
      <c r="A674" t="s">
        <v>578</v>
      </c>
      <c r="D674" t="str">
        <f>HYPERLINK("http://nlpdeep.cs.uic.edu:8080/proofing/t5/532409-history-of-present-illness-1-4.pdf","t5/532409-history-of-present-illness-1-4.pdf")</f>
        <v>t5/532409-history-of-present-illness-1-4.pdf</v>
      </c>
      <c r="E674">
        <v>119960</v>
      </c>
      <c r="F674">
        <v>532409</v>
      </c>
      <c r="G674" t="s">
        <v>9</v>
      </c>
      <c r="H674" t="s">
        <v>13</v>
      </c>
      <c r="I674" t="s">
        <v>36</v>
      </c>
    </row>
    <row r="675" spans="1:9" x14ac:dyDescent="0.2">
      <c r="A675" t="s">
        <v>578</v>
      </c>
      <c r="D675" t="str">
        <f>HYPERLINK("http://nlpdeep.cs.uic.edu:8080/proofing/gsii/532409-history-of-present-illness-1-4.pdf","gsii/532409-history-of-present-illness-1-4.pdf")</f>
        <v>gsii/532409-history-of-present-illness-1-4.pdf</v>
      </c>
      <c r="E675">
        <v>119960</v>
      </c>
      <c r="F675">
        <v>532409</v>
      </c>
      <c r="G675" t="s">
        <v>9</v>
      </c>
      <c r="H675" t="s">
        <v>13</v>
      </c>
      <c r="I675" t="s">
        <v>36</v>
      </c>
    </row>
    <row r="676" spans="1:9" x14ac:dyDescent="0.2">
      <c r="A676" t="s">
        <v>579</v>
      </c>
      <c r="D676" t="str">
        <f>HYPERLINK("http://nlpdeep.cs.uic.edu:8080/proofing/t5/532409-history-of-present-illness-2-0.pdf","t5/532409-history-of-present-illness-2-0.pdf")</f>
        <v>t5/532409-history-of-present-illness-2-0.pdf</v>
      </c>
      <c r="E676">
        <v>119960</v>
      </c>
      <c r="F676">
        <v>532409</v>
      </c>
      <c r="G676" t="s">
        <v>9</v>
      </c>
      <c r="H676" t="s">
        <v>13</v>
      </c>
      <c r="I676" t="s">
        <v>38</v>
      </c>
    </row>
    <row r="677" spans="1:9" x14ac:dyDescent="0.2">
      <c r="A677" t="s">
        <v>579</v>
      </c>
      <c r="D677" t="str">
        <f>HYPERLINK("http://nlpdeep.cs.uic.edu:8080/proofing/gsii/532409-history-of-present-illness-2-0.pdf","gsii/532409-history-of-present-illness-2-0.pdf")</f>
        <v>gsii/532409-history-of-present-illness-2-0.pdf</v>
      </c>
      <c r="E677">
        <v>119960</v>
      </c>
      <c r="F677">
        <v>532409</v>
      </c>
      <c r="G677" t="s">
        <v>9</v>
      </c>
      <c r="H677" t="s">
        <v>13</v>
      </c>
      <c r="I677" t="s">
        <v>38</v>
      </c>
    </row>
    <row r="678" spans="1:9" x14ac:dyDescent="0.2">
      <c r="A678" t="s">
        <v>580</v>
      </c>
      <c r="D678" t="str">
        <f>HYPERLINK("http://nlpdeep.cs.uic.edu:8080/proofing/t5/532409-history-of-present-illness-2-1.pdf","t5/532409-history-of-present-illness-2-1.pdf")</f>
        <v>t5/532409-history-of-present-illness-2-1.pdf</v>
      </c>
      <c r="E678">
        <v>119960</v>
      </c>
      <c r="F678">
        <v>532409</v>
      </c>
      <c r="G678" t="s">
        <v>9</v>
      </c>
      <c r="H678" t="s">
        <v>13</v>
      </c>
      <c r="I678" t="s">
        <v>40</v>
      </c>
    </row>
    <row r="679" spans="1:9" x14ac:dyDescent="0.2">
      <c r="A679" t="s">
        <v>580</v>
      </c>
      <c r="D679" t="str">
        <f>HYPERLINK("http://nlpdeep.cs.uic.edu:8080/proofing/gsii/532409-history-of-present-illness-2-1.pdf","gsii/532409-history-of-present-illness-2-1.pdf")</f>
        <v>gsii/532409-history-of-present-illness-2-1.pdf</v>
      </c>
      <c r="E679">
        <v>119960</v>
      </c>
      <c r="F679">
        <v>532409</v>
      </c>
      <c r="G679" t="s">
        <v>9</v>
      </c>
      <c r="H679" t="s">
        <v>13</v>
      </c>
      <c r="I679" t="s">
        <v>40</v>
      </c>
    </row>
    <row r="680" spans="1:9" x14ac:dyDescent="0.2">
      <c r="A680" t="s">
        <v>581</v>
      </c>
      <c r="D680" t="str">
        <f>HYPERLINK("http://nlpdeep.cs.uic.edu:8080/proofing/t5/532409-history-of-present-illness-2-2.pdf","t5/532409-history-of-present-illness-2-2.pdf")</f>
        <v>t5/532409-history-of-present-illness-2-2.pdf</v>
      </c>
      <c r="E680">
        <v>119960</v>
      </c>
      <c r="F680">
        <v>532409</v>
      </c>
      <c r="G680" t="s">
        <v>9</v>
      </c>
      <c r="H680" t="s">
        <v>13</v>
      </c>
      <c r="I680" t="s">
        <v>42</v>
      </c>
    </row>
    <row r="681" spans="1:9" x14ac:dyDescent="0.2">
      <c r="A681" t="s">
        <v>581</v>
      </c>
      <c r="D681" t="str">
        <f>HYPERLINK("http://nlpdeep.cs.uic.edu:8080/proofing/gsii/532409-history-of-present-illness-2-2.pdf","gsii/532409-history-of-present-illness-2-2.pdf")</f>
        <v>gsii/532409-history-of-present-illness-2-2.pdf</v>
      </c>
      <c r="E681">
        <v>119960</v>
      </c>
      <c r="F681">
        <v>532409</v>
      </c>
      <c r="G681" t="s">
        <v>9</v>
      </c>
      <c r="H681" t="s">
        <v>13</v>
      </c>
      <c r="I681" t="s">
        <v>42</v>
      </c>
    </row>
    <row r="682" spans="1:9" x14ac:dyDescent="0.2">
      <c r="A682" t="s">
        <v>582</v>
      </c>
      <c r="D682" t="str">
        <f>HYPERLINK("http://nlpdeep.cs.uic.edu:8080/proofing/t5/532409-history-of-present-illness-2-3.pdf","t5/532409-history-of-present-illness-2-3.pdf")</f>
        <v>t5/532409-history-of-present-illness-2-3.pdf</v>
      </c>
      <c r="E682">
        <v>119960</v>
      </c>
      <c r="F682">
        <v>532409</v>
      </c>
      <c r="G682" t="s">
        <v>9</v>
      </c>
      <c r="H682" t="s">
        <v>13</v>
      </c>
      <c r="I682" t="s">
        <v>44</v>
      </c>
    </row>
    <row r="683" spans="1:9" x14ac:dyDescent="0.2">
      <c r="A683" t="s">
        <v>582</v>
      </c>
      <c r="D683" t="str">
        <f>HYPERLINK("http://nlpdeep.cs.uic.edu:8080/proofing/gsii/532409-history-of-present-illness-2-3.pdf","gsii/532409-history-of-present-illness-2-3.pdf")</f>
        <v>gsii/532409-history-of-present-illness-2-3.pdf</v>
      </c>
      <c r="E683">
        <v>119960</v>
      </c>
      <c r="F683">
        <v>532409</v>
      </c>
      <c r="G683" t="s">
        <v>9</v>
      </c>
      <c r="H683" t="s">
        <v>13</v>
      </c>
      <c r="I683" t="s">
        <v>44</v>
      </c>
    </row>
    <row r="684" spans="1:9" x14ac:dyDescent="0.2">
      <c r="A684" t="s">
        <v>583</v>
      </c>
      <c r="D684" t="str">
        <f>HYPERLINK("http://nlpdeep.cs.uic.edu:8080/proofing/t5/532409-history-of-present-illness-2-4.pdf","t5/532409-history-of-present-illness-2-4.pdf")</f>
        <v>t5/532409-history-of-present-illness-2-4.pdf</v>
      </c>
      <c r="E684">
        <v>119960</v>
      </c>
      <c r="F684">
        <v>532409</v>
      </c>
      <c r="G684" t="s">
        <v>9</v>
      </c>
      <c r="H684" t="s">
        <v>13</v>
      </c>
      <c r="I684" t="s">
        <v>46</v>
      </c>
    </row>
    <row r="685" spans="1:9" x14ac:dyDescent="0.2">
      <c r="A685" t="s">
        <v>583</v>
      </c>
      <c r="D685" t="str">
        <f>HYPERLINK("http://nlpdeep.cs.uic.edu:8080/proofing/gsii/532409-history-of-present-illness-2-4.pdf","gsii/532409-history-of-present-illness-2-4.pdf")</f>
        <v>gsii/532409-history-of-present-illness-2-4.pdf</v>
      </c>
      <c r="E685">
        <v>119960</v>
      </c>
      <c r="F685">
        <v>532409</v>
      </c>
      <c r="G685" t="s">
        <v>9</v>
      </c>
      <c r="H685" t="s">
        <v>13</v>
      </c>
      <c r="I685" t="s">
        <v>46</v>
      </c>
    </row>
    <row r="686" spans="1:9" x14ac:dyDescent="0.2">
      <c r="A686" t="s">
        <v>584</v>
      </c>
      <c r="D686" t="str">
        <f>HYPERLINK("http://nlpdeep.cs.uic.edu:8080/proofing/t5/532409-history-of-present-illness-2-5.pdf","t5/532409-history-of-present-illness-2-5.pdf")</f>
        <v>t5/532409-history-of-present-illness-2-5.pdf</v>
      </c>
      <c r="E686">
        <v>119960</v>
      </c>
      <c r="F686">
        <v>532409</v>
      </c>
      <c r="G686" t="s">
        <v>9</v>
      </c>
      <c r="H686" t="s">
        <v>13</v>
      </c>
      <c r="I686" t="s">
        <v>48</v>
      </c>
    </row>
    <row r="687" spans="1:9" x14ac:dyDescent="0.2">
      <c r="A687" t="s">
        <v>584</v>
      </c>
      <c r="D687" t="str">
        <f>HYPERLINK("http://nlpdeep.cs.uic.edu:8080/proofing/gsii/532409-history-of-present-illness-2-5.pdf","gsii/532409-history-of-present-illness-2-5.pdf")</f>
        <v>gsii/532409-history-of-present-illness-2-5.pdf</v>
      </c>
      <c r="E687">
        <v>119960</v>
      </c>
      <c r="F687">
        <v>532409</v>
      </c>
      <c r="G687" t="s">
        <v>9</v>
      </c>
      <c r="H687" t="s">
        <v>13</v>
      </c>
      <c r="I687" t="s">
        <v>48</v>
      </c>
    </row>
    <row r="688" spans="1:9" x14ac:dyDescent="0.2">
      <c r="A688" t="s">
        <v>585</v>
      </c>
      <c r="D688" t="str">
        <f>HYPERLINK("http://nlpdeep.cs.uic.edu:8080/proofing/t5/532409-history-of-present-illness-2-6.pdf","t5/532409-history-of-present-illness-2-6.pdf")</f>
        <v>t5/532409-history-of-present-illness-2-6.pdf</v>
      </c>
      <c r="E688">
        <v>119960</v>
      </c>
      <c r="F688">
        <v>532409</v>
      </c>
      <c r="G688" t="s">
        <v>9</v>
      </c>
      <c r="H688" t="s">
        <v>13</v>
      </c>
      <c r="I688" t="s">
        <v>50</v>
      </c>
    </row>
    <row r="689" spans="1:9" x14ac:dyDescent="0.2">
      <c r="A689" t="s">
        <v>585</v>
      </c>
      <c r="D689" t="str">
        <f>HYPERLINK("http://nlpdeep.cs.uic.edu:8080/proofing/gsii/532409-history-of-present-illness-2-6.pdf","gsii/532409-history-of-present-illness-2-6.pdf")</f>
        <v>gsii/532409-history-of-present-illness-2-6.pdf</v>
      </c>
      <c r="E689">
        <v>119960</v>
      </c>
      <c r="F689">
        <v>532409</v>
      </c>
      <c r="G689" t="s">
        <v>9</v>
      </c>
      <c r="H689" t="s">
        <v>13</v>
      </c>
      <c r="I689" t="s">
        <v>50</v>
      </c>
    </row>
    <row r="690" spans="1:9" x14ac:dyDescent="0.2">
      <c r="A690" t="s">
        <v>586</v>
      </c>
      <c r="D690" t="str">
        <f>HYPERLINK("http://nlpdeep.cs.uic.edu:8080/proofing/t5/532409-history-of-present-illness-2-7.pdf","t5/532409-history-of-present-illness-2-7.pdf")</f>
        <v>t5/532409-history-of-present-illness-2-7.pdf</v>
      </c>
      <c r="E690">
        <v>119960</v>
      </c>
      <c r="F690">
        <v>532409</v>
      </c>
      <c r="G690" t="s">
        <v>9</v>
      </c>
      <c r="H690" t="s">
        <v>13</v>
      </c>
      <c r="I690" t="s">
        <v>52</v>
      </c>
    </row>
    <row r="691" spans="1:9" x14ac:dyDescent="0.2">
      <c r="A691" t="s">
        <v>586</v>
      </c>
      <c r="D691" t="str">
        <f>HYPERLINK("http://nlpdeep.cs.uic.edu:8080/proofing/gsii/532409-history-of-present-illness-2-7.pdf","gsii/532409-history-of-present-illness-2-7.pdf")</f>
        <v>gsii/532409-history-of-present-illness-2-7.pdf</v>
      </c>
      <c r="E691">
        <v>119960</v>
      </c>
      <c r="F691">
        <v>532409</v>
      </c>
      <c r="G691" t="s">
        <v>9</v>
      </c>
      <c r="H691" t="s">
        <v>13</v>
      </c>
      <c r="I691" t="s">
        <v>52</v>
      </c>
    </row>
    <row r="692" spans="1:9" x14ac:dyDescent="0.2">
      <c r="A692" t="s">
        <v>587</v>
      </c>
      <c r="D692" t="str">
        <f>HYPERLINK("http://nlpdeep.cs.uic.edu:8080/proofing/t5/532409-history-of-present-illness-2-8.pdf","t5/532409-history-of-present-illness-2-8.pdf")</f>
        <v>t5/532409-history-of-present-illness-2-8.pdf</v>
      </c>
      <c r="E692">
        <v>119960</v>
      </c>
      <c r="F692">
        <v>532409</v>
      </c>
      <c r="G692" t="s">
        <v>9</v>
      </c>
      <c r="H692" t="s">
        <v>13</v>
      </c>
      <c r="I692" t="s">
        <v>54</v>
      </c>
    </row>
    <row r="693" spans="1:9" x14ac:dyDescent="0.2">
      <c r="A693" t="s">
        <v>587</v>
      </c>
      <c r="D693" t="str">
        <f>HYPERLINK("http://nlpdeep.cs.uic.edu:8080/proofing/gsii/532409-history-of-present-illness-2-8.pdf","gsii/532409-history-of-present-illness-2-8.pdf")</f>
        <v>gsii/532409-history-of-present-illness-2-8.pdf</v>
      </c>
      <c r="E693">
        <v>119960</v>
      </c>
      <c r="F693">
        <v>532409</v>
      </c>
      <c r="G693" t="s">
        <v>9</v>
      </c>
      <c r="H693" t="s">
        <v>13</v>
      </c>
      <c r="I693" t="s">
        <v>54</v>
      </c>
    </row>
    <row r="694" spans="1:9" x14ac:dyDescent="0.2">
      <c r="A694" t="s">
        <v>588</v>
      </c>
      <c r="D694" t="str">
        <f>HYPERLINK("http://nlpdeep.cs.uic.edu:8080/proofing/t5/532409-history-of-present-illness-3-0.pdf","t5/532409-history-of-present-illness-3-0.pdf")</f>
        <v>t5/532409-history-of-present-illness-3-0.pdf</v>
      </c>
      <c r="E694">
        <v>119960</v>
      </c>
      <c r="F694">
        <v>532409</v>
      </c>
      <c r="G694" t="s">
        <v>9</v>
      </c>
      <c r="H694" t="s">
        <v>13</v>
      </c>
      <c r="I694" t="s">
        <v>56</v>
      </c>
    </row>
    <row r="695" spans="1:9" x14ac:dyDescent="0.2">
      <c r="A695" t="s">
        <v>588</v>
      </c>
      <c r="D695" t="str">
        <f>HYPERLINK("http://nlpdeep.cs.uic.edu:8080/proofing/gsii/532409-history-of-present-illness-3-0.pdf","gsii/532409-history-of-present-illness-3-0.pdf")</f>
        <v>gsii/532409-history-of-present-illness-3-0.pdf</v>
      </c>
      <c r="E695">
        <v>119960</v>
      </c>
      <c r="F695">
        <v>532409</v>
      </c>
      <c r="G695" t="s">
        <v>9</v>
      </c>
      <c r="H695" t="s">
        <v>13</v>
      </c>
      <c r="I695" t="s">
        <v>56</v>
      </c>
    </row>
    <row r="696" spans="1:9" x14ac:dyDescent="0.2">
      <c r="A696" t="s">
        <v>589</v>
      </c>
      <c r="D696" t="str">
        <f>HYPERLINK("http://nlpdeep.cs.uic.edu:8080/proofing/t5/532409-history-of-present-illness-4-0.pdf","t5/532409-history-of-present-illness-4-0.pdf")</f>
        <v>t5/532409-history-of-present-illness-4-0.pdf</v>
      </c>
      <c r="E696">
        <v>119960</v>
      </c>
      <c r="F696">
        <v>532409</v>
      </c>
      <c r="G696" t="s">
        <v>9</v>
      </c>
      <c r="H696" t="s">
        <v>13</v>
      </c>
      <c r="I696" t="s">
        <v>58</v>
      </c>
    </row>
    <row r="697" spans="1:9" x14ac:dyDescent="0.2">
      <c r="A697" t="s">
        <v>589</v>
      </c>
      <c r="D697" t="str">
        <f>HYPERLINK("http://nlpdeep.cs.uic.edu:8080/proofing/gsii/532409-history-of-present-illness-4-0.pdf","gsii/532409-history-of-present-illness-4-0.pdf")</f>
        <v>gsii/532409-history-of-present-illness-4-0.pdf</v>
      </c>
      <c r="E697">
        <v>119960</v>
      </c>
      <c r="F697">
        <v>532409</v>
      </c>
      <c r="G697" t="s">
        <v>9</v>
      </c>
      <c r="H697" t="s">
        <v>13</v>
      </c>
      <c r="I697" t="s">
        <v>58</v>
      </c>
    </row>
    <row r="698" spans="1:9" x14ac:dyDescent="0.2">
      <c r="A698" t="s">
        <v>590</v>
      </c>
      <c r="D698" t="str">
        <f>HYPERLINK("http://nlpdeep.cs.uic.edu:8080/proofing/t5/532409-history-of-present-illness-4-1.pdf","t5/532409-history-of-present-illness-4-1.pdf")</f>
        <v>t5/532409-history-of-present-illness-4-1.pdf</v>
      </c>
      <c r="E698">
        <v>119960</v>
      </c>
      <c r="F698">
        <v>532409</v>
      </c>
      <c r="G698" t="s">
        <v>9</v>
      </c>
      <c r="H698" t="s">
        <v>13</v>
      </c>
      <c r="I698" t="s">
        <v>60</v>
      </c>
    </row>
    <row r="699" spans="1:9" x14ac:dyDescent="0.2">
      <c r="A699" t="s">
        <v>590</v>
      </c>
      <c r="D699" t="str">
        <f>HYPERLINK("http://nlpdeep.cs.uic.edu:8080/proofing/gsii/532409-history-of-present-illness-4-1.pdf","gsii/532409-history-of-present-illness-4-1.pdf")</f>
        <v>gsii/532409-history-of-present-illness-4-1.pdf</v>
      </c>
      <c r="E699">
        <v>119960</v>
      </c>
      <c r="F699">
        <v>532409</v>
      </c>
      <c r="G699" t="s">
        <v>9</v>
      </c>
      <c r="H699" t="s">
        <v>13</v>
      </c>
      <c r="I699" t="s">
        <v>60</v>
      </c>
    </row>
    <row r="700" spans="1:9" x14ac:dyDescent="0.2">
      <c r="A700" t="s">
        <v>591</v>
      </c>
      <c r="D700" t="str">
        <f>HYPERLINK("http://nlpdeep.cs.uic.edu:8080/proofing/t5/532409-history-of-present-illness-4-2.pdf","t5/532409-history-of-present-illness-4-2.pdf")</f>
        <v>t5/532409-history-of-present-illness-4-2.pdf</v>
      </c>
      <c r="E700">
        <v>119960</v>
      </c>
      <c r="F700">
        <v>532409</v>
      </c>
      <c r="G700" t="s">
        <v>9</v>
      </c>
      <c r="H700" t="s">
        <v>13</v>
      </c>
      <c r="I700" t="s">
        <v>62</v>
      </c>
    </row>
    <row r="701" spans="1:9" x14ac:dyDescent="0.2">
      <c r="A701" t="s">
        <v>591</v>
      </c>
      <c r="D701" t="str">
        <f>HYPERLINK("http://nlpdeep.cs.uic.edu:8080/proofing/gsii/532409-history-of-present-illness-4-2.pdf","gsii/532409-history-of-present-illness-4-2.pdf")</f>
        <v>gsii/532409-history-of-present-illness-4-2.pdf</v>
      </c>
      <c r="E701">
        <v>119960</v>
      </c>
      <c r="F701">
        <v>532409</v>
      </c>
      <c r="G701" t="s">
        <v>9</v>
      </c>
      <c r="H701" t="s">
        <v>13</v>
      </c>
      <c r="I701" t="s">
        <v>62</v>
      </c>
    </row>
    <row r="702" spans="1:9" x14ac:dyDescent="0.2">
      <c r="A702" t="s">
        <v>592</v>
      </c>
      <c r="D702" t="str">
        <f>HYPERLINK("http://nlpdeep.cs.uic.edu:8080/proofing/t5/532409-allergies-0-0.pdf","t5/532409-allergies-0-0.pdf")</f>
        <v>t5/532409-allergies-0-0.pdf</v>
      </c>
      <c r="E702">
        <v>119960</v>
      </c>
      <c r="F702">
        <v>532409</v>
      </c>
      <c r="G702" t="s">
        <v>9</v>
      </c>
      <c r="H702" t="s">
        <v>64</v>
      </c>
      <c r="I702" t="s">
        <v>65</v>
      </c>
    </row>
    <row r="703" spans="1:9" x14ac:dyDescent="0.2">
      <c r="A703" t="s">
        <v>592</v>
      </c>
      <c r="D703" t="str">
        <f>HYPERLINK("http://nlpdeep.cs.uic.edu:8080/proofing/gsii/532409-allergies-0-0.pdf","gsii/532409-allergies-0-0.pdf")</f>
        <v>gsii/532409-allergies-0-0.pdf</v>
      </c>
      <c r="E703">
        <v>119960</v>
      </c>
      <c r="F703">
        <v>532409</v>
      </c>
      <c r="G703" t="s">
        <v>9</v>
      </c>
      <c r="H703" t="s">
        <v>64</v>
      </c>
      <c r="I703" t="s">
        <v>65</v>
      </c>
    </row>
    <row r="704" spans="1:9" x14ac:dyDescent="0.2">
      <c r="A704" t="s">
        <v>593</v>
      </c>
      <c r="D704" t="str">
        <f>HYPERLINK("http://nlpdeep.cs.uic.edu:8080/proofing/t5/532409-other-medications-0-0.pdf","t5/532409-other-medications-0-0.pdf")</f>
        <v>t5/532409-other-medications-0-0.pdf</v>
      </c>
      <c r="E704">
        <v>119960</v>
      </c>
      <c r="F704">
        <v>532409</v>
      </c>
      <c r="G704" t="s">
        <v>9</v>
      </c>
      <c r="H704" t="s">
        <v>67</v>
      </c>
      <c r="I704" t="s">
        <v>68</v>
      </c>
    </row>
    <row r="705" spans="1:9" x14ac:dyDescent="0.2">
      <c r="A705" t="s">
        <v>593</v>
      </c>
      <c r="D705" t="str">
        <f>HYPERLINK("http://nlpdeep.cs.uic.edu:8080/proofing/gsii/532409-other-medications-0-0.pdf","gsii/532409-other-medications-0-0.pdf")</f>
        <v>gsii/532409-other-medications-0-0.pdf</v>
      </c>
      <c r="E705">
        <v>119960</v>
      </c>
      <c r="F705">
        <v>532409</v>
      </c>
      <c r="G705" t="s">
        <v>9</v>
      </c>
      <c r="H705" t="s">
        <v>67</v>
      </c>
      <c r="I705" t="s">
        <v>68</v>
      </c>
    </row>
    <row r="706" spans="1:9" x14ac:dyDescent="0.2">
      <c r="A706" t="s">
        <v>594</v>
      </c>
      <c r="D706" t="str">
        <f>HYPERLINK("http://nlpdeep.cs.uic.edu:8080/proofing/t5/532409-other-medications-0-1.pdf","t5/532409-other-medications-0-1.pdf")</f>
        <v>t5/532409-other-medications-0-1.pdf</v>
      </c>
      <c r="E706">
        <v>119960</v>
      </c>
      <c r="F706">
        <v>532409</v>
      </c>
      <c r="G706" t="s">
        <v>9</v>
      </c>
      <c r="H706" t="s">
        <v>67</v>
      </c>
      <c r="I706" t="s">
        <v>70</v>
      </c>
    </row>
    <row r="707" spans="1:9" x14ac:dyDescent="0.2">
      <c r="A707" t="s">
        <v>594</v>
      </c>
      <c r="D707" t="str">
        <f>HYPERLINK("http://nlpdeep.cs.uic.edu:8080/proofing/gsii/532409-other-medications-0-1.pdf","gsii/532409-other-medications-0-1.pdf")</f>
        <v>gsii/532409-other-medications-0-1.pdf</v>
      </c>
      <c r="E707">
        <v>119960</v>
      </c>
      <c r="F707">
        <v>532409</v>
      </c>
      <c r="G707" t="s">
        <v>9</v>
      </c>
      <c r="H707" t="s">
        <v>67</v>
      </c>
      <c r="I707" t="s">
        <v>70</v>
      </c>
    </row>
    <row r="708" spans="1:9" x14ac:dyDescent="0.2">
      <c r="A708" t="s">
        <v>595</v>
      </c>
      <c r="D708" t="str">
        <f>HYPERLINK("http://nlpdeep.cs.uic.edu:8080/proofing/t5/532409-other-medications-0-2.pdf","t5/532409-other-medications-0-2.pdf")</f>
        <v>t5/532409-other-medications-0-2.pdf</v>
      </c>
      <c r="E708">
        <v>119960</v>
      </c>
      <c r="F708">
        <v>532409</v>
      </c>
      <c r="G708" t="s">
        <v>9</v>
      </c>
      <c r="H708" t="s">
        <v>67</v>
      </c>
      <c r="I708" t="s">
        <v>72</v>
      </c>
    </row>
    <row r="709" spans="1:9" x14ac:dyDescent="0.2">
      <c r="A709" t="s">
        <v>595</v>
      </c>
      <c r="D709" t="str">
        <f>HYPERLINK("http://nlpdeep.cs.uic.edu:8080/proofing/gsii/532409-other-medications-0-2.pdf","gsii/532409-other-medications-0-2.pdf")</f>
        <v>gsii/532409-other-medications-0-2.pdf</v>
      </c>
      <c r="E709">
        <v>119960</v>
      </c>
      <c r="F709">
        <v>532409</v>
      </c>
      <c r="G709" t="s">
        <v>9</v>
      </c>
      <c r="H709" t="s">
        <v>67</v>
      </c>
      <c r="I709" t="s">
        <v>72</v>
      </c>
    </row>
    <row r="710" spans="1:9" x14ac:dyDescent="0.2">
      <c r="A710" t="s">
        <v>596</v>
      </c>
      <c r="D710" t="str">
        <f>HYPERLINK("http://nlpdeep.cs.uic.edu:8080/proofing/t5/532409-other-medications-0-3.pdf","t5/532409-other-medications-0-3.pdf")</f>
        <v>t5/532409-other-medications-0-3.pdf</v>
      </c>
      <c r="E710">
        <v>119960</v>
      </c>
      <c r="F710">
        <v>532409</v>
      </c>
      <c r="G710" t="s">
        <v>9</v>
      </c>
      <c r="H710" t="s">
        <v>67</v>
      </c>
      <c r="I710" t="s">
        <v>74</v>
      </c>
    </row>
    <row r="711" spans="1:9" x14ac:dyDescent="0.2">
      <c r="A711" t="s">
        <v>596</v>
      </c>
      <c r="D711" t="str">
        <f>HYPERLINK("http://nlpdeep.cs.uic.edu:8080/proofing/gsii/532409-other-medications-0-3.pdf","gsii/532409-other-medications-0-3.pdf")</f>
        <v>gsii/532409-other-medications-0-3.pdf</v>
      </c>
      <c r="E711">
        <v>119960</v>
      </c>
      <c r="F711">
        <v>532409</v>
      </c>
      <c r="G711" t="s">
        <v>9</v>
      </c>
      <c r="H711" t="s">
        <v>67</v>
      </c>
      <c r="I711" t="s">
        <v>74</v>
      </c>
    </row>
    <row r="712" spans="1:9" x14ac:dyDescent="0.2">
      <c r="A712" t="s">
        <v>597</v>
      </c>
      <c r="D712" t="str">
        <f>HYPERLINK("http://nlpdeep.cs.uic.edu:8080/proofing/t5/532409-past-medical-history-0-0.pdf","t5/532409-past-medical-history-0-0.pdf")</f>
        <v>t5/532409-past-medical-history-0-0.pdf</v>
      </c>
      <c r="E712">
        <v>119960</v>
      </c>
      <c r="F712">
        <v>532409</v>
      </c>
      <c r="G712" t="s">
        <v>9</v>
      </c>
      <c r="H712" t="s">
        <v>76</v>
      </c>
      <c r="I712" t="s">
        <v>77</v>
      </c>
    </row>
    <row r="713" spans="1:9" x14ac:dyDescent="0.2">
      <c r="A713" t="s">
        <v>597</v>
      </c>
      <c r="D713" t="str">
        <f>HYPERLINK("http://nlpdeep.cs.uic.edu:8080/proofing/gsii/532409-past-medical-history-0-0.pdf","gsii/532409-past-medical-history-0-0.pdf")</f>
        <v>gsii/532409-past-medical-history-0-0.pdf</v>
      </c>
      <c r="E713">
        <v>119960</v>
      </c>
      <c r="F713">
        <v>532409</v>
      </c>
      <c r="G713" t="s">
        <v>9</v>
      </c>
      <c r="H713" t="s">
        <v>76</v>
      </c>
      <c r="I713" t="s">
        <v>77</v>
      </c>
    </row>
    <row r="714" spans="1:9" x14ac:dyDescent="0.2">
      <c r="A714" t="s">
        <v>598</v>
      </c>
      <c r="D714" t="str">
        <f>HYPERLINK("http://nlpdeep.cs.uic.edu:8080/proofing/t5/532409-past-medical-history-0-1.pdf","t5/532409-past-medical-history-0-1.pdf")</f>
        <v>t5/532409-past-medical-history-0-1.pdf</v>
      </c>
      <c r="E714">
        <v>119960</v>
      </c>
      <c r="F714">
        <v>532409</v>
      </c>
      <c r="G714" t="s">
        <v>9</v>
      </c>
      <c r="H714" t="s">
        <v>76</v>
      </c>
      <c r="I714" t="s">
        <v>79</v>
      </c>
    </row>
    <row r="715" spans="1:9" x14ac:dyDescent="0.2">
      <c r="A715" t="s">
        <v>598</v>
      </c>
      <c r="D715" t="str">
        <f>HYPERLINK("http://nlpdeep.cs.uic.edu:8080/proofing/gsii/532409-past-medical-history-0-1.pdf","gsii/532409-past-medical-history-0-1.pdf")</f>
        <v>gsii/532409-past-medical-history-0-1.pdf</v>
      </c>
      <c r="E715">
        <v>119960</v>
      </c>
      <c r="F715">
        <v>532409</v>
      </c>
      <c r="G715" t="s">
        <v>9</v>
      </c>
      <c r="H715" t="s">
        <v>76</v>
      </c>
      <c r="I715" t="s">
        <v>79</v>
      </c>
    </row>
    <row r="716" spans="1:9" x14ac:dyDescent="0.2">
      <c r="A716" t="s">
        <v>599</v>
      </c>
      <c r="D716" t="str">
        <f>HYPERLINK("http://nlpdeep.cs.uic.edu:8080/proofing/t5/532409-past-medical-history-0-2.pdf","t5/532409-past-medical-history-0-2.pdf")</f>
        <v>t5/532409-past-medical-history-0-2.pdf</v>
      </c>
      <c r="E716">
        <v>119960</v>
      </c>
      <c r="F716">
        <v>532409</v>
      </c>
      <c r="G716" t="s">
        <v>9</v>
      </c>
      <c r="H716" t="s">
        <v>76</v>
      </c>
      <c r="I716" t="s">
        <v>81</v>
      </c>
    </row>
    <row r="717" spans="1:9" x14ac:dyDescent="0.2">
      <c r="A717" t="s">
        <v>599</v>
      </c>
      <c r="D717" t="str">
        <f>HYPERLINK("http://nlpdeep.cs.uic.edu:8080/proofing/gsii/532409-past-medical-history-0-2.pdf","gsii/532409-past-medical-history-0-2.pdf")</f>
        <v>gsii/532409-past-medical-history-0-2.pdf</v>
      </c>
      <c r="E717">
        <v>119960</v>
      </c>
      <c r="F717">
        <v>532409</v>
      </c>
      <c r="G717" t="s">
        <v>9</v>
      </c>
      <c r="H717" t="s">
        <v>76</v>
      </c>
      <c r="I717" t="s">
        <v>81</v>
      </c>
    </row>
    <row r="718" spans="1:9" x14ac:dyDescent="0.2">
      <c r="A718" t="s">
        <v>600</v>
      </c>
      <c r="D718" t="str">
        <f>HYPERLINK("http://nlpdeep.cs.uic.edu:8080/proofing/t5/532409-past-medical-history-0-3.pdf","t5/532409-past-medical-history-0-3.pdf")</f>
        <v>t5/532409-past-medical-history-0-3.pdf</v>
      </c>
      <c r="E718">
        <v>119960</v>
      </c>
      <c r="F718">
        <v>532409</v>
      </c>
      <c r="G718" t="s">
        <v>9</v>
      </c>
      <c r="H718" t="s">
        <v>76</v>
      </c>
      <c r="I718" t="s">
        <v>83</v>
      </c>
    </row>
    <row r="719" spans="1:9" x14ac:dyDescent="0.2">
      <c r="A719" t="s">
        <v>600</v>
      </c>
      <c r="D719" t="str">
        <f>HYPERLINK("http://nlpdeep.cs.uic.edu:8080/proofing/gsii/532409-past-medical-history-0-3.pdf","gsii/532409-past-medical-history-0-3.pdf")</f>
        <v>gsii/532409-past-medical-history-0-3.pdf</v>
      </c>
      <c r="E719">
        <v>119960</v>
      </c>
      <c r="F719">
        <v>532409</v>
      </c>
      <c r="G719" t="s">
        <v>9</v>
      </c>
      <c r="H719" t="s">
        <v>76</v>
      </c>
      <c r="I719" t="s">
        <v>83</v>
      </c>
    </row>
    <row r="720" spans="1:9" x14ac:dyDescent="0.2">
      <c r="A720" t="s">
        <v>601</v>
      </c>
      <c r="D720" t="str">
        <f>HYPERLINK("http://nlpdeep.cs.uic.edu:8080/proofing/t5/532409-past-medical-history-0-4.pdf","t5/532409-past-medical-history-0-4.pdf")</f>
        <v>t5/532409-past-medical-history-0-4.pdf</v>
      </c>
      <c r="E720">
        <v>119960</v>
      </c>
      <c r="F720">
        <v>532409</v>
      </c>
      <c r="G720" t="s">
        <v>9</v>
      </c>
      <c r="H720" t="s">
        <v>76</v>
      </c>
      <c r="I720" t="s">
        <v>85</v>
      </c>
    </row>
    <row r="721" spans="1:9" x14ac:dyDescent="0.2">
      <c r="A721" t="s">
        <v>601</v>
      </c>
      <c r="D721" t="str">
        <f>HYPERLINK("http://nlpdeep.cs.uic.edu:8080/proofing/gsii/532409-past-medical-history-0-4.pdf","gsii/532409-past-medical-history-0-4.pdf")</f>
        <v>gsii/532409-past-medical-history-0-4.pdf</v>
      </c>
      <c r="E721">
        <v>119960</v>
      </c>
      <c r="F721">
        <v>532409</v>
      </c>
      <c r="G721" t="s">
        <v>9</v>
      </c>
      <c r="H721" t="s">
        <v>76</v>
      </c>
      <c r="I721" t="s">
        <v>85</v>
      </c>
    </row>
    <row r="722" spans="1:9" x14ac:dyDescent="0.2">
      <c r="A722" t="s">
        <v>602</v>
      </c>
      <c r="D722" t="str">
        <f>HYPERLINK("http://nlpdeep.cs.uic.edu:8080/proofing/t5/532409-past-medical-history-0-5.pdf","t5/532409-past-medical-history-0-5.pdf")</f>
        <v>t5/532409-past-medical-history-0-5.pdf</v>
      </c>
      <c r="E722">
        <v>119960</v>
      </c>
      <c r="F722">
        <v>532409</v>
      </c>
      <c r="G722" t="s">
        <v>9</v>
      </c>
      <c r="H722" t="s">
        <v>76</v>
      </c>
    </row>
    <row r="723" spans="1:9" x14ac:dyDescent="0.2">
      <c r="A723" t="s">
        <v>602</v>
      </c>
      <c r="D723" t="str">
        <f>HYPERLINK("http://nlpdeep.cs.uic.edu:8080/proofing/gsii/532409-past-medical-history-0-5.pdf","gsii/532409-past-medical-history-0-5.pdf")</f>
        <v>gsii/532409-past-medical-history-0-5.pdf</v>
      </c>
      <c r="E723">
        <v>119960</v>
      </c>
      <c r="F723">
        <v>532409</v>
      </c>
      <c r="G723" t="s">
        <v>9</v>
      </c>
      <c r="H723" t="s">
        <v>76</v>
      </c>
    </row>
    <row r="724" spans="1:9" x14ac:dyDescent="0.2">
      <c r="A724" t="s">
        <v>603</v>
      </c>
      <c r="D724" t="str">
        <f>HYPERLINK("http://nlpdeep.cs.uic.edu:8080/proofing/t5/532409-past-medical-history-1-0.pdf","t5/532409-past-medical-history-1-0.pdf")</f>
        <v>t5/532409-past-medical-history-1-0.pdf</v>
      </c>
      <c r="E724">
        <v>119960</v>
      </c>
      <c r="F724">
        <v>532409</v>
      </c>
      <c r="G724" t="s">
        <v>9</v>
      </c>
      <c r="H724" t="s">
        <v>76</v>
      </c>
    </row>
    <row r="725" spans="1:9" x14ac:dyDescent="0.2">
      <c r="A725" t="s">
        <v>603</v>
      </c>
      <c r="D725" t="str">
        <f>HYPERLINK("http://nlpdeep.cs.uic.edu:8080/proofing/gsii/532409-past-medical-history-1-0.pdf","gsii/532409-past-medical-history-1-0.pdf")</f>
        <v>gsii/532409-past-medical-history-1-0.pdf</v>
      </c>
      <c r="E725">
        <v>119960</v>
      </c>
      <c r="F725">
        <v>532409</v>
      </c>
      <c r="G725" t="s">
        <v>9</v>
      </c>
      <c r="H725" t="s">
        <v>76</v>
      </c>
    </row>
    <row r="726" spans="1:9" x14ac:dyDescent="0.2">
      <c r="A726" t="s">
        <v>604</v>
      </c>
      <c r="D726" t="str">
        <f>HYPERLINK("http://nlpdeep.cs.uic.edu:8080/proofing/t5/532409-past-medical-history-2-0.pdf","t5/532409-past-medical-history-2-0.pdf")</f>
        <v>t5/532409-past-medical-history-2-0.pdf</v>
      </c>
      <c r="E726">
        <v>119960</v>
      </c>
      <c r="F726">
        <v>532409</v>
      </c>
      <c r="G726" t="s">
        <v>9</v>
      </c>
      <c r="H726" t="s">
        <v>76</v>
      </c>
      <c r="I726" t="s">
        <v>89</v>
      </c>
    </row>
    <row r="727" spans="1:9" x14ac:dyDescent="0.2">
      <c r="A727" t="s">
        <v>604</v>
      </c>
      <c r="D727" t="str">
        <f>HYPERLINK("http://nlpdeep.cs.uic.edu:8080/proofing/gsii/532409-past-medical-history-2-0.pdf","gsii/532409-past-medical-history-2-0.pdf")</f>
        <v>gsii/532409-past-medical-history-2-0.pdf</v>
      </c>
      <c r="E727">
        <v>119960</v>
      </c>
      <c r="F727">
        <v>532409</v>
      </c>
      <c r="G727" t="s">
        <v>9</v>
      </c>
      <c r="H727" t="s">
        <v>76</v>
      </c>
      <c r="I727" t="s">
        <v>89</v>
      </c>
    </row>
    <row r="728" spans="1:9" x14ac:dyDescent="0.2">
      <c r="A728" t="s">
        <v>605</v>
      </c>
      <c r="D728" t="str">
        <f>HYPERLINK("http://nlpdeep.cs.uic.edu:8080/proofing/t5/532409-past-medical-history-2-1.pdf","t5/532409-past-medical-history-2-1.pdf")</f>
        <v>t5/532409-past-medical-history-2-1.pdf</v>
      </c>
      <c r="E728">
        <v>119960</v>
      </c>
      <c r="F728">
        <v>532409</v>
      </c>
      <c r="G728" t="s">
        <v>9</v>
      </c>
      <c r="H728" t="s">
        <v>76</v>
      </c>
    </row>
    <row r="729" spans="1:9" x14ac:dyDescent="0.2">
      <c r="A729" t="s">
        <v>605</v>
      </c>
      <c r="D729" t="str">
        <f>HYPERLINK("http://nlpdeep.cs.uic.edu:8080/proofing/gsii/532409-past-medical-history-2-1.pdf","gsii/532409-past-medical-history-2-1.pdf")</f>
        <v>gsii/532409-past-medical-history-2-1.pdf</v>
      </c>
      <c r="E729">
        <v>119960</v>
      </c>
      <c r="F729">
        <v>532409</v>
      </c>
      <c r="G729" t="s">
        <v>9</v>
      </c>
      <c r="H729" t="s">
        <v>76</v>
      </c>
    </row>
    <row r="730" spans="1:9" x14ac:dyDescent="0.2">
      <c r="A730" t="s">
        <v>606</v>
      </c>
      <c r="D730" t="str">
        <f>HYPERLINK("http://nlpdeep.cs.uic.edu:8080/proofing/t5/532409-past-medical-history-3-0.pdf","t5/532409-past-medical-history-3-0.pdf")</f>
        <v>t5/532409-past-medical-history-3-0.pdf</v>
      </c>
      <c r="E730">
        <v>119960</v>
      </c>
      <c r="F730">
        <v>532409</v>
      </c>
      <c r="G730" t="s">
        <v>9</v>
      </c>
      <c r="H730" t="s">
        <v>76</v>
      </c>
    </row>
    <row r="731" spans="1:9" x14ac:dyDescent="0.2">
      <c r="A731" t="s">
        <v>606</v>
      </c>
      <c r="D731" t="str">
        <f>HYPERLINK("http://nlpdeep.cs.uic.edu:8080/proofing/gsii/532409-past-medical-history-3-0.pdf","gsii/532409-past-medical-history-3-0.pdf")</f>
        <v>gsii/532409-past-medical-history-3-0.pdf</v>
      </c>
      <c r="E731">
        <v>119960</v>
      </c>
      <c r="F731">
        <v>532409</v>
      </c>
      <c r="G731" t="s">
        <v>9</v>
      </c>
      <c r="H731" t="s">
        <v>76</v>
      </c>
    </row>
    <row r="732" spans="1:9" x14ac:dyDescent="0.2">
      <c r="A732" t="s">
        <v>607</v>
      </c>
      <c r="D732" t="str">
        <f>HYPERLINK("http://nlpdeep.cs.uic.edu:8080/proofing/t5/532409-past-medical-history-4-0.pdf","t5/532409-past-medical-history-4-0.pdf")</f>
        <v>t5/532409-past-medical-history-4-0.pdf</v>
      </c>
      <c r="E732">
        <v>119960</v>
      </c>
      <c r="F732">
        <v>532409</v>
      </c>
      <c r="G732" t="s">
        <v>9</v>
      </c>
      <c r="H732" t="s">
        <v>76</v>
      </c>
      <c r="I732" t="s">
        <v>93</v>
      </c>
    </row>
    <row r="733" spans="1:9" x14ac:dyDescent="0.2">
      <c r="A733" t="s">
        <v>607</v>
      </c>
      <c r="D733" t="str">
        <f>HYPERLINK("http://nlpdeep.cs.uic.edu:8080/proofing/gsii/532409-past-medical-history-4-0.pdf","gsii/532409-past-medical-history-4-0.pdf")</f>
        <v>gsii/532409-past-medical-history-4-0.pdf</v>
      </c>
      <c r="E733">
        <v>119960</v>
      </c>
      <c r="F733">
        <v>532409</v>
      </c>
      <c r="G733" t="s">
        <v>9</v>
      </c>
      <c r="H733" t="s">
        <v>76</v>
      </c>
      <c r="I733" t="s">
        <v>93</v>
      </c>
    </row>
    <row r="734" spans="1:9" x14ac:dyDescent="0.2">
      <c r="A734" t="s">
        <v>608</v>
      </c>
      <c r="D734" t="str">
        <f>HYPERLINK("http://nlpdeep.cs.uic.edu:8080/proofing/t5/532409-past-medical-history-4-1.pdf","t5/532409-past-medical-history-4-1.pdf")</f>
        <v>t5/532409-past-medical-history-4-1.pdf</v>
      </c>
      <c r="E734">
        <v>119960</v>
      </c>
      <c r="F734">
        <v>532409</v>
      </c>
      <c r="G734" t="s">
        <v>9</v>
      </c>
      <c r="H734" t="s">
        <v>76</v>
      </c>
      <c r="I734" t="s">
        <v>95</v>
      </c>
    </row>
    <row r="735" spans="1:9" x14ac:dyDescent="0.2">
      <c r="A735" t="s">
        <v>608</v>
      </c>
      <c r="D735" t="str">
        <f>HYPERLINK("http://nlpdeep.cs.uic.edu:8080/proofing/gsii/532409-past-medical-history-4-1.pdf","gsii/532409-past-medical-history-4-1.pdf")</f>
        <v>gsii/532409-past-medical-history-4-1.pdf</v>
      </c>
      <c r="E735">
        <v>119960</v>
      </c>
      <c r="F735">
        <v>532409</v>
      </c>
      <c r="G735" t="s">
        <v>9</v>
      </c>
      <c r="H735" t="s">
        <v>76</v>
      </c>
      <c r="I735" t="s">
        <v>95</v>
      </c>
    </row>
    <row r="736" spans="1:9" x14ac:dyDescent="0.2">
      <c r="A736" t="s">
        <v>609</v>
      </c>
      <c r="D736" t="str">
        <f>HYPERLINK("http://nlpdeep.cs.uic.edu:8080/proofing/t5/532409-past-medical-history-4-2.pdf","t5/532409-past-medical-history-4-2.pdf")</f>
        <v>t5/532409-past-medical-history-4-2.pdf</v>
      </c>
      <c r="E736">
        <v>119960</v>
      </c>
      <c r="F736">
        <v>532409</v>
      </c>
      <c r="G736" t="s">
        <v>9</v>
      </c>
      <c r="H736" t="s">
        <v>76</v>
      </c>
      <c r="I736" t="s">
        <v>97</v>
      </c>
    </row>
    <row r="737" spans="1:9" x14ac:dyDescent="0.2">
      <c r="A737" t="s">
        <v>609</v>
      </c>
      <c r="D737" t="str">
        <f>HYPERLINK("http://nlpdeep.cs.uic.edu:8080/proofing/gsii/532409-past-medical-history-4-2.pdf","gsii/532409-past-medical-history-4-2.pdf")</f>
        <v>gsii/532409-past-medical-history-4-2.pdf</v>
      </c>
      <c r="E737">
        <v>119960</v>
      </c>
      <c r="F737">
        <v>532409</v>
      </c>
      <c r="G737" t="s">
        <v>9</v>
      </c>
      <c r="H737" t="s">
        <v>76</v>
      </c>
      <c r="I737" t="s">
        <v>97</v>
      </c>
    </row>
    <row r="738" spans="1:9" x14ac:dyDescent="0.2">
      <c r="A738" t="s">
        <v>610</v>
      </c>
      <c r="D738" t="str">
        <f>HYPERLINK("http://nlpdeep.cs.uic.edu:8080/proofing/t5/532409-past-medical-history-4-3.pdf","t5/532409-past-medical-history-4-3.pdf")</f>
        <v>t5/532409-past-medical-history-4-3.pdf</v>
      </c>
      <c r="E738">
        <v>119960</v>
      </c>
      <c r="F738">
        <v>532409</v>
      </c>
      <c r="G738" t="s">
        <v>9</v>
      </c>
      <c r="H738" t="s">
        <v>76</v>
      </c>
      <c r="I738" t="s">
        <v>99</v>
      </c>
    </row>
    <row r="739" spans="1:9" x14ac:dyDescent="0.2">
      <c r="A739" t="s">
        <v>610</v>
      </c>
      <c r="D739" t="str">
        <f>HYPERLINK("http://nlpdeep.cs.uic.edu:8080/proofing/gsii/532409-past-medical-history-4-3.pdf","gsii/532409-past-medical-history-4-3.pdf")</f>
        <v>gsii/532409-past-medical-history-4-3.pdf</v>
      </c>
      <c r="E739">
        <v>119960</v>
      </c>
      <c r="F739">
        <v>532409</v>
      </c>
      <c r="G739" t="s">
        <v>9</v>
      </c>
      <c r="H739" t="s">
        <v>76</v>
      </c>
      <c r="I739" t="s">
        <v>99</v>
      </c>
    </row>
    <row r="740" spans="1:9" x14ac:dyDescent="0.2">
      <c r="A740" t="s">
        <v>611</v>
      </c>
      <c r="D740" t="str">
        <f>HYPERLINK("http://nlpdeep.cs.uic.edu:8080/proofing/t5/532409-past-medical-history-4-4.pdf","t5/532409-past-medical-history-4-4.pdf")</f>
        <v>t5/532409-past-medical-history-4-4.pdf</v>
      </c>
      <c r="E740">
        <v>119960</v>
      </c>
      <c r="F740">
        <v>532409</v>
      </c>
      <c r="G740" t="s">
        <v>9</v>
      </c>
      <c r="H740" t="s">
        <v>76</v>
      </c>
      <c r="I740" t="s">
        <v>101</v>
      </c>
    </row>
    <row r="741" spans="1:9" x14ac:dyDescent="0.2">
      <c r="A741" t="s">
        <v>611</v>
      </c>
      <c r="D741" t="str">
        <f>HYPERLINK("http://nlpdeep.cs.uic.edu:8080/proofing/gsii/532409-past-medical-history-4-4.pdf","gsii/532409-past-medical-history-4-4.pdf")</f>
        <v>gsii/532409-past-medical-history-4-4.pdf</v>
      </c>
      <c r="E741">
        <v>119960</v>
      </c>
      <c r="F741">
        <v>532409</v>
      </c>
      <c r="G741" t="s">
        <v>9</v>
      </c>
      <c r="H741" t="s">
        <v>76</v>
      </c>
      <c r="I741" t="s">
        <v>101</v>
      </c>
    </row>
    <row r="742" spans="1:9" x14ac:dyDescent="0.2">
      <c r="A742" t="s">
        <v>612</v>
      </c>
      <c r="D742" t="str">
        <f>HYPERLINK("http://nlpdeep.cs.uic.edu:8080/proofing/t5/532409-past-medical-history-4-5.pdf","t5/532409-past-medical-history-4-5.pdf")</f>
        <v>t5/532409-past-medical-history-4-5.pdf</v>
      </c>
      <c r="E742">
        <v>119960</v>
      </c>
      <c r="F742">
        <v>532409</v>
      </c>
      <c r="G742" t="s">
        <v>9</v>
      </c>
      <c r="H742" t="s">
        <v>76</v>
      </c>
      <c r="I742" t="s">
        <v>103</v>
      </c>
    </row>
    <row r="743" spans="1:9" x14ac:dyDescent="0.2">
      <c r="A743" t="s">
        <v>612</v>
      </c>
      <c r="D743" t="str">
        <f>HYPERLINK("http://nlpdeep.cs.uic.edu:8080/proofing/gsii/532409-past-medical-history-4-5.pdf","gsii/532409-past-medical-history-4-5.pdf")</f>
        <v>gsii/532409-past-medical-history-4-5.pdf</v>
      </c>
      <c r="E743">
        <v>119960</v>
      </c>
      <c r="F743">
        <v>532409</v>
      </c>
      <c r="G743" t="s">
        <v>9</v>
      </c>
      <c r="H743" t="s">
        <v>76</v>
      </c>
      <c r="I743" t="s">
        <v>103</v>
      </c>
    </row>
    <row r="744" spans="1:9" x14ac:dyDescent="0.2">
      <c r="A744" t="s">
        <v>613</v>
      </c>
      <c r="D744" t="str">
        <f>HYPERLINK("http://nlpdeep.cs.uic.edu:8080/proofing/t5/532409-past-medical-history-4-6.pdf","t5/532409-past-medical-history-4-6.pdf")</f>
        <v>t5/532409-past-medical-history-4-6.pdf</v>
      </c>
      <c r="E744">
        <v>119960</v>
      </c>
      <c r="F744">
        <v>532409</v>
      </c>
      <c r="G744" t="s">
        <v>9</v>
      </c>
      <c r="H744" t="s">
        <v>76</v>
      </c>
      <c r="I744" t="s">
        <v>105</v>
      </c>
    </row>
    <row r="745" spans="1:9" x14ac:dyDescent="0.2">
      <c r="A745" t="s">
        <v>613</v>
      </c>
      <c r="D745" t="str">
        <f>HYPERLINK("http://nlpdeep.cs.uic.edu:8080/proofing/gsii/532409-past-medical-history-4-6.pdf","gsii/532409-past-medical-history-4-6.pdf")</f>
        <v>gsii/532409-past-medical-history-4-6.pdf</v>
      </c>
      <c r="E745">
        <v>119960</v>
      </c>
      <c r="F745">
        <v>532409</v>
      </c>
      <c r="G745" t="s">
        <v>9</v>
      </c>
      <c r="H745" t="s">
        <v>76</v>
      </c>
      <c r="I745" t="s">
        <v>105</v>
      </c>
    </row>
    <row r="746" spans="1:9" x14ac:dyDescent="0.2">
      <c r="A746" t="s">
        <v>614</v>
      </c>
      <c r="D746" t="str">
        <f>HYPERLINK("http://nlpdeep.cs.uic.edu:8080/proofing/t5/532409-family-history-0-0.pdf","t5/532409-family-history-0-0.pdf")</f>
        <v>t5/532409-family-history-0-0.pdf</v>
      </c>
      <c r="E746">
        <v>119960</v>
      </c>
      <c r="F746">
        <v>532409</v>
      </c>
      <c r="G746" t="s">
        <v>9</v>
      </c>
      <c r="H746" t="s">
        <v>107</v>
      </c>
      <c r="I746" t="s">
        <v>108</v>
      </c>
    </row>
    <row r="747" spans="1:9" x14ac:dyDescent="0.2">
      <c r="A747" t="s">
        <v>614</v>
      </c>
      <c r="D747" t="str">
        <f>HYPERLINK("http://nlpdeep.cs.uic.edu:8080/proofing/gsii/532409-family-history-0-0.pdf","gsii/532409-family-history-0-0.pdf")</f>
        <v>gsii/532409-family-history-0-0.pdf</v>
      </c>
      <c r="E747">
        <v>119960</v>
      </c>
      <c r="F747">
        <v>532409</v>
      </c>
      <c r="G747" t="s">
        <v>9</v>
      </c>
      <c r="H747" t="s">
        <v>107</v>
      </c>
      <c r="I747" t="s">
        <v>108</v>
      </c>
    </row>
    <row r="748" spans="1:9" x14ac:dyDescent="0.2">
      <c r="A748" t="s">
        <v>615</v>
      </c>
      <c r="D748" t="str">
        <f>HYPERLINK("http://nlpdeep.cs.uic.edu:8080/proofing/t5/532409-family-history-0-1.pdf","t5/532409-family-history-0-1.pdf")</f>
        <v>t5/532409-family-history-0-1.pdf</v>
      </c>
      <c r="E748">
        <v>119960</v>
      </c>
      <c r="F748">
        <v>532409</v>
      </c>
      <c r="G748" t="s">
        <v>9</v>
      </c>
      <c r="H748" t="s">
        <v>107</v>
      </c>
      <c r="I748" t="s">
        <v>110</v>
      </c>
    </row>
    <row r="749" spans="1:9" x14ac:dyDescent="0.2">
      <c r="A749" t="s">
        <v>615</v>
      </c>
      <c r="D749" t="str">
        <f>HYPERLINK("http://nlpdeep.cs.uic.edu:8080/proofing/gsii/532409-family-history-0-1.pdf","gsii/532409-family-history-0-1.pdf")</f>
        <v>gsii/532409-family-history-0-1.pdf</v>
      </c>
      <c r="E749">
        <v>119960</v>
      </c>
      <c r="F749">
        <v>532409</v>
      </c>
      <c r="G749" t="s">
        <v>9</v>
      </c>
      <c r="H749" t="s">
        <v>107</v>
      </c>
      <c r="I749" t="s">
        <v>110</v>
      </c>
    </row>
    <row r="750" spans="1:9" x14ac:dyDescent="0.2">
      <c r="A750" t="s">
        <v>616</v>
      </c>
      <c r="D750" t="str">
        <f>HYPERLINK("http://nlpdeep.cs.uic.edu:8080/proofing/t5/532409-family-history-0-2.pdf","t5/532409-family-history-0-2.pdf")</f>
        <v>t5/532409-family-history-0-2.pdf</v>
      </c>
      <c r="E750">
        <v>119960</v>
      </c>
      <c r="F750">
        <v>532409</v>
      </c>
      <c r="G750" t="s">
        <v>9</v>
      </c>
      <c r="H750" t="s">
        <v>107</v>
      </c>
      <c r="I750" t="s">
        <v>112</v>
      </c>
    </row>
    <row r="751" spans="1:9" x14ac:dyDescent="0.2">
      <c r="A751" t="s">
        <v>616</v>
      </c>
      <c r="D751" t="str">
        <f>HYPERLINK("http://nlpdeep.cs.uic.edu:8080/proofing/gsii/532409-family-history-0-2.pdf","gsii/532409-family-history-0-2.pdf")</f>
        <v>gsii/532409-family-history-0-2.pdf</v>
      </c>
      <c r="E751">
        <v>119960</v>
      </c>
      <c r="F751">
        <v>532409</v>
      </c>
      <c r="G751" t="s">
        <v>9</v>
      </c>
      <c r="H751" t="s">
        <v>107</v>
      </c>
      <c r="I751" t="s">
        <v>112</v>
      </c>
    </row>
    <row r="752" spans="1:9" x14ac:dyDescent="0.2">
      <c r="A752" t="s">
        <v>617</v>
      </c>
      <c r="D752" t="str">
        <f>HYPERLINK("http://nlpdeep.cs.uic.edu:8080/proofing/t5/532409-family-history-0-3.pdf","t5/532409-family-history-0-3.pdf")</f>
        <v>t5/532409-family-history-0-3.pdf</v>
      </c>
      <c r="E752">
        <v>119960</v>
      </c>
      <c r="F752">
        <v>532409</v>
      </c>
      <c r="G752" t="s">
        <v>9</v>
      </c>
      <c r="H752" t="s">
        <v>107</v>
      </c>
      <c r="I752" t="s">
        <v>114</v>
      </c>
    </row>
    <row r="753" spans="1:9" x14ac:dyDescent="0.2">
      <c r="A753" t="s">
        <v>617</v>
      </c>
      <c r="D753" t="str">
        <f>HYPERLINK("http://nlpdeep.cs.uic.edu:8080/proofing/gsii/532409-family-history-0-3.pdf","gsii/532409-family-history-0-3.pdf")</f>
        <v>gsii/532409-family-history-0-3.pdf</v>
      </c>
      <c r="E753">
        <v>119960</v>
      </c>
      <c r="F753">
        <v>532409</v>
      </c>
      <c r="G753" t="s">
        <v>9</v>
      </c>
      <c r="H753" t="s">
        <v>107</v>
      </c>
      <c r="I753" t="s">
        <v>114</v>
      </c>
    </row>
    <row r="754" spans="1:9" x14ac:dyDescent="0.2">
      <c r="A754" t="s">
        <v>618</v>
      </c>
      <c r="D754" t="str">
        <f>HYPERLINK("http://nlpdeep.cs.uic.edu:8080/proofing/t5/532409-family-history-0-4.pdf","t5/532409-family-history-0-4.pdf")</f>
        <v>t5/532409-family-history-0-4.pdf</v>
      </c>
      <c r="E754">
        <v>119960</v>
      </c>
      <c r="F754">
        <v>532409</v>
      </c>
      <c r="G754" t="s">
        <v>9</v>
      </c>
      <c r="H754" t="s">
        <v>107</v>
      </c>
      <c r="I754" t="s">
        <v>116</v>
      </c>
    </row>
    <row r="755" spans="1:9" x14ac:dyDescent="0.2">
      <c r="A755" t="s">
        <v>618</v>
      </c>
      <c r="D755" t="str">
        <f>HYPERLINK("http://nlpdeep.cs.uic.edu:8080/proofing/gsii/532409-family-history-0-4.pdf","gsii/532409-family-history-0-4.pdf")</f>
        <v>gsii/532409-family-history-0-4.pdf</v>
      </c>
      <c r="E755">
        <v>119960</v>
      </c>
      <c r="F755">
        <v>532409</v>
      </c>
      <c r="G755" t="s">
        <v>9</v>
      </c>
      <c r="H755" t="s">
        <v>107</v>
      </c>
      <c r="I755" t="s">
        <v>116</v>
      </c>
    </row>
    <row r="756" spans="1:9" x14ac:dyDescent="0.2">
      <c r="A756" t="s">
        <v>619</v>
      </c>
      <c r="D756" t="str">
        <f>HYPERLINK("http://nlpdeep.cs.uic.edu:8080/proofing/t5/532409-social-history-0-0.pdf","t5/532409-social-history-0-0.pdf")</f>
        <v>t5/532409-social-history-0-0.pdf</v>
      </c>
      <c r="E756">
        <v>119960</v>
      </c>
      <c r="F756">
        <v>532409</v>
      </c>
      <c r="G756" t="s">
        <v>9</v>
      </c>
      <c r="H756" t="s">
        <v>118</v>
      </c>
      <c r="I756" t="s">
        <v>119</v>
      </c>
    </row>
    <row r="757" spans="1:9" x14ac:dyDescent="0.2">
      <c r="A757" t="s">
        <v>619</v>
      </c>
      <c r="D757" t="str">
        <f>HYPERLINK("http://nlpdeep.cs.uic.edu:8080/proofing/gsii/532409-social-history-0-0.pdf","gsii/532409-social-history-0-0.pdf")</f>
        <v>gsii/532409-social-history-0-0.pdf</v>
      </c>
      <c r="E757">
        <v>119960</v>
      </c>
      <c r="F757">
        <v>532409</v>
      </c>
      <c r="G757" t="s">
        <v>9</v>
      </c>
      <c r="H757" t="s">
        <v>118</v>
      </c>
      <c r="I757" t="s">
        <v>119</v>
      </c>
    </row>
    <row r="758" spans="1:9" x14ac:dyDescent="0.2">
      <c r="A758" t="s">
        <v>620</v>
      </c>
      <c r="D758" t="str">
        <f>HYPERLINK("http://nlpdeep.cs.uic.edu:8080/proofing/t5/532409-social-history-0-1.pdf","t5/532409-social-history-0-1.pdf")</f>
        <v>t5/532409-social-history-0-1.pdf</v>
      </c>
      <c r="E758">
        <v>119960</v>
      </c>
      <c r="F758">
        <v>532409</v>
      </c>
      <c r="G758" t="s">
        <v>9</v>
      </c>
      <c r="H758" t="s">
        <v>118</v>
      </c>
      <c r="I758" t="s">
        <v>121</v>
      </c>
    </row>
    <row r="759" spans="1:9" x14ac:dyDescent="0.2">
      <c r="A759" t="s">
        <v>620</v>
      </c>
      <c r="D759" t="str">
        <f>HYPERLINK("http://nlpdeep.cs.uic.edu:8080/proofing/gsii/532409-social-history-0-1.pdf","gsii/532409-social-history-0-1.pdf")</f>
        <v>gsii/532409-social-history-0-1.pdf</v>
      </c>
      <c r="E759">
        <v>119960</v>
      </c>
      <c r="F759">
        <v>532409</v>
      </c>
      <c r="G759" t="s">
        <v>9</v>
      </c>
      <c r="H759" t="s">
        <v>118</v>
      </c>
      <c r="I759" t="s">
        <v>121</v>
      </c>
    </row>
    <row r="760" spans="1:9" x14ac:dyDescent="0.2">
      <c r="A760" t="s">
        <v>621</v>
      </c>
      <c r="D760" t="str">
        <f>HYPERLINK("http://nlpdeep.cs.uic.edu:8080/proofing/t5/532409-social-history-0-2.pdf","t5/532409-social-history-0-2.pdf")</f>
        <v>t5/532409-social-history-0-2.pdf</v>
      </c>
      <c r="E760">
        <v>119960</v>
      </c>
      <c r="F760">
        <v>532409</v>
      </c>
      <c r="G760" t="s">
        <v>9</v>
      </c>
      <c r="H760" t="s">
        <v>118</v>
      </c>
      <c r="I760" t="s">
        <v>123</v>
      </c>
    </row>
    <row r="761" spans="1:9" x14ac:dyDescent="0.2">
      <c r="A761" t="s">
        <v>621</v>
      </c>
      <c r="D761" t="str">
        <f>HYPERLINK("http://nlpdeep.cs.uic.edu:8080/proofing/gsii/532409-social-history-0-2.pdf","gsii/532409-social-history-0-2.pdf")</f>
        <v>gsii/532409-social-history-0-2.pdf</v>
      </c>
      <c r="E761">
        <v>119960</v>
      </c>
      <c r="F761">
        <v>532409</v>
      </c>
      <c r="G761" t="s">
        <v>9</v>
      </c>
      <c r="H761" t="s">
        <v>118</v>
      </c>
      <c r="I761" t="s">
        <v>123</v>
      </c>
    </row>
    <row r="762" spans="1:9" x14ac:dyDescent="0.2">
      <c r="A762" t="s">
        <v>622</v>
      </c>
      <c r="D762" t="str">
        <f>HYPERLINK("http://nlpdeep.cs.uic.edu:8080/proofing/t5/532409-social-history-0-3.pdf","t5/532409-social-history-0-3.pdf")</f>
        <v>t5/532409-social-history-0-3.pdf</v>
      </c>
      <c r="E762">
        <v>119960</v>
      </c>
      <c r="F762">
        <v>532409</v>
      </c>
      <c r="G762" t="s">
        <v>9</v>
      </c>
      <c r="H762" t="s">
        <v>118</v>
      </c>
      <c r="I762" t="s">
        <v>125</v>
      </c>
    </row>
    <row r="763" spans="1:9" x14ac:dyDescent="0.2">
      <c r="A763" t="s">
        <v>622</v>
      </c>
      <c r="D763" t="str">
        <f>HYPERLINK("http://nlpdeep.cs.uic.edu:8080/proofing/gsii/532409-social-history-0-3.pdf","gsii/532409-social-history-0-3.pdf")</f>
        <v>gsii/532409-social-history-0-3.pdf</v>
      </c>
      <c r="E763">
        <v>119960</v>
      </c>
      <c r="F763">
        <v>532409</v>
      </c>
      <c r="G763" t="s">
        <v>9</v>
      </c>
      <c r="H763" t="s">
        <v>118</v>
      </c>
      <c r="I763" t="s">
        <v>125</v>
      </c>
    </row>
    <row r="764" spans="1:9" x14ac:dyDescent="0.2">
      <c r="A764" t="s">
        <v>623</v>
      </c>
      <c r="D764" t="str">
        <f>HYPERLINK("http://nlpdeep.cs.uic.edu:8080/proofing/t5/532409-social-history-0-4.pdf","t5/532409-social-history-0-4.pdf")</f>
        <v>t5/532409-social-history-0-4.pdf</v>
      </c>
      <c r="E764">
        <v>119960</v>
      </c>
      <c r="F764">
        <v>532409</v>
      </c>
      <c r="G764" t="s">
        <v>9</v>
      </c>
      <c r="H764" t="s">
        <v>118</v>
      </c>
      <c r="I764" t="s">
        <v>127</v>
      </c>
    </row>
    <row r="765" spans="1:9" x14ac:dyDescent="0.2">
      <c r="A765" t="s">
        <v>623</v>
      </c>
      <c r="D765" t="str">
        <f>HYPERLINK("http://nlpdeep.cs.uic.edu:8080/proofing/gsii/532409-social-history-0-4.pdf","gsii/532409-social-history-0-4.pdf")</f>
        <v>gsii/532409-social-history-0-4.pdf</v>
      </c>
      <c r="E765">
        <v>119960</v>
      </c>
      <c r="F765">
        <v>532409</v>
      </c>
      <c r="G765" t="s">
        <v>9</v>
      </c>
      <c r="H765" t="s">
        <v>118</v>
      </c>
      <c r="I765" t="s">
        <v>127</v>
      </c>
    </row>
    <row r="766" spans="1:9" x14ac:dyDescent="0.2">
      <c r="A766" t="s">
        <v>624</v>
      </c>
      <c r="D766" t="str">
        <f>HYPERLINK("http://nlpdeep.cs.uic.edu:8080/proofing/t5/532409-social-history-0-5.pdf","t5/532409-social-history-0-5.pdf")</f>
        <v>t5/532409-social-history-0-5.pdf</v>
      </c>
      <c r="E766">
        <v>119960</v>
      </c>
      <c r="F766">
        <v>532409</v>
      </c>
      <c r="G766" t="s">
        <v>9</v>
      </c>
      <c r="H766" t="s">
        <v>118</v>
      </c>
      <c r="I766" t="s">
        <v>129</v>
      </c>
    </row>
    <row r="767" spans="1:9" x14ac:dyDescent="0.2">
      <c r="A767" t="s">
        <v>624</v>
      </c>
      <c r="D767" t="str">
        <f>HYPERLINK("http://nlpdeep.cs.uic.edu:8080/proofing/gsii/532409-social-history-0-5.pdf","gsii/532409-social-history-0-5.pdf")</f>
        <v>gsii/532409-social-history-0-5.pdf</v>
      </c>
      <c r="E767">
        <v>119960</v>
      </c>
      <c r="F767">
        <v>532409</v>
      </c>
      <c r="G767" t="s">
        <v>9</v>
      </c>
      <c r="H767" t="s">
        <v>118</v>
      </c>
      <c r="I767" t="s">
        <v>129</v>
      </c>
    </row>
    <row r="768" spans="1:9" x14ac:dyDescent="0.2">
      <c r="A768" t="s">
        <v>625</v>
      </c>
      <c r="D768" t="str">
        <f>HYPERLINK("http://nlpdeep.cs.uic.edu:8080/proofing/t5/532409-social-history-0-6.pdf","t5/532409-social-history-0-6.pdf")</f>
        <v>t5/532409-social-history-0-6.pdf</v>
      </c>
      <c r="E768">
        <v>119960</v>
      </c>
      <c r="F768">
        <v>532409</v>
      </c>
      <c r="G768" t="s">
        <v>9</v>
      </c>
      <c r="H768" t="s">
        <v>118</v>
      </c>
      <c r="I768" t="s">
        <v>131</v>
      </c>
    </row>
    <row r="769" spans="1:9" x14ac:dyDescent="0.2">
      <c r="A769" t="s">
        <v>625</v>
      </c>
      <c r="D769" t="str">
        <f>HYPERLINK("http://nlpdeep.cs.uic.edu:8080/proofing/gsii/532409-social-history-0-6.pdf","gsii/532409-social-history-0-6.pdf")</f>
        <v>gsii/532409-social-history-0-6.pdf</v>
      </c>
      <c r="E769">
        <v>119960</v>
      </c>
      <c r="F769">
        <v>532409</v>
      </c>
      <c r="G769" t="s">
        <v>9</v>
      </c>
      <c r="H769" t="s">
        <v>118</v>
      </c>
      <c r="I769" t="s">
        <v>131</v>
      </c>
    </row>
    <row r="770" spans="1:9" x14ac:dyDescent="0.2">
      <c r="A770" t="s">
        <v>626</v>
      </c>
      <c r="D770" t="str">
        <f>HYPERLINK("http://nlpdeep.cs.uic.edu:8080/proofing/t5/532409-social-history-0-7.pdf","t5/532409-social-history-0-7.pdf")</f>
        <v>t5/532409-social-history-0-7.pdf</v>
      </c>
      <c r="E770">
        <v>119960</v>
      </c>
      <c r="F770">
        <v>532409</v>
      </c>
      <c r="G770" t="s">
        <v>9</v>
      </c>
      <c r="H770" t="s">
        <v>118</v>
      </c>
      <c r="I770" t="s">
        <v>133</v>
      </c>
    </row>
    <row r="771" spans="1:9" x14ac:dyDescent="0.2">
      <c r="A771" t="s">
        <v>626</v>
      </c>
      <c r="D771" t="str">
        <f>HYPERLINK("http://nlpdeep.cs.uic.edu:8080/proofing/gsii/532409-social-history-0-7.pdf","gsii/532409-social-history-0-7.pdf")</f>
        <v>gsii/532409-social-history-0-7.pdf</v>
      </c>
      <c r="E771">
        <v>119960</v>
      </c>
      <c r="F771">
        <v>532409</v>
      </c>
      <c r="G771" t="s">
        <v>9</v>
      </c>
      <c r="H771" t="s">
        <v>118</v>
      </c>
      <c r="I771" t="s">
        <v>133</v>
      </c>
    </row>
    <row r="772" spans="1:9" x14ac:dyDescent="0.2">
      <c r="A772" t="s">
        <v>627</v>
      </c>
      <c r="D772" t="str">
        <f>HYPERLINK("http://nlpdeep.cs.uic.edu:8080/proofing/t5/532409-flowsheet-data-vitals-0-0.pdf","t5/532409-flowsheet-data-vitals-0-0.pdf")</f>
        <v>t5/532409-flowsheet-data-vitals-0-0.pdf</v>
      </c>
      <c r="E772">
        <v>119960</v>
      </c>
      <c r="F772">
        <v>532409</v>
      </c>
      <c r="G772" t="s">
        <v>9</v>
      </c>
      <c r="H772" t="s">
        <v>135</v>
      </c>
      <c r="I772" t="s">
        <v>136</v>
      </c>
    </row>
    <row r="773" spans="1:9" x14ac:dyDescent="0.2">
      <c r="A773" t="s">
        <v>627</v>
      </c>
      <c r="D773" t="str">
        <f>HYPERLINK("http://nlpdeep.cs.uic.edu:8080/proofing/gsii/532409-flowsheet-data-vitals-0-0.pdf","gsii/532409-flowsheet-data-vitals-0-0.pdf")</f>
        <v>gsii/532409-flowsheet-data-vitals-0-0.pdf</v>
      </c>
      <c r="E773">
        <v>119960</v>
      </c>
      <c r="F773">
        <v>532409</v>
      </c>
      <c r="G773" t="s">
        <v>9</v>
      </c>
      <c r="H773" t="s">
        <v>135</v>
      </c>
      <c r="I773" t="s">
        <v>136</v>
      </c>
    </row>
    <row r="774" spans="1:9" x14ac:dyDescent="0.2">
      <c r="A774" t="s">
        <v>628</v>
      </c>
      <c r="D774" t="str">
        <f>HYPERLINK("http://nlpdeep.cs.uic.edu:8080/proofing/t5/532409-physical-examination-0-0.pdf","t5/532409-physical-examination-0-0.pdf")</f>
        <v>t5/532409-physical-examination-0-0.pdf</v>
      </c>
      <c r="E774">
        <v>119960</v>
      </c>
      <c r="F774">
        <v>532409</v>
      </c>
      <c r="G774" t="s">
        <v>9</v>
      </c>
      <c r="H774" t="s">
        <v>138</v>
      </c>
      <c r="I774" t="s">
        <v>139</v>
      </c>
    </row>
    <row r="775" spans="1:9" x14ac:dyDescent="0.2">
      <c r="A775" t="s">
        <v>628</v>
      </c>
      <c r="D775" t="str">
        <f>HYPERLINK("http://nlpdeep.cs.uic.edu:8080/proofing/gsii/532409-physical-examination-0-0.pdf","gsii/532409-physical-examination-0-0.pdf")</f>
        <v>gsii/532409-physical-examination-0-0.pdf</v>
      </c>
      <c r="E775">
        <v>119960</v>
      </c>
      <c r="F775">
        <v>532409</v>
      </c>
      <c r="G775" t="s">
        <v>9</v>
      </c>
      <c r="H775" t="s">
        <v>138</v>
      </c>
      <c r="I775" t="s">
        <v>139</v>
      </c>
    </row>
    <row r="776" spans="1:9" x14ac:dyDescent="0.2">
      <c r="A776" t="s">
        <v>629</v>
      </c>
      <c r="D776" t="str">
        <f>HYPERLINK("http://nlpdeep.cs.uic.edu:8080/proofing/t5/532409-physical-examination-0-1.pdf","t5/532409-physical-examination-0-1.pdf")</f>
        <v>t5/532409-physical-examination-0-1.pdf</v>
      </c>
      <c r="E776">
        <v>119960</v>
      </c>
      <c r="F776">
        <v>532409</v>
      </c>
      <c r="G776" t="s">
        <v>9</v>
      </c>
      <c r="H776" t="s">
        <v>138</v>
      </c>
      <c r="I776" t="s">
        <v>141</v>
      </c>
    </row>
    <row r="777" spans="1:9" x14ac:dyDescent="0.2">
      <c r="A777" t="s">
        <v>629</v>
      </c>
      <c r="D777" t="str">
        <f>HYPERLINK("http://nlpdeep.cs.uic.edu:8080/proofing/gsii/532409-physical-examination-0-1.pdf","gsii/532409-physical-examination-0-1.pdf")</f>
        <v>gsii/532409-physical-examination-0-1.pdf</v>
      </c>
      <c r="E777">
        <v>119960</v>
      </c>
      <c r="F777">
        <v>532409</v>
      </c>
      <c r="G777" t="s">
        <v>9</v>
      </c>
      <c r="H777" t="s">
        <v>138</v>
      </c>
      <c r="I777" t="s">
        <v>141</v>
      </c>
    </row>
    <row r="778" spans="1:9" x14ac:dyDescent="0.2">
      <c r="A778" t="s">
        <v>630</v>
      </c>
      <c r="D778" t="str">
        <f>HYPERLINK("http://nlpdeep.cs.uic.edu:8080/proofing/t5/532409-physical-examination-0-2.pdf","t5/532409-physical-examination-0-2.pdf")</f>
        <v>t5/532409-physical-examination-0-2.pdf</v>
      </c>
      <c r="E778">
        <v>119960</v>
      </c>
      <c r="F778">
        <v>532409</v>
      </c>
      <c r="G778" t="s">
        <v>9</v>
      </c>
      <c r="H778" t="s">
        <v>138</v>
      </c>
      <c r="I778" t="s">
        <v>143</v>
      </c>
    </row>
    <row r="779" spans="1:9" x14ac:dyDescent="0.2">
      <c r="A779" t="s">
        <v>630</v>
      </c>
      <c r="D779" t="str">
        <f>HYPERLINK("http://nlpdeep.cs.uic.edu:8080/proofing/gsii/532409-physical-examination-0-2.pdf","gsii/532409-physical-examination-0-2.pdf")</f>
        <v>gsii/532409-physical-examination-0-2.pdf</v>
      </c>
      <c r="E779">
        <v>119960</v>
      </c>
      <c r="F779">
        <v>532409</v>
      </c>
      <c r="G779" t="s">
        <v>9</v>
      </c>
      <c r="H779" t="s">
        <v>138</v>
      </c>
      <c r="I779" t="s">
        <v>143</v>
      </c>
    </row>
    <row r="780" spans="1:9" x14ac:dyDescent="0.2">
      <c r="A780" t="s">
        <v>631</v>
      </c>
      <c r="D780" t="str">
        <f>HYPERLINK("http://nlpdeep.cs.uic.edu:8080/proofing/t5/532409-physical-examination-0-3.pdf","t5/532409-physical-examination-0-3.pdf")</f>
        <v>t5/532409-physical-examination-0-3.pdf</v>
      </c>
      <c r="E780">
        <v>119960</v>
      </c>
      <c r="F780">
        <v>532409</v>
      </c>
      <c r="G780" t="s">
        <v>9</v>
      </c>
      <c r="H780" t="s">
        <v>138</v>
      </c>
      <c r="I780" t="s">
        <v>145</v>
      </c>
    </row>
    <row r="781" spans="1:9" x14ac:dyDescent="0.2">
      <c r="A781" t="s">
        <v>631</v>
      </c>
      <c r="D781" t="str">
        <f>HYPERLINK("http://nlpdeep.cs.uic.edu:8080/proofing/gsii/532409-physical-examination-0-3.pdf","gsii/532409-physical-examination-0-3.pdf")</f>
        <v>gsii/532409-physical-examination-0-3.pdf</v>
      </c>
      <c r="E781">
        <v>119960</v>
      </c>
      <c r="F781">
        <v>532409</v>
      </c>
      <c r="G781" t="s">
        <v>9</v>
      </c>
      <c r="H781" t="s">
        <v>138</v>
      </c>
      <c r="I781" t="s">
        <v>145</v>
      </c>
    </row>
    <row r="782" spans="1:9" x14ac:dyDescent="0.2">
      <c r="A782" t="s">
        <v>632</v>
      </c>
      <c r="D782" t="str">
        <f>HYPERLINK("http://nlpdeep.cs.uic.edu:8080/proofing/t5/532409-labs-imaging-0-0.pdf","t5/532409-labs-imaging-0-0.pdf")</f>
        <v>t5/532409-labs-imaging-0-0.pdf</v>
      </c>
      <c r="E782">
        <v>119960</v>
      </c>
      <c r="F782">
        <v>532409</v>
      </c>
      <c r="G782" t="s">
        <v>9</v>
      </c>
      <c r="H782" t="s">
        <v>147</v>
      </c>
      <c r="I782" t="s">
        <v>148</v>
      </c>
    </row>
    <row r="783" spans="1:9" x14ac:dyDescent="0.2">
      <c r="A783" t="s">
        <v>632</v>
      </c>
      <c r="D783" t="str">
        <f>HYPERLINK("http://nlpdeep.cs.uic.edu:8080/proofing/gsii/532409-labs-imaging-0-0.pdf","gsii/532409-labs-imaging-0-0.pdf")</f>
        <v>gsii/532409-labs-imaging-0-0.pdf</v>
      </c>
      <c r="E783">
        <v>119960</v>
      </c>
      <c r="F783">
        <v>532409</v>
      </c>
      <c r="G783" t="s">
        <v>9</v>
      </c>
      <c r="H783" t="s">
        <v>147</v>
      </c>
      <c r="I783" t="s">
        <v>148</v>
      </c>
    </row>
    <row r="784" spans="1:9" x14ac:dyDescent="0.2">
      <c r="A784" t="s">
        <v>633</v>
      </c>
      <c r="D784" t="str">
        <f>HYPERLINK("http://nlpdeep.cs.uic.edu:8080/proofing/t5/532409-labs-imaging-0-1.pdf","t5/532409-labs-imaging-0-1.pdf")</f>
        <v>t5/532409-labs-imaging-0-1.pdf</v>
      </c>
      <c r="E784">
        <v>119960</v>
      </c>
      <c r="F784">
        <v>532409</v>
      </c>
      <c r="G784" t="s">
        <v>9</v>
      </c>
      <c r="H784" t="s">
        <v>147</v>
      </c>
      <c r="I784" t="s">
        <v>150</v>
      </c>
    </row>
    <row r="785" spans="1:9" x14ac:dyDescent="0.2">
      <c r="A785" t="s">
        <v>633</v>
      </c>
      <c r="D785" t="str">
        <f>HYPERLINK("http://nlpdeep.cs.uic.edu:8080/proofing/gsii/532409-labs-imaging-0-1.pdf","gsii/532409-labs-imaging-0-1.pdf")</f>
        <v>gsii/532409-labs-imaging-0-1.pdf</v>
      </c>
      <c r="E785">
        <v>119960</v>
      </c>
      <c r="F785">
        <v>532409</v>
      </c>
      <c r="G785" t="s">
        <v>9</v>
      </c>
      <c r="H785" t="s">
        <v>147</v>
      </c>
      <c r="I785" t="s">
        <v>150</v>
      </c>
    </row>
    <row r="786" spans="1:9" x14ac:dyDescent="0.2">
      <c r="A786" t="s">
        <v>634</v>
      </c>
      <c r="D786" t="str">
        <f>HYPERLINK("http://nlpdeep.cs.uic.edu:8080/proofing/t5/532409-labs-imaging-0-2.pdf","t5/532409-labs-imaging-0-2.pdf")</f>
        <v>t5/532409-labs-imaging-0-2.pdf</v>
      </c>
      <c r="E786">
        <v>119960</v>
      </c>
      <c r="F786">
        <v>532409</v>
      </c>
      <c r="G786" t="s">
        <v>9</v>
      </c>
      <c r="H786" t="s">
        <v>147</v>
      </c>
      <c r="I786" t="s">
        <v>152</v>
      </c>
    </row>
    <row r="787" spans="1:9" x14ac:dyDescent="0.2">
      <c r="A787" t="s">
        <v>634</v>
      </c>
      <c r="D787" t="str">
        <f>HYPERLINK("http://nlpdeep.cs.uic.edu:8080/proofing/gsii/532409-labs-imaging-0-2.pdf","gsii/532409-labs-imaging-0-2.pdf")</f>
        <v>gsii/532409-labs-imaging-0-2.pdf</v>
      </c>
      <c r="E787">
        <v>119960</v>
      </c>
      <c r="F787">
        <v>532409</v>
      </c>
      <c r="G787" t="s">
        <v>9</v>
      </c>
      <c r="H787" t="s">
        <v>147</v>
      </c>
      <c r="I787" t="s">
        <v>152</v>
      </c>
    </row>
    <row r="788" spans="1:9" x14ac:dyDescent="0.2">
      <c r="A788" t="s">
        <v>635</v>
      </c>
      <c r="D788" t="str">
        <f>HYPERLINK("http://nlpdeep.cs.uic.edu:8080/proofing/t5/532409-labs-imaging-0-3.pdf","t5/532409-labs-imaging-0-3.pdf")</f>
        <v>t5/532409-labs-imaging-0-3.pdf</v>
      </c>
      <c r="E788">
        <v>119960</v>
      </c>
      <c r="F788">
        <v>532409</v>
      </c>
      <c r="G788" t="s">
        <v>9</v>
      </c>
      <c r="H788" t="s">
        <v>147</v>
      </c>
      <c r="I788" t="s">
        <v>154</v>
      </c>
    </row>
    <row r="789" spans="1:9" x14ac:dyDescent="0.2">
      <c r="A789" t="s">
        <v>635</v>
      </c>
      <c r="D789" t="str">
        <f>HYPERLINK("http://nlpdeep.cs.uic.edu:8080/proofing/gsii/532409-labs-imaging-0-3.pdf","gsii/532409-labs-imaging-0-3.pdf")</f>
        <v>gsii/532409-labs-imaging-0-3.pdf</v>
      </c>
      <c r="E789">
        <v>119960</v>
      </c>
      <c r="F789">
        <v>532409</v>
      </c>
      <c r="G789" t="s">
        <v>9</v>
      </c>
      <c r="H789" t="s">
        <v>147</v>
      </c>
      <c r="I789" t="s">
        <v>154</v>
      </c>
    </row>
    <row r="790" spans="1:9" x14ac:dyDescent="0.2">
      <c r="A790" t="s">
        <v>636</v>
      </c>
      <c r="D790" t="str">
        <f>HYPERLINK("http://nlpdeep.cs.uic.edu:8080/proofing/t5/532409-labs-imaging-0-4.pdf","t5/532409-labs-imaging-0-4.pdf")</f>
        <v>t5/532409-labs-imaging-0-4.pdf</v>
      </c>
      <c r="E790">
        <v>119960</v>
      </c>
      <c r="F790">
        <v>532409</v>
      </c>
      <c r="G790" t="s">
        <v>9</v>
      </c>
      <c r="H790" t="s">
        <v>147</v>
      </c>
      <c r="I790" t="s">
        <v>156</v>
      </c>
    </row>
    <row r="791" spans="1:9" x14ac:dyDescent="0.2">
      <c r="A791" t="s">
        <v>636</v>
      </c>
      <c r="D791" t="str">
        <f>HYPERLINK("http://nlpdeep.cs.uic.edu:8080/proofing/gsii/532409-labs-imaging-0-4.pdf","gsii/532409-labs-imaging-0-4.pdf")</f>
        <v>gsii/532409-labs-imaging-0-4.pdf</v>
      </c>
      <c r="E791">
        <v>119960</v>
      </c>
      <c r="F791">
        <v>532409</v>
      </c>
      <c r="G791" t="s">
        <v>9</v>
      </c>
      <c r="H791" t="s">
        <v>147</v>
      </c>
      <c r="I791" t="s">
        <v>156</v>
      </c>
    </row>
    <row r="792" spans="1:9" x14ac:dyDescent="0.2">
      <c r="A792" t="s">
        <v>637</v>
      </c>
      <c r="D792" t="str">
        <f>HYPERLINK("http://nlpdeep.cs.uic.edu:8080/proofing/t5/532409-labs-imaging-0-5.pdf","t5/532409-labs-imaging-0-5.pdf")</f>
        <v>t5/532409-labs-imaging-0-5.pdf</v>
      </c>
      <c r="E792">
        <v>119960</v>
      </c>
      <c r="F792">
        <v>532409</v>
      </c>
      <c r="G792" t="s">
        <v>9</v>
      </c>
      <c r="H792" t="s">
        <v>147</v>
      </c>
      <c r="I792" t="s">
        <v>158</v>
      </c>
    </row>
    <row r="793" spans="1:9" x14ac:dyDescent="0.2">
      <c r="A793" t="s">
        <v>637</v>
      </c>
      <c r="D793" t="str">
        <f>HYPERLINK("http://nlpdeep.cs.uic.edu:8080/proofing/gsii/532409-labs-imaging-0-5.pdf","gsii/532409-labs-imaging-0-5.pdf")</f>
        <v>gsii/532409-labs-imaging-0-5.pdf</v>
      </c>
      <c r="E793">
        <v>119960</v>
      </c>
      <c r="F793">
        <v>532409</v>
      </c>
      <c r="G793" t="s">
        <v>9</v>
      </c>
      <c r="H793" t="s">
        <v>147</v>
      </c>
      <c r="I793" t="s">
        <v>158</v>
      </c>
    </row>
    <row r="794" spans="1:9" x14ac:dyDescent="0.2">
      <c r="A794" t="s">
        <v>638</v>
      </c>
      <c r="D794" t="str">
        <f>HYPERLINK("http://nlpdeep.cs.uic.edu:8080/proofing/t5/532409-labs-imaging-0-6.pdf","t5/532409-labs-imaging-0-6.pdf")</f>
        <v>t5/532409-labs-imaging-0-6.pdf</v>
      </c>
      <c r="E794">
        <v>119960</v>
      </c>
      <c r="F794">
        <v>532409</v>
      </c>
      <c r="G794" t="s">
        <v>9</v>
      </c>
      <c r="H794" t="s">
        <v>147</v>
      </c>
      <c r="I794" t="s">
        <v>160</v>
      </c>
    </row>
    <row r="795" spans="1:9" x14ac:dyDescent="0.2">
      <c r="A795" t="s">
        <v>638</v>
      </c>
      <c r="D795" t="str">
        <f>HYPERLINK("http://nlpdeep.cs.uic.edu:8080/proofing/gsii/532409-labs-imaging-0-6.pdf","gsii/532409-labs-imaging-0-6.pdf")</f>
        <v>gsii/532409-labs-imaging-0-6.pdf</v>
      </c>
      <c r="E795">
        <v>119960</v>
      </c>
      <c r="F795">
        <v>532409</v>
      </c>
      <c r="G795" t="s">
        <v>9</v>
      </c>
      <c r="H795" t="s">
        <v>147</v>
      </c>
      <c r="I795" t="s">
        <v>160</v>
      </c>
    </row>
    <row r="796" spans="1:9" x14ac:dyDescent="0.2">
      <c r="A796" t="s">
        <v>639</v>
      </c>
      <c r="D796" t="str">
        <f>HYPERLINK("http://nlpdeep.cs.uic.edu:8080/proofing/t5/532409-labs-imaging-0-7.pdf","t5/532409-labs-imaging-0-7.pdf")</f>
        <v>t5/532409-labs-imaging-0-7.pdf</v>
      </c>
      <c r="E796">
        <v>119960</v>
      </c>
      <c r="F796">
        <v>532409</v>
      </c>
      <c r="G796" t="s">
        <v>9</v>
      </c>
      <c r="H796" t="s">
        <v>147</v>
      </c>
      <c r="I796" t="s">
        <v>162</v>
      </c>
    </row>
    <row r="797" spans="1:9" x14ac:dyDescent="0.2">
      <c r="A797" t="s">
        <v>639</v>
      </c>
      <c r="D797" t="str">
        <f>HYPERLINK("http://nlpdeep.cs.uic.edu:8080/proofing/gsii/532409-labs-imaging-0-7.pdf","gsii/532409-labs-imaging-0-7.pdf")</f>
        <v>gsii/532409-labs-imaging-0-7.pdf</v>
      </c>
      <c r="E797">
        <v>119960</v>
      </c>
      <c r="F797">
        <v>532409</v>
      </c>
      <c r="G797" t="s">
        <v>9</v>
      </c>
      <c r="H797" t="s">
        <v>147</v>
      </c>
      <c r="I797" t="s">
        <v>162</v>
      </c>
    </row>
    <row r="798" spans="1:9" x14ac:dyDescent="0.2">
      <c r="A798" t="s">
        <v>640</v>
      </c>
      <c r="D798" t="str">
        <f>HYPERLINK("http://nlpdeep.cs.uic.edu:8080/proofing/t5/532409-labs-imaging-0-8.pdf","t5/532409-labs-imaging-0-8.pdf")</f>
        <v>t5/532409-labs-imaging-0-8.pdf</v>
      </c>
      <c r="E798">
        <v>119960</v>
      </c>
      <c r="F798">
        <v>532409</v>
      </c>
      <c r="G798" t="s">
        <v>9</v>
      </c>
      <c r="H798" t="s">
        <v>147</v>
      </c>
      <c r="I798" t="s">
        <v>164</v>
      </c>
    </row>
    <row r="799" spans="1:9" x14ac:dyDescent="0.2">
      <c r="A799" t="s">
        <v>640</v>
      </c>
      <c r="D799" t="str">
        <f>HYPERLINK("http://nlpdeep.cs.uic.edu:8080/proofing/gsii/532409-labs-imaging-0-8.pdf","gsii/532409-labs-imaging-0-8.pdf")</f>
        <v>gsii/532409-labs-imaging-0-8.pdf</v>
      </c>
      <c r="E799">
        <v>119960</v>
      </c>
      <c r="F799">
        <v>532409</v>
      </c>
      <c r="G799" t="s">
        <v>9</v>
      </c>
      <c r="H799" t="s">
        <v>147</v>
      </c>
      <c r="I799" t="s">
        <v>164</v>
      </c>
    </row>
    <row r="800" spans="1:9" x14ac:dyDescent="0.2">
      <c r="A800" t="s">
        <v>641</v>
      </c>
      <c r="D800" t="str">
        <f>HYPERLINK("http://nlpdeep.cs.uic.edu:8080/proofing/t5/532409-labs-imaging-1-0.pdf","t5/532409-labs-imaging-1-0.pdf")</f>
        <v>t5/532409-labs-imaging-1-0.pdf</v>
      </c>
      <c r="E800">
        <v>119960</v>
      </c>
      <c r="F800">
        <v>532409</v>
      </c>
      <c r="G800" t="s">
        <v>9</v>
      </c>
      <c r="H800" t="s">
        <v>147</v>
      </c>
    </row>
    <row r="801" spans="1:9" x14ac:dyDescent="0.2">
      <c r="A801" t="s">
        <v>641</v>
      </c>
      <c r="D801" t="str">
        <f>HYPERLINK("http://nlpdeep.cs.uic.edu:8080/proofing/gsii/532409-labs-imaging-1-0.pdf","gsii/532409-labs-imaging-1-0.pdf")</f>
        <v>gsii/532409-labs-imaging-1-0.pdf</v>
      </c>
      <c r="E801">
        <v>119960</v>
      </c>
      <c r="F801">
        <v>532409</v>
      </c>
      <c r="G801" t="s">
        <v>9</v>
      </c>
      <c r="H801" t="s">
        <v>147</v>
      </c>
    </row>
    <row r="802" spans="1:9" x14ac:dyDescent="0.2">
      <c r="A802" t="s">
        <v>642</v>
      </c>
      <c r="D802" t="str">
        <f>HYPERLINK("http://nlpdeep.cs.uic.edu:8080/proofing/t5/532409-labs-imaging-2-0.pdf","t5/532409-labs-imaging-2-0.pdf")</f>
        <v>t5/532409-labs-imaging-2-0.pdf</v>
      </c>
      <c r="E802">
        <v>119960</v>
      </c>
      <c r="F802">
        <v>532409</v>
      </c>
      <c r="G802" t="s">
        <v>9</v>
      </c>
      <c r="H802" t="s">
        <v>147</v>
      </c>
    </row>
    <row r="803" spans="1:9" x14ac:dyDescent="0.2">
      <c r="A803" t="s">
        <v>642</v>
      </c>
      <c r="D803" t="str">
        <f>HYPERLINK("http://nlpdeep.cs.uic.edu:8080/proofing/gsii/532409-labs-imaging-2-0.pdf","gsii/532409-labs-imaging-2-0.pdf")</f>
        <v>gsii/532409-labs-imaging-2-0.pdf</v>
      </c>
      <c r="E803">
        <v>119960</v>
      </c>
      <c r="F803">
        <v>532409</v>
      </c>
      <c r="G803" t="s">
        <v>9</v>
      </c>
      <c r="H803" t="s">
        <v>147</v>
      </c>
    </row>
    <row r="804" spans="1:9" x14ac:dyDescent="0.2">
      <c r="A804" t="s">
        <v>643</v>
      </c>
      <c r="D804" t="str">
        <f>HYPERLINK("http://nlpdeep.cs.uic.edu:8080/proofing/t5/532409-labs-imaging-3-0.pdf","t5/532409-labs-imaging-3-0.pdf")</f>
        <v>t5/532409-labs-imaging-3-0.pdf</v>
      </c>
      <c r="E804">
        <v>119960</v>
      </c>
      <c r="F804">
        <v>532409</v>
      </c>
      <c r="G804" t="s">
        <v>9</v>
      </c>
      <c r="H804" t="s">
        <v>147</v>
      </c>
    </row>
    <row r="805" spans="1:9" x14ac:dyDescent="0.2">
      <c r="A805" t="s">
        <v>643</v>
      </c>
      <c r="D805" t="str">
        <f>HYPERLINK("http://nlpdeep.cs.uic.edu:8080/proofing/gsii/532409-labs-imaging-3-0.pdf","gsii/532409-labs-imaging-3-0.pdf")</f>
        <v>gsii/532409-labs-imaging-3-0.pdf</v>
      </c>
      <c r="E805">
        <v>119960</v>
      </c>
      <c r="F805">
        <v>532409</v>
      </c>
      <c r="G805" t="s">
        <v>9</v>
      </c>
      <c r="H805" t="s">
        <v>147</v>
      </c>
    </row>
    <row r="806" spans="1:9" x14ac:dyDescent="0.2">
      <c r="A806" t="s">
        <v>644</v>
      </c>
      <c r="D806" t="str">
        <f>HYPERLINK("http://nlpdeep.cs.uic.edu:8080/proofing/t5/532409-labs-imaging-4-0.pdf","t5/532409-labs-imaging-4-0.pdf")</f>
        <v>t5/532409-labs-imaging-4-0.pdf</v>
      </c>
      <c r="E806">
        <v>119960</v>
      </c>
      <c r="F806">
        <v>532409</v>
      </c>
      <c r="G806" t="s">
        <v>9</v>
      </c>
      <c r="H806" t="s">
        <v>147</v>
      </c>
      <c r="I806" t="s">
        <v>169</v>
      </c>
    </row>
    <row r="807" spans="1:9" x14ac:dyDescent="0.2">
      <c r="A807" t="s">
        <v>644</v>
      </c>
      <c r="D807" t="str">
        <f>HYPERLINK("http://nlpdeep.cs.uic.edu:8080/proofing/gsii/532409-labs-imaging-4-0.pdf","gsii/532409-labs-imaging-4-0.pdf")</f>
        <v>gsii/532409-labs-imaging-4-0.pdf</v>
      </c>
      <c r="E807">
        <v>119960</v>
      </c>
      <c r="F807">
        <v>532409</v>
      </c>
      <c r="G807" t="s">
        <v>9</v>
      </c>
      <c r="H807" t="s">
        <v>147</v>
      </c>
      <c r="I807" t="s">
        <v>169</v>
      </c>
    </row>
    <row r="808" spans="1:9" x14ac:dyDescent="0.2">
      <c r="A808" t="s">
        <v>645</v>
      </c>
      <c r="D808" t="str">
        <f>HYPERLINK("http://nlpdeep.cs.uic.edu:8080/proofing/t5/532409-labs-imaging-4-1.pdf","t5/532409-labs-imaging-4-1.pdf")</f>
        <v>t5/532409-labs-imaging-4-1.pdf</v>
      </c>
      <c r="E808">
        <v>119960</v>
      </c>
      <c r="F808">
        <v>532409</v>
      </c>
      <c r="G808" t="s">
        <v>9</v>
      </c>
      <c r="H808" t="s">
        <v>147</v>
      </c>
      <c r="I808" t="s">
        <v>171</v>
      </c>
    </row>
    <row r="809" spans="1:9" x14ac:dyDescent="0.2">
      <c r="A809" t="s">
        <v>645</v>
      </c>
      <c r="D809" t="str">
        <f>HYPERLINK("http://nlpdeep.cs.uic.edu:8080/proofing/gsii/532409-labs-imaging-4-1.pdf","gsii/532409-labs-imaging-4-1.pdf")</f>
        <v>gsii/532409-labs-imaging-4-1.pdf</v>
      </c>
      <c r="E809">
        <v>119960</v>
      </c>
      <c r="F809">
        <v>532409</v>
      </c>
      <c r="G809" t="s">
        <v>9</v>
      </c>
      <c r="H809" t="s">
        <v>147</v>
      </c>
      <c r="I809" t="s">
        <v>171</v>
      </c>
    </row>
    <row r="810" spans="1:9" x14ac:dyDescent="0.2">
      <c r="A810" t="s">
        <v>646</v>
      </c>
      <c r="D810" t="str">
        <f>HYPERLINK("http://nlpdeep.cs.uic.edu:8080/proofing/t5/532409-labs-imaging-4-2.pdf","t5/532409-labs-imaging-4-2.pdf")</f>
        <v>t5/532409-labs-imaging-4-2.pdf</v>
      </c>
      <c r="E810">
        <v>119960</v>
      </c>
      <c r="F810">
        <v>532409</v>
      </c>
      <c r="G810" t="s">
        <v>9</v>
      </c>
      <c r="H810" t="s">
        <v>147</v>
      </c>
      <c r="I810" t="s">
        <v>173</v>
      </c>
    </row>
    <row r="811" spans="1:9" x14ac:dyDescent="0.2">
      <c r="A811" t="s">
        <v>646</v>
      </c>
      <c r="D811" t="str">
        <f>HYPERLINK("http://nlpdeep.cs.uic.edu:8080/proofing/gsii/532409-labs-imaging-4-2.pdf","gsii/532409-labs-imaging-4-2.pdf")</f>
        <v>gsii/532409-labs-imaging-4-2.pdf</v>
      </c>
      <c r="E811">
        <v>119960</v>
      </c>
      <c r="F811">
        <v>532409</v>
      </c>
      <c r="G811" t="s">
        <v>9</v>
      </c>
      <c r="H811" t="s">
        <v>147</v>
      </c>
      <c r="I811" t="s">
        <v>173</v>
      </c>
    </row>
    <row r="812" spans="1:9" x14ac:dyDescent="0.2">
      <c r="A812" t="s">
        <v>647</v>
      </c>
      <c r="D812" t="str">
        <f>HYPERLINK("http://nlpdeep.cs.uic.edu:8080/proofing/t5/532409-labs-imaging-4-3.pdf","t5/532409-labs-imaging-4-3.pdf")</f>
        <v>t5/532409-labs-imaging-4-3.pdf</v>
      </c>
      <c r="E812">
        <v>119960</v>
      </c>
      <c r="F812">
        <v>532409</v>
      </c>
      <c r="G812" t="s">
        <v>9</v>
      </c>
      <c r="H812" t="s">
        <v>147</v>
      </c>
      <c r="I812" t="s">
        <v>175</v>
      </c>
    </row>
    <row r="813" spans="1:9" x14ac:dyDescent="0.2">
      <c r="A813" t="s">
        <v>647</v>
      </c>
      <c r="D813" t="str">
        <f>HYPERLINK("http://nlpdeep.cs.uic.edu:8080/proofing/gsii/532409-labs-imaging-4-3.pdf","gsii/532409-labs-imaging-4-3.pdf")</f>
        <v>gsii/532409-labs-imaging-4-3.pdf</v>
      </c>
      <c r="E813">
        <v>119960</v>
      </c>
      <c r="F813">
        <v>532409</v>
      </c>
      <c r="G813" t="s">
        <v>9</v>
      </c>
      <c r="H813" t="s">
        <v>147</v>
      </c>
      <c r="I813" t="s">
        <v>175</v>
      </c>
    </row>
    <row r="814" spans="1:9" x14ac:dyDescent="0.2">
      <c r="A814" t="s">
        <v>648</v>
      </c>
      <c r="D814" t="str">
        <f>HYPERLINK("http://nlpdeep.cs.uic.edu:8080/proofing/t5/532409-labs-imaging-5-0.pdf","t5/532409-labs-imaging-5-0.pdf")</f>
        <v>t5/532409-labs-imaging-5-0.pdf</v>
      </c>
      <c r="E814">
        <v>119960</v>
      </c>
      <c r="F814">
        <v>532409</v>
      </c>
      <c r="G814" t="s">
        <v>9</v>
      </c>
      <c r="H814" t="s">
        <v>147</v>
      </c>
      <c r="I814" t="s">
        <v>177</v>
      </c>
    </row>
    <row r="815" spans="1:9" x14ac:dyDescent="0.2">
      <c r="A815" t="s">
        <v>648</v>
      </c>
      <c r="D815" t="str">
        <f>HYPERLINK("http://nlpdeep.cs.uic.edu:8080/proofing/gsii/532409-labs-imaging-5-0.pdf","gsii/532409-labs-imaging-5-0.pdf")</f>
        <v>gsii/532409-labs-imaging-5-0.pdf</v>
      </c>
      <c r="E815">
        <v>119960</v>
      </c>
      <c r="F815">
        <v>532409</v>
      </c>
      <c r="G815" t="s">
        <v>9</v>
      </c>
      <c r="H815" t="s">
        <v>147</v>
      </c>
      <c r="I815" t="s">
        <v>177</v>
      </c>
    </row>
    <row r="816" spans="1:9" x14ac:dyDescent="0.2">
      <c r="A816" t="s">
        <v>649</v>
      </c>
      <c r="D816" t="str">
        <f>HYPERLINK("http://nlpdeep.cs.uic.edu:8080/proofing/t5/532409-labs-imaging-5-1.pdf","t5/532409-labs-imaging-5-1.pdf")</f>
        <v>t5/532409-labs-imaging-5-1.pdf</v>
      </c>
      <c r="E816">
        <v>119960</v>
      </c>
      <c r="F816">
        <v>532409</v>
      </c>
      <c r="G816" t="s">
        <v>9</v>
      </c>
      <c r="H816" t="s">
        <v>147</v>
      </c>
      <c r="I816" t="s">
        <v>179</v>
      </c>
    </row>
    <row r="817" spans="1:9" x14ac:dyDescent="0.2">
      <c r="A817" t="s">
        <v>649</v>
      </c>
      <c r="D817" t="str">
        <f>HYPERLINK("http://nlpdeep.cs.uic.edu:8080/proofing/gsii/532409-labs-imaging-5-1.pdf","gsii/532409-labs-imaging-5-1.pdf")</f>
        <v>gsii/532409-labs-imaging-5-1.pdf</v>
      </c>
      <c r="E817">
        <v>119960</v>
      </c>
      <c r="F817">
        <v>532409</v>
      </c>
      <c r="G817" t="s">
        <v>9</v>
      </c>
      <c r="H817" t="s">
        <v>147</v>
      </c>
      <c r="I817" t="s">
        <v>179</v>
      </c>
    </row>
    <row r="818" spans="1:9" x14ac:dyDescent="0.2">
      <c r="A818" t="s">
        <v>650</v>
      </c>
      <c r="D818" t="str">
        <f>HYPERLINK("http://nlpdeep.cs.uic.edu:8080/proofing/t5/532409-labs-imaging-5-2.pdf","t5/532409-labs-imaging-5-2.pdf")</f>
        <v>t5/532409-labs-imaging-5-2.pdf</v>
      </c>
      <c r="E818">
        <v>119960</v>
      </c>
      <c r="F818">
        <v>532409</v>
      </c>
      <c r="G818" t="s">
        <v>9</v>
      </c>
      <c r="H818" t="s">
        <v>147</v>
      </c>
      <c r="I818" t="s">
        <v>181</v>
      </c>
    </row>
    <row r="819" spans="1:9" x14ac:dyDescent="0.2">
      <c r="A819" t="s">
        <v>650</v>
      </c>
      <c r="D819" t="str">
        <f>HYPERLINK("http://nlpdeep.cs.uic.edu:8080/proofing/gsii/532409-labs-imaging-5-2.pdf","gsii/532409-labs-imaging-5-2.pdf")</f>
        <v>gsii/532409-labs-imaging-5-2.pdf</v>
      </c>
      <c r="E819">
        <v>119960</v>
      </c>
      <c r="F819">
        <v>532409</v>
      </c>
      <c r="G819" t="s">
        <v>9</v>
      </c>
      <c r="H819" t="s">
        <v>147</v>
      </c>
      <c r="I819" t="s">
        <v>181</v>
      </c>
    </row>
    <row r="820" spans="1:9" x14ac:dyDescent="0.2">
      <c r="A820" t="s">
        <v>651</v>
      </c>
      <c r="D820" t="str">
        <f>HYPERLINK("http://nlpdeep.cs.uic.edu:8080/proofing/t5/532409-labs-imaging-5-3.pdf","t5/532409-labs-imaging-5-3.pdf")</f>
        <v>t5/532409-labs-imaging-5-3.pdf</v>
      </c>
      <c r="E820">
        <v>119960</v>
      </c>
      <c r="F820">
        <v>532409</v>
      </c>
      <c r="G820" t="s">
        <v>9</v>
      </c>
      <c r="H820" t="s">
        <v>147</v>
      </c>
      <c r="I820" t="s">
        <v>183</v>
      </c>
    </row>
    <row r="821" spans="1:9" x14ac:dyDescent="0.2">
      <c r="A821" t="s">
        <v>651</v>
      </c>
      <c r="D821" t="str">
        <f>HYPERLINK("http://nlpdeep.cs.uic.edu:8080/proofing/gsii/532409-labs-imaging-5-3.pdf","gsii/532409-labs-imaging-5-3.pdf")</f>
        <v>gsii/532409-labs-imaging-5-3.pdf</v>
      </c>
      <c r="E821">
        <v>119960</v>
      </c>
      <c r="F821">
        <v>532409</v>
      </c>
      <c r="G821" t="s">
        <v>9</v>
      </c>
      <c r="H821" t="s">
        <v>147</v>
      </c>
      <c r="I821" t="s">
        <v>183</v>
      </c>
    </row>
    <row r="822" spans="1:9" x14ac:dyDescent="0.2">
      <c r="A822" t="s">
        <v>652</v>
      </c>
      <c r="D822" t="str">
        <f>HYPERLINK("http://nlpdeep.cs.uic.edu:8080/proofing/t5/532409-labs-imaging-5-4.pdf","t5/532409-labs-imaging-5-4.pdf")</f>
        <v>t5/532409-labs-imaging-5-4.pdf</v>
      </c>
      <c r="E822">
        <v>119960</v>
      </c>
      <c r="F822">
        <v>532409</v>
      </c>
      <c r="G822" t="s">
        <v>9</v>
      </c>
      <c r="H822" t="s">
        <v>147</v>
      </c>
      <c r="I822" t="s">
        <v>185</v>
      </c>
    </row>
    <row r="823" spans="1:9" x14ac:dyDescent="0.2">
      <c r="A823" t="s">
        <v>652</v>
      </c>
      <c r="D823" t="str">
        <f>HYPERLINK("http://nlpdeep.cs.uic.edu:8080/proofing/gsii/532409-labs-imaging-5-4.pdf","gsii/532409-labs-imaging-5-4.pdf")</f>
        <v>gsii/532409-labs-imaging-5-4.pdf</v>
      </c>
      <c r="E823">
        <v>119960</v>
      </c>
      <c r="F823">
        <v>532409</v>
      </c>
      <c r="G823" t="s">
        <v>9</v>
      </c>
      <c r="H823" t="s">
        <v>147</v>
      </c>
      <c r="I823" t="s">
        <v>185</v>
      </c>
    </row>
    <row r="824" spans="1:9" x14ac:dyDescent="0.2">
      <c r="A824" t="s">
        <v>653</v>
      </c>
      <c r="D824" t="str">
        <f>HYPERLINK("http://nlpdeep.cs.uic.edu:8080/proofing/t5/532409-labs-imaging-6-0.pdf","t5/532409-labs-imaging-6-0.pdf")</f>
        <v>t5/532409-labs-imaging-6-0.pdf</v>
      </c>
      <c r="E824">
        <v>119960</v>
      </c>
      <c r="F824">
        <v>532409</v>
      </c>
      <c r="G824" t="s">
        <v>9</v>
      </c>
      <c r="H824" t="s">
        <v>147</v>
      </c>
      <c r="I824" t="s">
        <v>187</v>
      </c>
    </row>
    <row r="825" spans="1:9" x14ac:dyDescent="0.2">
      <c r="A825" t="s">
        <v>653</v>
      </c>
      <c r="D825" t="str">
        <f>HYPERLINK("http://nlpdeep.cs.uic.edu:8080/proofing/gsii/532409-labs-imaging-6-0.pdf","gsii/532409-labs-imaging-6-0.pdf")</f>
        <v>gsii/532409-labs-imaging-6-0.pdf</v>
      </c>
      <c r="E825">
        <v>119960</v>
      </c>
      <c r="F825">
        <v>532409</v>
      </c>
      <c r="G825" t="s">
        <v>9</v>
      </c>
      <c r="H825" t="s">
        <v>147</v>
      </c>
      <c r="I825" t="s">
        <v>187</v>
      </c>
    </row>
    <row r="826" spans="1:9" x14ac:dyDescent="0.2">
      <c r="A826" t="s">
        <v>654</v>
      </c>
      <c r="D826" t="str">
        <f>HYPERLINK("http://nlpdeep.cs.uic.edu:8080/proofing/t5/532409-labs-imaging-6-1.pdf","t5/532409-labs-imaging-6-1.pdf")</f>
        <v>t5/532409-labs-imaging-6-1.pdf</v>
      </c>
      <c r="E826">
        <v>119960</v>
      </c>
      <c r="F826">
        <v>532409</v>
      </c>
      <c r="G826" t="s">
        <v>9</v>
      </c>
      <c r="H826" t="s">
        <v>147</v>
      </c>
      <c r="I826" t="s">
        <v>189</v>
      </c>
    </row>
    <row r="827" spans="1:9" x14ac:dyDescent="0.2">
      <c r="A827" t="s">
        <v>654</v>
      </c>
      <c r="D827" t="str">
        <f>HYPERLINK("http://nlpdeep.cs.uic.edu:8080/proofing/gsii/532409-labs-imaging-6-1.pdf","gsii/532409-labs-imaging-6-1.pdf")</f>
        <v>gsii/532409-labs-imaging-6-1.pdf</v>
      </c>
      <c r="E827">
        <v>119960</v>
      </c>
      <c r="F827">
        <v>532409</v>
      </c>
      <c r="G827" t="s">
        <v>9</v>
      </c>
      <c r="H827" t="s">
        <v>147</v>
      </c>
      <c r="I827" t="s">
        <v>189</v>
      </c>
    </row>
    <row r="828" spans="1:9" x14ac:dyDescent="0.2">
      <c r="A828" t="s">
        <v>655</v>
      </c>
      <c r="D828" t="str">
        <f>HYPERLINK("http://nlpdeep.cs.uic.edu:8080/proofing/t5/532409-labs-imaging-6-2.pdf","t5/532409-labs-imaging-6-2.pdf")</f>
        <v>t5/532409-labs-imaging-6-2.pdf</v>
      </c>
      <c r="E828">
        <v>119960</v>
      </c>
      <c r="F828">
        <v>532409</v>
      </c>
      <c r="G828" t="s">
        <v>9</v>
      </c>
      <c r="H828" t="s">
        <v>147</v>
      </c>
      <c r="I828" t="s">
        <v>191</v>
      </c>
    </row>
    <row r="829" spans="1:9" x14ac:dyDescent="0.2">
      <c r="A829" t="s">
        <v>655</v>
      </c>
      <c r="D829" t="str">
        <f>HYPERLINK("http://nlpdeep.cs.uic.edu:8080/proofing/gsii/532409-labs-imaging-6-2.pdf","gsii/532409-labs-imaging-6-2.pdf")</f>
        <v>gsii/532409-labs-imaging-6-2.pdf</v>
      </c>
      <c r="E829">
        <v>119960</v>
      </c>
      <c r="F829">
        <v>532409</v>
      </c>
      <c r="G829" t="s">
        <v>9</v>
      </c>
      <c r="H829" t="s">
        <v>147</v>
      </c>
      <c r="I829" t="s">
        <v>191</v>
      </c>
    </row>
    <row r="830" spans="1:9" x14ac:dyDescent="0.2">
      <c r="A830" t="s">
        <v>656</v>
      </c>
      <c r="D830" t="str">
        <f>HYPERLINK("http://nlpdeep.cs.uic.edu:8080/proofing/t5/532409-labs-imaging-6-3.pdf","t5/532409-labs-imaging-6-3.pdf")</f>
        <v>t5/532409-labs-imaging-6-3.pdf</v>
      </c>
      <c r="E830">
        <v>119960</v>
      </c>
      <c r="F830">
        <v>532409</v>
      </c>
      <c r="G830" t="s">
        <v>9</v>
      </c>
      <c r="H830" t="s">
        <v>147</v>
      </c>
      <c r="I830" t="s">
        <v>193</v>
      </c>
    </row>
    <row r="831" spans="1:9" x14ac:dyDescent="0.2">
      <c r="A831" t="s">
        <v>656</v>
      </c>
      <c r="D831" t="str">
        <f>HYPERLINK("http://nlpdeep.cs.uic.edu:8080/proofing/gsii/532409-labs-imaging-6-3.pdf","gsii/532409-labs-imaging-6-3.pdf")</f>
        <v>gsii/532409-labs-imaging-6-3.pdf</v>
      </c>
      <c r="E831">
        <v>119960</v>
      </c>
      <c r="F831">
        <v>532409</v>
      </c>
      <c r="G831" t="s">
        <v>9</v>
      </c>
      <c r="H831" t="s">
        <v>147</v>
      </c>
      <c r="I831" t="s">
        <v>193</v>
      </c>
    </row>
    <row r="832" spans="1:9" x14ac:dyDescent="0.2">
      <c r="A832" t="s">
        <v>657</v>
      </c>
      <c r="D832" t="str">
        <f>HYPERLINK("http://nlpdeep.cs.uic.edu:8080/proofing/t5/532409-assessment-and-plan-0-0.pdf","t5/532409-assessment-and-plan-0-0.pdf")</f>
        <v>t5/532409-assessment-and-plan-0-0.pdf</v>
      </c>
      <c r="E832">
        <v>119960</v>
      </c>
      <c r="F832">
        <v>532409</v>
      </c>
      <c r="G832" t="s">
        <v>9</v>
      </c>
      <c r="H832" t="s">
        <v>195</v>
      </c>
      <c r="I832" t="s">
        <v>196</v>
      </c>
    </row>
    <row r="833" spans="1:9" x14ac:dyDescent="0.2">
      <c r="A833" t="s">
        <v>657</v>
      </c>
      <c r="D833" t="str">
        <f>HYPERLINK("http://nlpdeep.cs.uic.edu:8080/proofing/gsii/532409-assessment-and-plan-0-0.pdf","gsii/532409-assessment-and-plan-0-0.pdf")</f>
        <v>gsii/532409-assessment-and-plan-0-0.pdf</v>
      </c>
      <c r="E833">
        <v>119960</v>
      </c>
      <c r="F833">
        <v>532409</v>
      </c>
      <c r="G833" t="s">
        <v>9</v>
      </c>
      <c r="H833" t="s">
        <v>195</v>
      </c>
      <c r="I833" t="s">
        <v>196</v>
      </c>
    </row>
    <row r="834" spans="1:9" x14ac:dyDescent="0.2">
      <c r="A834" t="s">
        <v>658</v>
      </c>
      <c r="D834" t="str">
        <f>HYPERLINK("http://nlpdeep.cs.uic.edu:8080/proofing/t5/532409-communication-0-0.pdf","t5/532409-communication-0-0.pdf")</f>
        <v>t5/532409-communication-0-0.pdf</v>
      </c>
      <c r="E834">
        <v>119960</v>
      </c>
      <c r="F834">
        <v>532409</v>
      </c>
      <c r="G834" t="s">
        <v>9</v>
      </c>
      <c r="H834" t="s">
        <v>198</v>
      </c>
      <c r="I834" t="s">
        <v>199</v>
      </c>
    </row>
    <row r="835" spans="1:9" x14ac:dyDescent="0.2">
      <c r="A835" t="s">
        <v>658</v>
      </c>
      <c r="D835" t="str">
        <f>HYPERLINK("http://nlpdeep.cs.uic.edu:8080/proofing/gsii/532409-communication-0-0.pdf","gsii/532409-communication-0-0.pdf")</f>
        <v>gsii/532409-communication-0-0.pdf</v>
      </c>
      <c r="E835">
        <v>119960</v>
      </c>
      <c r="F835">
        <v>532409</v>
      </c>
      <c r="G835" t="s">
        <v>9</v>
      </c>
      <c r="H835" t="s">
        <v>198</v>
      </c>
      <c r="I835" t="s">
        <v>199</v>
      </c>
    </row>
    <row r="836" spans="1:9" x14ac:dyDescent="0.2">
      <c r="A836" t="s">
        <v>659</v>
      </c>
      <c r="D836" t="str">
        <f>HYPERLINK("http://nlpdeep.cs.uic.edu:8080/proofing/t5/532409-code-status-0-0.pdf","t5/532409-code-status-0-0.pdf")</f>
        <v>t5/532409-code-status-0-0.pdf</v>
      </c>
      <c r="E836">
        <v>119960</v>
      </c>
      <c r="F836">
        <v>532409</v>
      </c>
      <c r="G836" t="s">
        <v>9</v>
      </c>
      <c r="H836" t="s">
        <v>201</v>
      </c>
      <c r="I836" t="s">
        <v>202</v>
      </c>
    </row>
    <row r="837" spans="1:9" x14ac:dyDescent="0.2">
      <c r="A837" t="s">
        <v>659</v>
      </c>
      <c r="D837" t="str">
        <f>HYPERLINK("http://nlpdeep.cs.uic.edu:8080/proofing/gsii/532409-code-status-0-0.pdf","gsii/532409-code-status-0-0.pdf")</f>
        <v>gsii/532409-code-status-0-0.pdf</v>
      </c>
      <c r="E837">
        <v>119960</v>
      </c>
      <c r="F837">
        <v>532409</v>
      </c>
      <c r="G837" t="s">
        <v>9</v>
      </c>
      <c r="H837" t="s">
        <v>201</v>
      </c>
      <c r="I837" t="s">
        <v>202</v>
      </c>
    </row>
    <row r="838" spans="1:9" x14ac:dyDescent="0.2">
      <c r="A838" t="s">
        <v>660</v>
      </c>
      <c r="D838" t="str">
        <f>HYPERLINK("http://nlpdeep.cs.uic.edu:8080/proofing/t5/532409-disposition-0-0.pdf","t5/532409-disposition-0-0.pdf")</f>
        <v>t5/532409-disposition-0-0.pdf</v>
      </c>
      <c r="E838">
        <v>119960</v>
      </c>
      <c r="F838">
        <v>532409</v>
      </c>
      <c r="G838" t="s">
        <v>9</v>
      </c>
      <c r="H838" t="s">
        <v>204</v>
      </c>
      <c r="I838" t="s">
        <v>205</v>
      </c>
    </row>
    <row r="839" spans="1:9" x14ac:dyDescent="0.2">
      <c r="A839" t="s">
        <v>660</v>
      </c>
      <c r="D839" t="str">
        <f>HYPERLINK("http://nlpdeep.cs.uic.edu:8080/proofing/gsii/532409-disposition-0-0.pdf","gsii/532409-disposition-0-0.pdf")</f>
        <v>gsii/532409-disposition-0-0.pdf</v>
      </c>
      <c r="E839">
        <v>119960</v>
      </c>
      <c r="F839">
        <v>532409</v>
      </c>
      <c r="G839" t="s">
        <v>9</v>
      </c>
      <c r="H839" t="s">
        <v>204</v>
      </c>
      <c r="I839" t="s">
        <v>205</v>
      </c>
    </row>
    <row r="840" spans="1:9" x14ac:dyDescent="0.2">
      <c r="A840" t="s">
        <v>661</v>
      </c>
      <c r="D840" t="str">
        <f>HYPERLINK("http://nlpdeep.cs.uic.edu:8080/proofing/t5/532473-24-hour-events-0-0.pdf","t5/532473-24-hour-events-0-0.pdf")</f>
        <v>t5/532473-24-hour-events-0-0.pdf</v>
      </c>
      <c r="E840">
        <v>119960</v>
      </c>
      <c r="F840">
        <v>532473</v>
      </c>
      <c r="G840" t="s">
        <v>9</v>
      </c>
      <c r="H840" t="s">
        <v>538</v>
      </c>
      <c r="I840" t="s">
        <v>539</v>
      </c>
    </row>
    <row r="841" spans="1:9" x14ac:dyDescent="0.2">
      <c r="A841" t="s">
        <v>661</v>
      </c>
      <c r="D841" t="str">
        <f>HYPERLINK("http://nlpdeep.cs.uic.edu:8080/proofing/gsii/532473-24-hour-events-0-0.pdf","gsii/532473-24-hour-events-0-0.pdf")</f>
        <v>gsii/532473-24-hour-events-0-0.pdf</v>
      </c>
      <c r="E841">
        <v>119960</v>
      </c>
      <c r="F841">
        <v>532473</v>
      </c>
      <c r="G841" t="s">
        <v>9</v>
      </c>
      <c r="H841" t="s">
        <v>538</v>
      </c>
      <c r="I841" t="s">
        <v>539</v>
      </c>
    </row>
    <row r="842" spans="1:9" x14ac:dyDescent="0.2">
      <c r="A842" t="s">
        <v>662</v>
      </c>
      <c r="D842" t="str">
        <f>HYPERLINK("http://nlpdeep.cs.uic.edu:8080/proofing/t5/532473-24-hour-events-0-1.pdf","t5/532473-24-hour-events-0-1.pdf")</f>
        <v>t5/532473-24-hour-events-0-1.pdf</v>
      </c>
      <c r="E842">
        <v>119960</v>
      </c>
      <c r="F842">
        <v>532473</v>
      </c>
      <c r="G842" t="s">
        <v>9</v>
      </c>
      <c r="H842" t="s">
        <v>538</v>
      </c>
      <c r="I842" t="s">
        <v>541</v>
      </c>
    </row>
    <row r="843" spans="1:9" x14ac:dyDescent="0.2">
      <c r="A843" t="s">
        <v>662</v>
      </c>
      <c r="D843" t="str">
        <f>HYPERLINK("http://nlpdeep.cs.uic.edu:8080/proofing/gsii/532473-24-hour-events-0-1.pdf","gsii/532473-24-hour-events-0-1.pdf")</f>
        <v>gsii/532473-24-hour-events-0-1.pdf</v>
      </c>
      <c r="E843">
        <v>119960</v>
      </c>
      <c r="F843">
        <v>532473</v>
      </c>
      <c r="G843" t="s">
        <v>9</v>
      </c>
      <c r="H843" t="s">
        <v>538</v>
      </c>
      <c r="I843" t="s">
        <v>541</v>
      </c>
    </row>
    <row r="844" spans="1:9" x14ac:dyDescent="0.2">
      <c r="A844" t="s">
        <v>663</v>
      </c>
      <c r="D844" t="str">
        <f>HYPERLINK("http://nlpdeep.cs.uic.edu:8080/proofing/t5/532473-allergies-0-0.pdf","t5/532473-allergies-0-0.pdf")</f>
        <v>t5/532473-allergies-0-0.pdf</v>
      </c>
      <c r="E844">
        <v>119960</v>
      </c>
      <c r="F844">
        <v>532473</v>
      </c>
      <c r="G844" t="s">
        <v>9</v>
      </c>
      <c r="H844" t="s">
        <v>64</v>
      </c>
      <c r="I844" t="s">
        <v>517</v>
      </c>
    </row>
    <row r="845" spans="1:9" x14ac:dyDescent="0.2">
      <c r="A845" t="s">
        <v>663</v>
      </c>
      <c r="D845" t="str">
        <f>HYPERLINK("http://nlpdeep.cs.uic.edu:8080/proofing/gsii/532473-allergies-0-0.pdf","gsii/532473-allergies-0-0.pdf")</f>
        <v>gsii/532473-allergies-0-0.pdf</v>
      </c>
      <c r="E845">
        <v>119960</v>
      </c>
      <c r="F845">
        <v>532473</v>
      </c>
      <c r="G845" t="s">
        <v>9</v>
      </c>
      <c r="H845" t="s">
        <v>64</v>
      </c>
      <c r="I845" t="s">
        <v>517</v>
      </c>
    </row>
    <row r="846" spans="1:9" x14ac:dyDescent="0.2">
      <c r="A846" t="s">
        <v>664</v>
      </c>
      <c r="D846" t="str">
        <f>HYPERLINK("http://nlpdeep.cs.uic.edu:8080/proofing/t5/532473-other-medications-0-0.pdf","t5/532473-other-medications-0-0.pdf")</f>
        <v>t5/532473-other-medications-0-0.pdf</v>
      </c>
      <c r="E846">
        <v>119960</v>
      </c>
      <c r="F846">
        <v>532473</v>
      </c>
      <c r="G846" t="s">
        <v>9</v>
      </c>
      <c r="H846" t="s">
        <v>67</v>
      </c>
      <c r="I846" t="s">
        <v>544</v>
      </c>
    </row>
    <row r="847" spans="1:9" x14ac:dyDescent="0.2">
      <c r="A847" t="s">
        <v>664</v>
      </c>
      <c r="D847" t="str">
        <f>HYPERLINK("http://nlpdeep.cs.uic.edu:8080/proofing/gsii/532473-other-medications-0-0.pdf","gsii/532473-other-medications-0-0.pdf")</f>
        <v>gsii/532473-other-medications-0-0.pdf</v>
      </c>
      <c r="E847">
        <v>119960</v>
      </c>
      <c r="F847">
        <v>532473</v>
      </c>
      <c r="G847" t="s">
        <v>9</v>
      </c>
      <c r="H847" t="s">
        <v>67</v>
      </c>
      <c r="I847" t="s">
        <v>544</v>
      </c>
    </row>
    <row r="848" spans="1:9" x14ac:dyDescent="0.2">
      <c r="A848" t="s">
        <v>665</v>
      </c>
      <c r="D848" t="str">
        <f>HYPERLINK("http://nlpdeep.cs.uic.edu:8080/proofing/t5/532473-past-medical-history-0-0.pdf","t5/532473-past-medical-history-0-0.pdf")</f>
        <v>t5/532473-past-medical-history-0-0.pdf</v>
      </c>
      <c r="E848">
        <v>119960</v>
      </c>
      <c r="F848">
        <v>532473</v>
      </c>
      <c r="G848" t="s">
        <v>9</v>
      </c>
      <c r="H848" t="s">
        <v>76</v>
      </c>
      <c r="I848" t="s">
        <v>546</v>
      </c>
    </row>
    <row r="849" spans="1:9" x14ac:dyDescent="0.2">
      <c r="A849" t="s">
        <v>665</v>
      </c>
      <c r="D849" t="str">
        <f>HYPERLINK("http://nlpdeep.cs.uic.edu:8080/proofing/gsii/532473-past-medical-history-0-0.pdf","gsii/532473-past-medical-history-0-0.pdf")</f>
        <v>gsii/532473-past-medical-history-0-0.pdf</v>
      </c>
      <c r="E849">
        <v>119960</v>
      </c>
      <c r="F849">
        <v>532473</v>
      </c>
      <c r="G849" t="s">
        <v>9</v>
      </c>
      <c r="H849" t="s">
        <v>76</v>
      </c>
      <c r="I849" t="s">
        <v>546</v>
      </c>
    </row>
    <row r="850" spans="1:9" x14ac:dyDescent="0.2">
      <c r="A850" t="s">
        <v>666</v>
      </c>
      <c r="D850" t="str">
        <f>HYPERLINK("http://nlpdeep.cs.uic.edu:8080/proofing/t5/532473-review-of-systems-0-0.pdf","t5/532473-review-of-systems-0-0.pdf")</f>
        <v>t5/532473-review-of-systems-0-0.pdf</v>
      </c>
      <c r="E850">
        <v>119960</v>
      </c>
      <c r="F850">
        <v>532473</v>
      </c>
      <c r="G850" t="s">
        <v>9</v>
      </c>
      <c r="H850" t="s">
        <v>393</v>
      </c>
      <c r="I850" t="s">
        <v>546</v>
      </c>
    </row>
    <row r="851" spans="1:9" x14ac:dyDescent="0.2">
      <c r="A851" t="s">
        <v>666</v>
      </c>
      <c r="D851" t="str">
        <f>HYPERLINK("http://nlpdeep.cs.uic.edu:8080/proofing/gsii/532473-review-of-systems-0-0.pdf","gsii/532473-review-of-systems-0-0.pdf")</f>
        <v>gsii/532473-review-of-systems-0-0.pdf</v>
      </c>
      <c r="E851">
        <v>119960</v>
      </c>
      <c r="F851">
        <v>532473</v>
      </c>
      <c r="G851" t="s">
        <v>9</v>
      </c>
      <c r="H851" t="s">
        <v>393</v>
      </c>
      <c r="I851" t="s">
        <v>546</v>
      </c>
    </row>
    <row r="852" spans="1:9" x14ac:dyDescent="0.2">
      <c r="A852" t="s">
        <v>667</v>
      </c>
      <c r="D852" t="str">
        <f>HYPERLINK("http://nlpdeep.cs.uic.edu:8080/proofing/t5/532473-flowsheet-data-vitals-0-0.pdf","t5/532473-flowsheet-data-vitals-0-0.pdf")</f>
        <v>t5/532473-flowsheet-data-vitals-0-0.pdf</v>
      </c>
      <c r="E852">
        <v>119960</v>
      </c>
      <c r="F852">
        <v>532473</v>
      </c>
      <c r="G852" t="s">
        <v>9</v>
      </c>
      <c r="H852" t="s">
        <v>135</v>
      </c>
      <c r="I852" t="s">
        <v>668</v>
      </c>
    </row>
    <row r="853" spans="1:9" x14ac:dyDescent="0.2">
      <c r="A853" t="s">
        <v>667</v>
      </c>
      <c r="D853" t="str">
        <f>HYPERLINK("http://nlpdeep.cs.uic.edu:8080/proofing/gsii/532473-flowsheet-data-vitals-0-0.pdf","gsii/532473-flowsheet-data-vitals-0-0.pdf")</f>
        <v>gsii/532473-flowsheet-data-vitals-0-0.pdf</v>
      </c>
      <c r="E853">
        <v>119960</v>
      </c>
      <c r="F853">
        <v>532473</v>
      </c>
      <c r="G853" t="s">
        <v>9</v>
      </c>
      <c r="H853" t="s">
        <v>135</v>
      </c>
      <c r="I853" t="s">
        <v>668</v>
      </c>
    </row>
    <row r="854" spans="1:9" x14ac:dyDescent="0.2">
      <c r="A854" t="s">
        <v>669</v>
      </c>
      <c r="D854" t="str">
        <f>HYPERLINK("http://nlpdeep.cs.uic.edu:8080/proofing/t5/532473-physical-examination-0-0.pdf","t5/532473-physical-examination-0-0.pdf")</f>
        <v>t5/532473-physical-examination-0-0.pdf</v>
      </c>
      <c r="E854">
        <v>119960</v>
      </c>
      <c r="F854">
        <v>532473</v>
      </c>
      <c r="G854" t="s">
        <v>9</v>
      </c>
      <c r="H854" t="s">
        <v>138</v>
      </c>
      <c r="I854" t="s">
        <v>551</v>
      </c>
    </row>
    <row r="855" spans="1:9" x14ac:dyDescent="0.2">
      <c r="A855" t="s">
        <v>669</v>
      </c>
      <c r="D855" t="str">
        <f>HYPERLINK("http://nlpdeep.cs.uic.edu:8080/proofing/gsii/532473-physical-examination-0-0.pdf","gsii/532473-physical-examination-0-0.pdf")</f>
        <v>gsii/532473-physical-examination-0-0.pdf</v>
      </c>
      <c r="E855">
        <v>119960</v>
      </c>
      <c r="F855">
        <v>532473</v>
      </c>
      <c r="G855" t="s">
        <v>9</v>
      </c>
      <c r="H855" t="s">
        <v>138</v>
      </c>
      <c r="I855" t="s">
        <v>551</v>
      </c>
    </row>
    <row r="856" spans="1:9" x14ac:dyDescent="0.2">
      <c r="A856" t="s">
        <v>670</v>
      </c>
      <c r="D856" t="str">
        <f>HYPERLINK("http://nlpdeep.cs.uic.edu:8080/proofing/t5/532473-physical-examination-0-1.pdf","t5/532473-physical-examination-0-1.pdf")</f>
        <v>t5/532473-physical-examination-0-1.pdf</v>
      </c>
      <c r="E856">
        <v>119960</v>
      </c>
      <c r="F856">
        <v>532473</v>
      </c>
      <c r="G856" t="s">
        <v>9</v>
      </c>
      <c r="H856" t="s">
        <v>138</v>
      </c>
      <c r="I856" t="s">
        <v>553</v>
      </c>
    </row>
    <row r="857" spans="1:9" x14ac:dyDescent="0.2">
      <c r="A857" t="s">
        <v>670</v>
      </c>
      <c r="D857" t="str">
        <f>HYPERLINK("http://nlpdeep.cs.uic.edu:8080/proofing/gsii/532473-physical-examination-0-1.pdf","gsii/532473-physical-examination-0-1.pdf")</f>
        <v>gsii/532473-physical-examination-0-1.pdf</v>
      </c>
      <c r="E857">
        <v>119960</v>
      </c>
      <c r="F857">
        <v>532473</v>
      </c>
      <c r="G857" t="s">
        <v>9</v>
      </c>
      <c r="H857" t="s">
        <v>138</v>
      </c>
      <c r="I857" t="s">
        <v>553</v>
      </c>
    </row>
    <row r="858" spans="1:9" x14ac:dyDescent="0.2">
      <c r="A858" t="s">
        <v>671</v>
      </c>
      <c r="D858" t="str">
        <f>HYPERLINK("http://nlpdeep.cs.uic.edu:8080/proofing/t5/532473-physical-examination-0-2.pdf","t5/532473-physical-examination-0-2.pdf")</f>
        <v>t5/532473-physical-examination-0-2.pdf</v>
      </c>
      <c r="E858">
        <v>119960</v>
      </c>
      <c r="F858">
        <v>532473</v>
      </c>
      <c r="G858" t="s">
        <v>9</v>
      </c>
      <c r="H858" t="s">
        <v>138</v>
      </c>
      <c r="I858" t="s">
        <v>555</v>
      </c>
    </row>
    <row r="859" spans="1:9" x14ac:dyDescent="0.2">
      <c r="A859" t="s">
        <v>671</v>
      </c>
      <c r="D859" t="str">
        <f>HYPERLINK("http://nlpdeep.cs.uic.edu:8080/proofing/gsii/532473-physical-examination-0-2.pdf","gsii/532473-physical-examination-0-2.pdf")</f>
        <v>gsii/532473-physical-examination-0-2.pdf</v>
      </c>
      <c r="E859">
        <v>119960</v>
      </c>
      <c r="F859">
        <v>532473</v>
      </c>
      <c r="G859" t="s">
        <v>9</v>
      </c>
      <c r="H859" t="s">
        <v>138</v>
      </c>
      <c r="I859" t="s">
        <v>555</v>
      </c>
    </row>
    <row r="860" spans="1:9" x14ac:dyDescent="0.2">
      <c r="A860" t="s">
        <v>672</v>
      </c>
      <c r="D860" t="str">
        <f>HYPERLINK("http://nlpdeep.cs.uic.edu:8080/proofing/t5/532473-physical-examination-0-3.pdf","t5/532473-physical-examination-0-3.pdf")</f>
        <v>t5/532473-physical-examination-0-3.pdf</v>
      </c>
      <c r="E860">
        <v>119960</v>
      </c>
      <c r="F860">
        <v>532473</v>
      </c>
      <c r="G860" t="s">
        <v>9</v>
      </c>
      <c r="H860" t="s">
        <v>138</v>
      </c>
      <c r="I860" t="s">
        <v>557</v>
      </c>
    </row>
    <row r="861" spans="1:9" x14ac:dyDescent="0.2">
      <c r="A861" t="s">
        <v>672</v>
      </c>
      <c r="D861" t="str">
        <f>HYPERLINK("http://nlpdeep.cs.uic.edu:8080/proofing/gsii/532473-physical-examination-0-3.pdf","gsii/532473-physical-examination-0-3.pdf")</f>
        <v>gsii/532473-physical-examination-0-3.pdf</v>
      </c>
      <c r="E861">
        <v>119960</v>
      </c>
      <c r="F861">
        <v>532473</v>
      </c>
      <c r="G861" t="s">
        <v>9</v>
      </c>
      <c r="H861" t="s">
        <v>138</v>
      </c>
      <c r="I861" t="s">
        <v>557</v>
      </c>
    </row>
    <row r="862" spans="1:9" x14ac:dyDescent="0.2">
      <c r="A862" t="s">
        <v>673</v>
      </c>
      <c r="D862" t="str">
        <f>HYPERLINK("http://nlpdeep.cs.uic.edu:8080/proofing/t5/532473-physical-examination-0-4.pdf","t5/532473-physical-examination-0-4.pdf")</f>
        <v>t5/532473-physical-examination-0-4.pdf</v>
      </c>
      <c r="E862">
        <v>119960</v>
      </c>
      <c r="F862">
        <v>532473</v>
      </c>
      <c r="G862" t="s">
        <v>9</v>
      </c>
      <c r="H862" t="s">
        <v>138</v>
      </c>
      <c r="I862" t="s">
        <v>559</v>
      </c>
    </row>
    <row r="863" spans="1:9" x14ac:dyDescent="0.2">
      <c r="A863" t="s">
        <v>673</v>
      </c>
      <c r="D863" t="str">
        <f>HYPERLINK("http://nlpdeep.cs.uic.edu:8080/proofing/gsii/532473-physical-examination-0-4.pdf","gsii/532473-physical-examination-0-4.pdf")</f>
        <v>gsii/532473-physical-examination-0-4.pdf</v>
      </c>
      <c r="E863">
        <v>119960</v>
      </c>
      <c r="F863">
        <v>532473</v>
      </c>
      <c r="G863" t="s">
        <v>9</v>
      </c>
      <c r="H863" t="s">
        <v>138</v>
      </c>
      <c r="I863" t="s">
        <v>559</v>
      </c>
    </row>
    <row r="864" spans="1:9" x14ac:dyDescent="0.2">
      <c r="A864" t="s">
        <v>674</v>
      </c>
      <c r="D864" t="str">
        <f>HYPERLINK("http://nlpdeep.cs.uic.edu:8080/proofing/t5/532473-labs-imaging-0-0.pdf","t5/532473-labs-imaging-0-0.pdf")</f>
        <v>t5/532473-labs-imaging-0-0.pdf</v>
      </c>
      <c r="E864">
        <v>119960</v>
      </c>
      <c r="F864">
        <v>532473</v>
      </c>
      <c r="G864" t="s">
        <v>9</v>
      </c>
      <c r="H864" t="s">
        <v>147</v>
      </c>
      <c r="I864" t="s">
        <v>549</v>
      </c>
    </row>
    <row r="865" spans="1:9" x14ac:dyDescent="0.2">
      <c r="A865" t="s">
        <v>674</v>
      </c>
      <c r="D865" t="str">
        <f>HYPERLINK("http://nlpdeep.cs.uic.edu:8080/proofing/gsii/532473-labs-imaging-0-0.pdf","gsii/532473-labs-imaging-0-0.pdf")</f>
        <v>gsii/532473-labs-imaging-0-0.pdf</v>
      </c>
      <c r="E865">
        <v>119960</v>
      </c>
      <c r="F865">
        <v>532473</v>
      </c>
      <c r="G865" t="s">
        <v>9</v>
      </c>
      <c r="H865" t="s">
        <v>147</v>
      </c>
      <c r="I865" t="s">
        <v>549</v>
      </c>
    </row>
    <row r="866" spans="1:9" x14ac:dyDescent="0.2">
      <c r="A866" t="s">
        <v>675</v>
      </c>
      <c r="D866" t="str">
        <f>HYPERLINK("http://nlpdeep.cs.uic.edu:8080/proofing/t5/532473-assessment-and-plan-0-0.pdf","t5/532473-assessment-and-plan-0-0.pdf")</f>
        <v>t5/532473-assessment-and-plan-0-0.pdf</v>
      </c>
      <c r="E866">
        <v>119960</v>
      </c>
      <c r="F866">
        <v>532473</v>
      </c>
      <c r="G866" t="s">
        <v>9</v>
      </c>
      <c r="H866" t="s">
        <v>195</v>
      </c>
      <c r="I866" t="s">
        <v>561</v>
      </c>
    </row>
    <row r="867" spans="1:9" x14ac:dyDescent="0.2">
      <c r="A867" t="s">
        <v>675</v>
      </c>
      <c r="D867" t="str">
        <f>HYPERLINK("http://nlpdeep.cs.uic.edu:8080/proofing/gsii/532473-assessment-and-plan-0-0.pdf","gsii/532473-assessment-and-plan-0-0.pdf")</f>
        <v>gsii/532473-assessment-and-plan-0-0.pdf</v>
      </c>
      <c r="E867">
        <v>119960</v>
      </c>
      <c r="F867">
        <v>532473</v>
      </c>
      <c r="G867" t="s">
        <v>9</v>
      </c>
      <c r="H867" t="s">
        <v>195</v>
      </c>
      <c r="I867" t="s">
        <v>561</v>
      </c>
    </row>
    <row r="868" spans="1:9" x14ac:dyDescent="0.2">
      <c r="A868" t="s">
        <v>676</v>
      </c>
      <c r="D868" t="str">
        <f>HYPERLINK("http://nlpdeep.cs.uic.edu:8080/proofing/t5/532473-communication-0-0.pdf","t5/532473-communication-0-0.pdf")</f>
        <v>t5/532473-communication-0-0.pdf</v>
      </c>
      <c r="E868">
        <v>119960</v>
      </c>
      <c r="F868">
        <v>532473</v>
      </c>
      <c r="G868" t="s">
        <v>9</v>
      </c>
      <c r="H868" t="s">
        <v>198</v>
      </c>
      <c r="I868" t="s">
        <v>199</v>
      </c>
    </row>
    <row r="869" spans="1:9" x14ac:dyDescent="0.2">
      <c r="A869" t="s">
        <v>676</v>
      </c>
      <c r="D869" t="str">
        <f>HYPERLINK("http://nlpdeep.cs.uic.edu:8080/proofing/gsii/532473-communication-0-0.pdf","gsii/532473-communication-0-0.pdf")</f>
        <v>gsii/532473-communication-0-0.pdf</v>
      </c>
      <c r="E869">
        <v>119960</v>
      </c>
      <c r="F869">
        <v>532473</v>
      </c>
      <c r="G869" t="s">
        <v>9</v>
      </c>
      <c r="H869" t="s">
        <v>198</v>
      </c>
      <c r="I869" t="s">
        <v>199</v>
      </c>
    </row>
    <row r="870" spans="1:9" x14ac:dyDescent="0.2">
      <c r="A870" t="s">
        <v>677</v>
      </c>
      <c r="D870" t="str">
        <f>HYPERLINK("http://nlpdeep.cs.uic.edu:8080/proofing/t5/532473-code-status-0-0.pdf","t5/532473-code-status-0-0.pdf")</f>
        <v>t5/532473-code-status-0-0.pdf</v>
      </c>
      <c r="E870">
        <v>119960</v>
      </c>
      <c r="F870">
        <v>532473</v>
      </c>
      <c r="G870" t="s">
        <v>9</v>
      </c>
      <c r="H870" t="s">
        <v>201</v>
      </c>
      <c r="I870" t="s">
        <v>202</v>
      </c>
    </row>
    <row r="871" spans="1:9" x14ac:dyDescent="0.2">
      <c r="A871" t="s">
        <v>677</v>
      </c>
      <c r="D871" t="str">
        <f>HYPERLINK("http://nlpdeep.cs.uic.edu:8080/proofing/gsii/532473-code-status-0-0.pdf","gsii/532473-code-status-0-0.pdf")</f>
        <v>gsii/532473-code-status-0-0.pdf</v>
      </c>
      <c r="E871">
        <v>119960</v>
      </c>
      <c r="F871">
        <v>532473</v>
      </c>
      <c r="G871" t="s">
        <v>9</v>
      </c>
      <c r="H871" t="s">
        <v>201</v>
      </c>
      <c r="I871" t="s">
        <v>202</v>
      </c>
    </row>
    <row r="872" spans="1:9" x14ac:dyDescent="0.2">
      <c r="A872" t="s">
        <v>678</v>
      </c>
      <c r="D872" t="str">
        <f>HYPERLINK("http://nlpdeep.cs.uic.edu:8080/proofing/t5/532473-disposition-0-0.pdf","t5/532473-disposition-0-0.pdf")</f>
        <v>t5/532473-disposition-0-0.pdf</v>
      </c>
      <c r="E872">
        <v>119960</v>
      </c>
      <c r="F872">
        <v>532473</v>
      </c>
      <c r="G872" t="s">
        <v>9</v>
      </c>
      <c r="H872" t="s">
        <v>204</v>
      </c>
      <c r="I872" t="s">
        <v>205</v>
      </c>
    </row>
    <row r="873" spans="1:9" x14ac:dyDescent="0.2">
      <c r="A873" t="s">
        <v>678</v>
      </c>
      <c r="D873" t="str">
        <f>HYPERLINK("http://nlpdeep.cs.uic.edu:8080/proofing/gsii/532473-disposition-0-0.pdf","gsii/532473-disposition-0-0.pdf")</f>
        <v>gsii/532473-disposition-0-0.pdf</v>
      </c>
      <c r="E873">
        <v>119960</v>
      </c>
      <c r="F873">
        <v>532473</v>
      </c>
      <c r="G873" t="s">
        <v>9</v>
      </c>
      <c r="H873" t="s">
        <v>204</v>
      </c>
      <c r="I873" t="s">
        <v>205</v>
      </c>
    </row>
    <row r="874" spans="1:9" x14ac:dyDescent="0.2">
      <c r="A874" t="s">
        <v>679</v>
      </c>
      <c r="D874" t="str">
        <f>HYPERLINK("http://nlpdeep.cs.uic.edu:8080/proofing/t5/532469-24-hour-events-0-0.pdf","t5/532469-24-hour-events-0-0.pdf")</f>
        <v>t5/532469-24-hour-events-0-0.pdf</v>
      </c>
      <c r="E874">
        <v>119960</v>
      </c>
      <c r="F874">
        <v>532469</v>
      </c>
      <c r="G874" t="s">
        <v>9</v>
      </c>
      <c r="H874" t="s">
        <v>538</v>
      </c>
      <c r="I874" t="s">
        <v>539</v>
      </c>
    </row>
    <row r="875" spans="1:9" x14ac:dyDescent="0.2">
      <c r="A875" t="s">
        <v>679</v>
      </c>
      <c r="D875" t="str">
        <f>HYPERLINK("http://nlpdeep.cs.uic.edu:8080/proofing/gsii/532469-24-hour-events-0-0.pdf","gsii/532469-24-hour-events-0-0.pdf")</f>
        <v>gsii/532469-24-hour-events-0-0.pdf</v>
      </c>
      <c r="E875">
        <v>119960</v>
      </c>
      <c r="F875">
        <v>532469</v>
      </c>
      <c r="G875" t="s">
        <v>9</v>
      </c>
      <c r="H875" t="s">
        <v>538</v>
      </c>
      <c r="I875" t="s">
        <v>539</v>
      </c>
    </row>
    <row r="876" spans="1:9" x14ac:dyDescent="0.2">
      <c r="A876" t="s">
        <v>680</v>
      </c>
      <c r="D876" t="str">
        <f>HYPERLINK("http://nlpdeep.cs.uic.edu:8080/proofing/t5/532469-24-hour-events-0-1.pdf","t5/532469-24-hour-events-0-1.pdf")</f>
        <v>t5/532469-24-hour-events-0-1.pdf</v>
      </c>
      <c r="E876">
        <v>119960</v>
      </c>
      <c r="F876">
        <v>532469</v>
      </c>
      <c r="G876" t="s">
        <v>9</v>
      </c>
      <c r="H876" t="s">
        <v>538</v>
      </c>
      <c r="I876" t="s">
        <v>541</v>
      </c>
    </row>
    <row r="877" spans="1:9" x14ac:dyDescent="0.2">
      <c r="A877" t="s">
        <v>680</v>
      </c>
      <c r="D877" t="str">
        <f>HYPERLINK("http://nlpdeep.cs.uic.edu:8080/proofing/gsii/532469-24-hour-events-0-1.pdf","gsii/532469-24-hour-events-0-1.pdf")</f>
        <v>gsii/532469-24-hour-events-0-1.pdf</v>
      </c>
      <c r="E877">
        <v>119960</v>
      </c>
      <c r="F877">
        <v>532469</v>
      </c>
      <c r="G877" t="s">
        <v>9</v>
      </c>
      <c r="H877" t="s">
        <v>538</v>
      </c>
      <c r="I877" t="s">
        <v>541</v>
      </c>
    </row>
    <row r="878" spans="1:9" x14ac:dyDescent="0.2">
      <c r="A878" t="s">
        <v>681</v>
      </c>
      <c r="D878" t="str">
        <f>HYPERLINK("http://nlpdeep.cs.uic.edu:8080/proofing/t5/532469-allergies-0-0.pdf","t5/532469-allergies-0-0.pdf")</f>
        <v>t5/532469-allergies-0-0.pdf</v>
      </c>
      <c r="E878">
        <v>119960</v>
      </c>
      <c r="F878">
        <v>532469</v>
      </c>
      <c r="G878" t="s">
        <v>9</v>
      </c>
      <c r="H878" t="s">
        <v>64</v>
      </c>
      <c r="I878" t="s">
        <v>517</v>
      </c>
    </row>
    <row r="879" spans="1:9" x14ac:dyDescent="0.2">
      <c r="A879" t="s">
        <v>681</v>
      </c>
      <c r="D879" t="str">
        <f>HYPERLINK("http://nlpdeep.cs.uic.edu:8080/proofing/gsii/532469-allergies-0-0.pdf","gsii/532469-allergies-0-0.pdf")</f>
        <v>gsii/532469-allergies-0-0.pdf</v>
      </c>
      <c r="E879">
        <v>119960</v>
      </c>
      <c r="F879">
        <v>532469</v>
      </c>
      <c r="G879" t="s">
        <v>9</v>
      </c>
      <c r="H879" t="s">
        <v>64</v>
      </c>
      <c r="I879" t="s">
        <v>517</v>
      </c>
    </row>
    <row r="880" spans="1:9" x14ac:dyDescent="0.2">
      <c r="A880" t="s">
        <v>682</v>
      </c>
      <c r="D880" t="str">
        <f>HYPERLINK("http://nlpdeep.cs.uic.edu:8080/proofing/t5/532469-other-medications-0-0.pdf","t5/532469-other-medications-0-0.pdf")</f>
        <v>t5/532469-other-medications-0-0.pdf</v>
      </c>
      <c r="E880">
        <v>119960</v>
      </c>
      <c r="F880">
        <v>532469</v>
      </c>
      <c r="G880" t="s">
        <v>9</v>
      </c>
      <c r="H880" t="s">
        <v>67</v>
      </c>
      <c r="I880" t="s">
        <v>544</v>
      </c>
    </row>
    <row r="881" spans="1:9" x14ac:dyDescent="0.2">
      <c r="A881" t="s">
        <v>682</v>
      </c>
      <c r="D881" t="str">
        <f>HYPERLINK("http://nlpdeep.cs.uic.edu:8080/proofing/gsii/532469-other-medications-0-0.pdf","gsii/532469-other-medications-0-0.pdf")</f>
        <v>gsii/532469-other-medications-0-0.pdf</v>
      </c>
      <c r="E881">
        <v>119960</v>
      </c>
      <c r="F881">
        <v>532469</v>
      </c>
      <c r="G881" t="s">
        <v>9</v>
      </c>
      <c r="H881" t="s">
        <v>67</v>
      </c>
      <c r="I881" t="s">
        <v>544</v>
      </c>
    </row>
    <row r="882" spans="1:9" x14ac:dyDescent="0.2">
      <c r="A882" t="s">
        <v>683</v>
      </c>
      <c r="D882" t="str">
        <f>HYPERLINK("http://nlpdeep.cs.uic.edu:8080/proofing/t5/532469-past-medical-history-0-0.pdf","t5/532469-past-medical-history-0-0.pdf")</f>
        <v>t5/532469-past-medical-history-0-0.pdf</v>
      </c>
      <c r="E882">
        <v>119960</v>
      </c>
      <c r="F882">
        <v>532469</v>
      </c>
      <c r="G882" t="s">
        <v>9</v>
      </c>
      <c r="H882" t="s">
        <v>76</v>
      </c>
      <c r="I882" t="s">
        <v>546</v>
      </c>
    </row>
    <row r="883" spans="1:9" x14ac:dyDescent="0.2">
      <c r="A883" t="s">
        <v>683</v>
      </c>
      <c r="D883" t="str">
        <f>HYPERLINK("http://nlpdeep.cs.uic.edu:8080/proofing/gsii/532469-past-medical-history-0-0.pdf","gsii/532469-past-medical-history-0-0.pdf")</f>
        <v>gsii/532469-past-medical-history-0-0.pdf</v>
      </c>
      <c r="E883">
        <v>119960</v>
      </c>
      <c r="F883">
        <v>532469</v>
      </c>
      <c r="G883" t="s">
        <v>9</v>
      </c>
      <c r="H883" t="s">
        <v>76</v>
      </c>
      <c r="I883" t="s">
        <v>546</v>
      </c>
    </row>
    <row r="884" spans="1:9" x14ac:dyDescent="0.2">
      <c r="A884" t="s">
        <v>684</v>
      </c>
      <c r="D884" t="str">
        <f>HYPERLINK("http://nlpdeep.cs.uic.edu:8080/proofing/t5/532469-review-of-systems-0-0.pdf","t5/532469-review-of-systems-0-0.pdf")</f>
        <v>t5/532469-review-of-systems-0-0.pdf</v>
      </c>
      <c r="E884">
        <v>119960</v>
      </c>
      <c r="F884">
        <v>532469</v>
      </c>
      <c r="G884" t="s">
        <v>9</v>
      </c>
      <c r="H884" t="s">
        <v>393</v>
      </c>
      <c r="I884" t="s">
        <v>546</v>
      </c>
    </row>
    <row r="885" spans="1:9" x14ac:dyDescent="0.2">
      <c r="A885" t="s">
        <v>684</v>
      </c>
      <c r="D885" t="str">
        <f>HYPERLINK("http://nlpdeep.cs.uic.edu:8080/proofing/gsii/532469-review-of-systems-0-0.pdf","gsii/532469-review-of-systems-0-0.pdf")</f>
        <v>gsii/532469-review-of-systems-0-0.pdf</v>
      </c>
      <c r="E885">
        <v>119960</v>
      </c>
      <c r="F885">
        <v>532469</v>
      </c>
      <c r="G885" t="s">
        <v>9</v>
      </c>
      <c r="H885" t="s">
        <v>393</v>
      </c>
      <c r="I885" t="s">
        <v>546</v>
      </c>
    </row>
    <row r="886" spans="1:9" x14ac:dyDescent="0.2">
      <c r="A886" t="s">
        <v>685</v>
      </c>
      <c r="D886" t="str">
        <f>HYPERLINK("http://nlpdeep.cs.uic.edu:8080/proofing/t5/532469-flowsheet-data-vitals-0-0.pdf","t5/532469-flowsheet-data-vitals-0-0.pdf")</f>
        <v>t5/532469-flowsheet-data-vitals-0-0.pdf</v>
      </c>
      <c r="E886">
        <v>119960</v>
      </c>
      <c r="F886">
        <v>532469</v>
      </c>
      <c r="G886" t="s">
        <v>9</v>
      </c>
      <c r="H886" t="s">
        <v>135</v>
      </c>
      <c r="I886" t="s">
        <v>668</v>
      </c>
    </row>
    <row r="887" spans="1:9" x14ac:dyDescent="0.2">
      <c r="A887" t="s">
        <v>685</v>
      </c>
      <c r="D887" t="str">
        <f>HYPERLINK("http://nlpdeep.cs.uic.edu:8080/proofing/gsii/532469-flowsheet-data-vitals-0-0.pdf","gsii/532469-flowsheet-data-vitals-0-0.pdf")</f>
        <v>gsii/532469-flowsheet-data-vitals-0-0.pdf</v>
      </c>
      <c r="E887">
        <v>119960</v>
      </c>
      <c r="F887">
        <v>532469</v>
      </c>
      <c r="G887" t="s">
        <v>9</v>
      </c>
      <c r="H887" t="s">
        <v>135</v>
      </c>
      <c r="I887" t="s">
        <v>668</v>
      </c>
    </row>
    <row r="888" spans="1:9" x14ac:dyDescent="0.2">
      <c r="A888" t="s">
        <v>686</v>
      </c>
      <c r="D888" t="str">
        <f>HYPERLINK("http://nlpdeep.cs.uic.edu:8080/proofing/t5/532469-physical-examination-0-0.pdf","t5/532469-physical-examination-0-0.pdf")</f>
        <v>t5/532469-physical-examination-0-0.pdf</v>
      </c>
      <c r="E888">
        <v>119960</v>
      </c>
      <c r="F888">
        <v>532469</v>
      </c>
      <c r="G888" t="s">
        <v>9</v>
      </c>
      <c r="H888" t="s">
        <v>138</v>
      </c>
      <c r="I888" t="s">
        <v>687</v>
      </c>
    </row>
    <row r="889" spans="1:9" x14ac:dyDescent="0.2">
      <c r="A889" t="s">
        <v>686</v>
      </c>
      <c r="D889" t="str">
        <f>HYPERLINK("http://nlpdeep.cs.uic.edu:8080/proofing/gsii/532469-physical-examination-0-0.pdf","gsii/532469-physical-examination-0-0.pdf")</f>
        <v>gsii/532469-physical-examination-0-0.pdf</v>
      </c>
      <c r="E889">
        <v>119960</v>
      </c>
      <c r="F889">
        <v>532469</v>
      </c>
      <c r="G889" t="s">
        <v>9</v>
      </c>
      <c r="H889" t="s">
        <v>138</v>
      </c>
      <c r="I889" t="s">
        <v>687</v>
      </c>
    </row>
    <row r="890" spans="1:9" x14ac:dyDescent="0.2">
      <c r="A890" t="s">
        <v>688</v>
      </c>
      <c r="D890" t="str">
        <f>HYPERLINK("http://nlpdeep.cs.uic.edu:8080/proofing/t5/532469-labs-imaging-0-0.pdf","t5/532469-labs-imaging-0-0.pdf")</f>
        <v>t5/532469-labs-imaging-0-0.pdf</v>
      </c>
      <c r="E890">
        <v>119960</v>
      </c>
      <c r="F890">
        <v>532469</v>
      </c>
      <c r="G890" t="s">
        <v>9</v>
      </c>
      <c r="H890" t="s">
        <v>147</v>
      </c>
      <c r="I890" t="s">
        <v>549</v>
      </c>
    </row>
    <row r="891" spans="1:9" x14ac:dyDescent="0.2">
      <c r="A891" t="s">
        <v>688</v>
      </c>
      <c r="D891" t="str">
        <f>HYPERLINK("http://nlpdeep.cs.uic.edu:8080/proofing/gsii/532469-labs-imaging-0-0.pdf","gsii/532469-labs-imaging-0-0.pdf")</f>
        <v>gsii/532469-labs-imaging-0-0.pdf</v>
      </c>
      <c r="E891">
        <v>119960</v>
      </c>
      <c r="F891">
        <v>532469</v>
      </c>
      <c r="G891" t="s">
        <v>9</v>
      </c>
      <c r="H891" t="s">
        <v>147</v>
      </c>
      <c r="I891" t="s">
        <v>549</v>
      </c>
    </row>
    <row r="892" spans="1:9" x14ac:dyDescent="0.2">
      <c r="A892" t="s">
        <v>689</v>
      </c>
      <c r="D892" t="str">
        <f>HYPERLINK("http://nlpdeep.cs.uic.edu:8080/proofing/t5/532469-assessment-and-plan-0-0.pdf","t5/532469-assessment-and-plan-0-0.pdf")</f>
        <v>t5/532469-assessment-and-plan-0-0.pdf</v>
      </c>
      <c r="E892">
        <v>119960</v>
      </c>
      <c r="F892">
        <v>532469</v>
      </c>
      <c r="G892" t="s">
        <v>9</v>
      </c>
      <c r="H892" t="s">
        <v>195</v>
      </c>
      <c r="I892" t="s">
        <v>561</v>
      </c>
    </row>
    <row r="893" spans="1:9" x14ac:dyDescent="0.2">
      <c r="A893" t="s">
        <v>689</v>
      </c>
      <c r="D893" t="str">
        <f>HYPERLINK("http://nlpdeep.cs.uic.edu:8080/proofing/gsii/532469-assessment-and-plan-0-0.pdf","gsii/532469-assessment-and-plan-0-0.pdf")</f>
        <v>gsii/532469-assessment-and-plan-0-0.pdf</v>
      </c>
      <c r="E893">
        <v>119960</v>
      </c>
      <c r="F893">
        <v>532469</v>
      </c>
      <c r="G893" t="s">
        <v>9</v>
      </c>
      <c r="H893" t="s">
        <v>195</v>
      </c>
      <c r="I893" t="s">
        <v>561</v>
      </c>
    </row>
    <row r="894" spans="1:9" x14ac:dyDescent="0.2">
      <c r="A894" t="s">
        <v>690</v>
      </c>
      <c r="D894" t="str">
        <f>HYPERLINK("http://nlpdeep.cs.uic.edu:8080/proofing/t5/532469-communication-0-0.pdf","t5/532469-communication-0-0.pdf")</f>
        <v>t5/532469-communication-0-0.pdf</v>
      </c>
      <c r="E894">
        <v>119960</v>
      </c>
      <c r="F894">
        <v>532469</v>
      </c>
      <c r="G894" t="s">
        <v>9</v>
      </c>
      <c r="H894" t="s">
        <v>198</v>
      </c>
      <c r="I894" t="s">
        <v>199</v>
      </c>
    </row>
    <row r="895" spans="1:9" x14ac:dyDescent="0.2">
      <c r="A895" t="s">
        <v>690</v>
      </c>
      <c r="D895" t="str">
        <f>HYPERLINK("http://nlpdeep.cs.uic.edu:8080/proofing/gsii/532469-communication-0-0.pdf","gsii/532469-communication-0-0.pdf")</f>
        <v>gsii/532469-communication-0-0.pdf</v>
      </c>
      <c r="E895">
        <v>119960</v>
      </c>
      <c r="F895">
        <v>532469</v>
      </c>
      <c r="G895" t="s">
        <v>9</v>
      </c>
      <c r="H895" t="s">
        <v>198</v>
      </c>
      <c r="I895" t="s">
        <v>199</v>
      </c>
    </row>
    <row r="896" spans="1:9" x14ac:dyDescent="0.2">
      <c r="A896" t="s">
        <v>691</v>
      </c>
      <c r="D896" t="str">
        <f>HYPERLINK("http://nlpdeep.cs.uic.edu:8080/proofing/t5/532469-code-status-0-0.pdf","t5/532469-code-status-0-0.pdf")</f>
        <v>t5/532469-code-status-0-0.pdf</v>
      </c>
      <c r="E896">
        <v>119960</v>
      </c>
      <c r="F896">
        <v>532469</v>
      </c>
      <c r="G896" t="s">
        <v>9</v>
      </c>
      <c r="H896" t="s">
        <v>201</v>
      </c>
      <c r="I896" t="s">
        <v>202</v>
      </c>
    </row>
    <row r="897" spans="1:9" x14ac:dyDescent="0.2">
      <c r="A897" t="s">
        <v>691</v>
      </c>
      <c r="D897" t="str">
        <f>HYPERLINK("http://nlpdeep.cs.uic.edu:8080/proofing/gsii/532469-code-status-0-0.pdf","gsii/532469-code-status-0-0.pdf")</f>
        <v>gsii/532469-code-status-0-0.pdf</v>
      </c>
      <c r="E897">
        <v>119960</v>
      </c>
      <c r="F897">
        <v>532469</v>
      </c>
      <c r="G897" t="s">
        <v>9</v>
      </c>
      <c r="H897" t="s">
        <v>201</v>
      </c>
      <c r="I897" t="s">
        <v>202</v>
      </c>
    </row>
    <row r="898" spans="1:9" x14ac:dyDescent="0.2">
      <c r="A898" t="s">
        <v>692</v>
      </c>
      <c r="D898" t="str">
        <f>HYPERLINK("http://nlpdeep.cs.uic.edu:8080/proofing/t5/532469-disposition-0-0.pdf","t5/532469-disposition-0-0.pdf")</f>
        <v>t5/532469-disposition-0-0.pdf</v>
      </c>
      <c r="E898">
        <v>119960</v>
      </c>
      <c r="F898">
        <v>532469</v>
      </c>
      <c r="G898" t="s">
        <v>9</v>
      </c>
      <c r="H898" t="s">
        <v>204</v>
      </c>
      <c r="I898" t="s">
        <v>205</v>
      </c>
    </row>
    <row r="899" spans="1:9" x14ac:dyDescent="0.2">
      <c r="A899" t="s">
        <v>692</v>
      </c>
      <c r="D899" t="str">
        <f>HYPERLINK("http://nlpdeep.cs.uic.edu:8080/proofing/gsii/532469-disposition-0-0.pdf","gsii/532469-disposition-0-0.pdf")</f>
        <v>gsii/532469-disposition-0-0.pdf</v>
      </c>
      <c r="E899">
        <v>119960</v>
      </c>
      <c r="F899">
        <v>532469</v>
      </c>
      <c r="G899" t="s">
        <v>9</v>
      </c>
      <c r="H899" t="s">
        <v>204</v>
      </c>
      <c r="I899" t="s">
        <v>205</v>
      </c>
    </row>
    <row r="900" spans="1:9" x14ac:dyDescent="0.2">
      <c r="A900" t="s">
        <v>693</v>
      </c>
      <c r="D900" t="str">
        <f>HYPERLINK("http://nlpdeep.cs.uic.edu:8080/proofing/t5/532660-24-hour-events-0-0.pdf","t5/532660-24-hour-events-0-0.pdf")</f>
        <v>t5/532660-24-hour-events-0-0.pdf</v>
      </c>
      <c r="E900">
        <v>119960</v>
      </c>
      <c r="F900">
        <v>532660</v>
      </c>
      <c r="G900" t="s">
        <v>9</v>
      </c>
      <c r="H900" t="s">
        <v>538</v>
      </c>
      <c r="I900" t="s">
        <v>694</v>
      </c>
    </row>
    <row r="901" spans="1:9" x14ac:dyDescent="0.2">
      <c r="A901" t="s">
        <v>693</v>
      </c>
      <c r="D901" t="str">
        <f>HYPERLINK("http://nlpdeep.cs.uic.edu:8080/proofing/gsii/532660-24-hour-events-0-0.pdf","gsii/532660-24-hour-events-0-0.pdf")</f>
        <v>gsii/532660-24-hour-events-0-0.pdf</v>
      </c>
      <c r="E901">
        <v>119960</v>
      </c>
      <c r="F901">
        <v>532660</v>
      </c>
      <c r="G901" t="s">
        <v>9</v>
      </c>
      <c r="H901" t="s">
        <v>538</v>
      </c>
      <c r="I901" t="s">
        <v>694</v>
      </c>
    </row>
    <row r="902" spans="1:9" x14ac:dyDescent="0.2">
      <c r="A902" t="s">
        <v>695</v>
      </c>
      <c r="D902" t="str">
        <f>HYPERLINK("http://nlpdeep.cs.uic.edu:8080/proofing/t5/532660-24-hour-events-0-1.pdf","t5/532660-24-hour-events-0-1.pdf")</f>
        <v>t5/532660-24-hour-events-0-1.pdf</v>
      </c>
      <c r="E902">
        <v>119960</v>
      </c>
      <c r="F902">
        <v>532660</v>
      </c>
      <c r="G902" t="s">
        <v>9</v>
      </c>
      <c r="H902" t="s">
        <v>538</v>
      </c>
      <c r="I902" t="s">
        <v>696</v>
      </c>
    </row>
    <row r="903" spans="1:9" x14ac:dyDescent="0.2">
      <c r="A903" t="s">
        <v>695</v>
      </c>
      <c r="D903" t="str">
        <f>HYPERLINK("http://nlpdeep.cs.uic.edu:8080/proofing/gsii/532660-24-hour-events-0-1.pdf","gsii/532660-24-hour-events-0-1.pdf")</f>
        <v>gsii/532660-24-hour-events-0-1.pdf</v>
      </c>
      <c r="E903">
        <v>119960</v>
      </c>
      <c r="F903">
        <v>532660</v>
      </c>
      <c r="G903" t="s">
        <v>9</v>
      </c>
      <c r="H903" t="s">
        <v>538</v>
      </c>
      <c r="I903" t="s">
        <v>696</v>
      </c>
    </row>
    <row r="904" spans="1:9" x14ac:dyDescent="0.2">
      <c r="A904" t="s">
        <v>697</v>
      </c>
      <c r="D904" t="str">
        <f>HYPERLINK("http://nlpdeep.cs.uic.edu:8080/proofing/t5/532660-24-hour-events-0-2.pdf","t5/532660-24-hour-events-0-2.pdf")</f>
        <v>t5/532660-24-hour-events-0-2.pdf</v>
      </c>
      <c r="E904">
        <v>119960</v>
      </c>
      <c r="F904">
        <v>532660</v>
      </c>
      <c r="G904" t="s">
        <v>9</v>
      </c>
      <c r="H904" t="s">
        <v>538</v>
      </c>
      <c r="I904" t="s">
        <v>698</v>
      </c>
    </row>
    <row r="905" spans="1:9" x14ac:dyDescent="0.2">
      <c r="A905" t="s">
        <v>697</v>
      </c>
      <c r="D905" t="str">
        <f>HYPERLINK("http://nlpdeep.cs.uic.edu:8080/proofing/gsii/532660-24-hour-events-0-2.pdf","gsii/532660-24-hour-events-0-2.pdf")</f>
        <v>gsii/532660-24-hour-events-0-2.pdf</v>
      </c>
      <c r="E905">
        <v>119960</v>
      </c>
      <c r="F905">
        <v>532660</v>
      </c>
      <c r="G905" t="s">
        <v>9</v>
      </c>
      <c r="H905" t="s">
        <v>538</v>
      </c>
      <c r="I905" t="s">
        <v>698</v>
      </c>
    </row>
    <row r="906" spans="1:9" x14ac:dyDescent="0.2">
      <c r="A906" t="s">
        <v>699</v>
      </c>
      <c r="D906" t="str">
        <f>HYPERLINK("http://nlpdeep.cs.uic.edu:8080/proofing/t5/532660-24-hour-events-0-3.pdf","t5/532660-24-hour-events-0-3.pdf")</f>
        <v>t5/532660-24-hour-events-0-3.pdf</v>
      </c>
      <c r="E906">
        <v>119960</v>
      </c>
      <c r="F906">
        <v>532660</v>
      </c>
      <c r="G906" t="s">
        <v>9</v>
      </c>
      <c r="H906" t="s">
        <v>538</v>
      </c>
      <c r="I906" t="s">
        <v>700</v>
      </c>
    </row>
    <row r="907" spans="1:9" x14ac:dyDescent="0.2">
      <c r="A907" t="s">
        <v>699</v>
      </c>
      <c r="D907" t="str">
        <f>HYPERLINK("http://nlpdeep.cs.uic.edu:8080/proofing/gsii/532660-24-hour-events-0-3.pdf","gsii/532660-24-hour-events-0-3.pdf")</f>
        <v>gsii/532660-24-hour-events-0-3.pdf</v>
      </c>
      <c r="E907">
        <v>119960</v>
      </c>
      <c r="F907">
        <v>532660</v>
      </c>
      <c r="G907" t="s">
        <v>9</v>
      </c>
      <c r="H907" t="s">
        <v>538</v>
      </c>
      <c r="I907" t="s">
        <v>700</v>
      </c>
    </row>
    <row r="908" spans="1:9" x14ac:dyDescent="0.2">
      <c r="A908" t="s">
        <v>701</v>
      </c>
      <c r="D908" t="str">
        <f>HYPERLINK("http://nlpdeep.cs.uic.edu:8080/proofing/t5/532660-allergies-0-0.pdf","t5/532660-allergies-0-0.pdf")</f>
        <v>t5/532660-allergies-0-0.pdf</v>
      </c>
      <c r="E908">
        <v>119960</v>
      </c>
      <c r="F908">
        <v>532660</v>
      </c>
      <c r="G908" t="s">
        <v>9</v>
      </c>
      <c r="H908" t="s">
        <v>64</v>
      </c>
      <c r="I908" t="s">
        <v>517</v>
      </c>
    </row>
    <row r="909" spans="1:9" x14ac:dyDescent="0.2">
      <c r="A909" t="s">
        <v>701</v>
      </c>
      <c r="D909" t="str">
        <f>HYPERLINK("http://nlpdeep.cs.uic.edu:8080/proofing/gsii/532660-allergies-0-0.pdf","gsii/532660-allergies-0-0.pdf")</f>
        <v>gsii/532660-allergies-0-0.pdf</v>
      </c>
      <c r="E909">
        <v>119960</v>
      </c>
      <c r="F909">
        <v>532660</v>
      </c>
      <c r="G909" t="s">
        <v>9</v>
      </c>
      <c r="H909" t="s">
        <v>64</v>
      </c>
      <c r="I909" t="s">
        <v>517</v>
      </c>
    </row>
    <row r="910" spans="1:9" x14ac:dyDescent="0.2">
      <c r="A910" t="s">
        <v>702</v>
      </c>
      <c r="D910" t="str">
        <f>HYPERLINK("http://nlpdeep.cs.uic.edu:8080/proofing/t5/532660-last-dose-of-antibiotics-0-0.pdf","t5/532660-last-dose-of-antibiotics-0-0.pdf")</f>
        <v>t5/532660-last-dose-of-antibiotics-0-0.pdf</v>
      </c>
      <c r="E910">
        <v>119960</v>
      </c>
      <c r="F910">
        <v>532660</v>
      </c>
      <c r="G910" t="s">
        <v>9</v>
      </c>
      <c r="H910" t="s">
        <v>235</v>
      </c>
      <c r="I910" t="s">
        <v>519</v>
      </c>
    </row>
    <row r="911" spans="1:9" x14ac:dyDescent="0.2">
      <c r="A911" t="s">
        <v>702</v>
      </c>
      <c r="D911" t="str">
        <f>HYPERLINK("http://nlpdeep.cs.uic.edu:8080/proofing/gsii/532660-last-dose-of-antibiotics-0-0.pdf","gsii/532660-last-dose-of-antibiotics-0-0.pdf")</f>
        <v>gsii/532660-last-dose-of-antibiotics-0-0.pdf</v>
      </c>
      <c r="E911">
        <v>119960</v>
      </c>
      <c r="F911">
        <v>532660</v>
      </c>
      <c r="G911" t="s">
        <v>9</v>
      </c>
      <c r="H911" t="s">
        <v>235</v>
      </c>
      <c r="I911" t="s">
        <v>519</v>
      </c>
    </row>
    <row r="912" spans="1:9" x14ac:dyDescent="0.2">
      <c r="A912" t="s">
        <v>703</v>
      </c>
      <c r="D912" t="str">
        <f>HYPERLINK("http://nlpdeep.cs.uic.edu:8080/proofing/t5/532660-other-medications-0-0.pdf","t5/532660-other-medications-0-0.pdf")</f>
        <v>t5/532660-other-medications-0-0.pdf</v>
      </c>
      <c r="E912">
        <v>119960</v>
      </c>
      <c r="F912">
        <v>532660</v>
      </c>
      <c r="G912" t="s">
        <v>9</v>
      </c>
      <c r="H912" t="s">
        <v>67</v>
      </c>
      <c r="I912" t="s">
        <v>704</v>
      </c>
    </row>
    <row r="913" spans="1:9" x14ac:dyDescent="0.2">
      <c r="A913" t="s">
        <v>703</v>
      </c>
      <c r="D913" t="str">
        <f>HYPERLINK("http://nlpdeep.cs.uic.edu:8080/proofing/gsii/532660-other-medications-0-0.pdf","gsii/532660-other-medications-0-0.pdf")</f>
        <v>gsii/532660-other-medications-0-0.pdf</v>
      </c>
      <c r="E913">
        <v>119960</v>
      </c>
      <c r="F913">
        <v>532660</v>
      </c>
      <c r="G913" t="s">
        <v>9</v>
      </c>
      <c r="H913" t="s">
        <v>67</v>
      </c>
      <c r="I913" t="s">
        <v>704</v>
      </c>
    </row>
    <row r="914" spans="1:9" x14ac:dyDescent="0.2">
      <c r="A914" t="s">
        <v>705</v>
      </c>
      <c r="D914" t="str">
        <f>HYPERLINK("http://nlpdeep.cs.uic.edu:8080/proofing/t5/532660-flowsheet-data-vitals-0-0.pdf","t5/532660-flowsheet-data-vitals-0-0.pdf")</f>
        <v>t5/532660-flowsheet-data-vitals-0-0.pdf</v>
      </c>
      <c r="E914">
        <v>119960</v>
      </c>
      <c r="F914">
        <v>532660</v>
      </c>
      <c r="G914" t="s">
        <v>9</v>
      </c>
      <c r="H914" t="s">
        <v>135</v>
      </c>
      <c r="I914" t="s">
        <v>706</v>
      </c>
    </row>
    <row r="915" spans="1:9" x14ac:dyDescent="0.2">
      <c r="A915" t="s">
        <v>705</v>
      </c>
      <c r="D915" t="str">
        <f>HYPERLINK("http://nlpdeep.cs.uic.edu:8080/proofing/gsii/532660-flowsheet-data-vitals-0-0.pdf","gsii/532660-flowsheet-data-vitals-0-0.pdf")</f>
        <v>gsii/532660-flowsheet-data-vitals-0-0.pdf</v>
      </c>
      <c r="E915">
        <v>119960</v>
      </c>
      <c r="F915">
        <v>532660</v>
      </c>
      <c r="G915" t="s">
        <v>9</v>
      </c>
      <c r="H915" t="s">
        <v>135</v>
      </c>
      <c r="I915" t="s">
        <v>706</v>
      </c>
    </row>
    <row r="916" spans="1:9" x14ac:dyDescent="0.2">
      <c r="A916" t="s">
        <v>707</v>
      </c>
      <c r="D916" t="str">
        <f>HYPERLINK("http://nlpdeep.cs.uic.edu:8080/proofing/t5/532660-physical-examination-0-0.pdf","t5/532660-physical-examination-0-0.pdf")</f>
        <v>t5/532660-physical-examination-0-0.pdf</v>
      </c>
      <c r="E916">
        <v>119960</v>
      </c>
      <c r="F916">
        <v>532660</v>
      </c>
      <c r="G916" t="s">
        <v>9</v>
      </c>
      <c r="H916" t="s">
        <v>138</v>
      </c>
      <c r="I916" t="s">
        <v>708</v>
      </c>
    </row>
    <row r="917" spans="1:9" x14ac:dyDescent="0.2">
      <c r="A917" t="s">
        <v>707</v>
      </c>
      <c r="D917" t="str">
        <f>HYPERLINK("http://nlpdeep.cs.uic.edu:8080/proofing/gsii/532660-physical-examination-0-0.pdf","gsii/532660-physical-examination-0-0.pdf")</f>
        <v>gsii/532660-physical-examination-0-0.pdf</v>
      </c>
      <c r="E917">
        <v>119960</v>
      </c>
      <c r="F917">
        <v>532660</v>
      </c>
      <c r="G917" t="s">
        <v>9</v>
      </c>
      <c r="H917" t="s">
        <v>138</v>
      </c>
      <c r="I917" t="s">
        <v>708</v>
      </c>
    </row>
    <row r="918" spans="1:9" x14ac:dyDescent="0.2">
      <c r="A918" t="s">
        <v>709</v>
      </c>
      <c r="D918" t="str">
        <f>HYPERLINK("http://nlpdeep.cs.uic.edu:8080/proofing/t5/532660-labs-imaging-0-0.pdf","t5/532660-labs-imaging-0-0.pdf")</f>
        <v>t5/532660-labs-imaging-0-0.pdf</v>
      </c>
      <c r="E918">
        <v>119960</v>
      </c>
      <c r="F918">
        <v>532660</v>
      </c>
      <c r="G918" t="s">
        <v>9</v>
      </c>
      <c r="H918" t="s">
        <v>147</v>
      </c>
      <c r="I918" t="s">
        <v>710</v>
      </c>
    </row>
    <row r="919" spans="1:9" x14ac:dyDescent="0.2">
      <c r="A919" t="s">
        <v>709</v>
      </c>
      <c r="D919" t="str">
        <f>HYPERLINK("http://nlpdeep.cs.uic.edu:8080/proofing/gsii/532660-labs-imaging-0-0.pdf","gsii/532660-labs-imaging-0-0.pdf")</f>
        <v>gsii/532660-labs-imaging-0-0.pdf</v>
      </c>
      <c r="E919">
        <v>119960</v>
      </c>
      <c r="F919">
        <v>532660</v>
      </c>
      <c r="G919" t="s">
        <v>9</v>
      </c>
      <c r="H919" t="s">
        <v>147</v>
      </c>
      <c r="I919" t="s">
        <v>710</v>
      </c>
    </row>
    <row r="920" spans="1:9" x14ac:dyDescent="0.2">
      <c r="A920" t="s">
        <v>711</v>
      </c>
      <c r="D920" t="str">
        <f>HYPERLINK("http://nlpdeep.cs.uic.edu:8080/proofing/t5/532660-labs-imaging-0-1.pdf","t5/532660-labs-imaging-0-1.pdf")</f>
        <v>t5/532660-labs-imaging-0-1.pdf</v>
      </c>
      <c r="E920">
        <v>119960</v>
      </c>
      <c r="F920">
        <v>532660</v>
      </c>
      <c r="G920" t="s">
        <v>9</v>
      </c>
      <c r="H920" t="s">
        <v>147</v>
      </c>
      <c r="I920" t="s">
        <v>150</v>
      </c>
    </row>
    <row r="921" spans="1:9" x14ac:dyDescent="0.2">
      <c r="A921" t="s">
        <v>711</v>
      </c>
      <c r="D921" t="str">
        <f>HYPERLINK("http://nlpdeep.cs.uic.edu:8080/proofing/gsii/532660-labs-imaging-0-1.pdf","gsii/532660-labs-imaging-0-1.pdf")</f>
        <v>gsii/532660-labs-imaging-0-1.pdf</v>
      </c>
      <c r="E921">
        <v>119960</v>
      </c>
      <c r="F921">
        <v>532660</v>
      </c>
      <c r="G921" t="s">
        <v>9</v>
      </c>
      <c r="H921" t="s">
        <v>147</v>
      </c>
      <c r="I921" t="s">
        <v>150</v>
      </c>
    </row>
    <row r="922" spans="1:9" x14ac:dyDescent="0.2">
      <c r="A922" t="s">
        <v>712</v>
      </c>
      <c r="D922" t="str">
        <f>HYPERLINK("http://nlpdeep.cs.uic.edu:8080/proofing/t5/532660-labs-imaging-0-2.pdf","t5/532660-labs-imaging-0-2.pdf")</f>
        <v>t5/532660-labs-imaging-0-2.pdf</v>
      </c>
      <c r="E922">
        <v>119960</v>
      </c>
      <c r="F922">
        <v>532660</v>
      </c>
      <c r="G922" t="s">
        <v>9</v>
      </c>
      <c r="H922" t="s">
        <v>147</v>
      </c>
      <c r="I922" t="s">
        <v>152</v>
      </c>
    </row>
    <row r="923" spans="1:9" x14ac:dyDescent="0.2">
      <c r="A923" t="s">
        <v>712</v>
      </c>
      <c r="D923" t="str">
        <f>HYPERLINK("http://nlpdeep.cs.uic.edu:8080/proofing/gsii/532660-labs-imaging-0-2.pdf","gsii/532660-labs-imaging-0-2.pdf")</f>
        <v>gsii/532660-labs-imaging-0-2.pdf</v>
      </c>
      <c r="E923">
        <v>119960</v>
      </c>
      <c r="F923">
        <v>532660</v>
      </c>
      <c r="G923" t="s">
        <v>9</v>
      </c>
      <c r="H923" t="s">
        <v>147</v>
      </c>
      <c r="I923" t="s">
        <v>152</v>
      </c>
    </row>
    <row r="924" spans="1:9" x14ac:dyDescent="0.2">
      <c r="A924" t="s">
        <v>713</v>
      </c>
      <c r="D924" t="str">
        <f>HYPERLINK("http://nlpdeep.cs.uic.edu:8080/proofing/t5/532660-labs-imaging-0-3.pdf","t5/532660-labs-imaging-0-3.pdf")</f>
        <v>t5/532660-labs-imaging-0-3.pdf</v>
      </c>
      <c r="E924">
        <v>119960</v>
      </c>
      <c r="F924">
        <v>532660</v>
      </c>
      <c r="G924" t="s">
        <v>9</v>
      </c>
      <c r="H924" t="s">
        <v>147</v>
      </c>
      <c r="I924" t="s">
        <v>714</v>
      </c>
    </row>
    <row r="925" spans="1:9" x14ac:dyDescent="0.2">
      <c r="A925" t="s">
        <v>713</v>
      </c>
      <c r="D925" t="str">
        <f>HYPERLINK("http://nlpdeep.cs.uic.edu:8080/proofing/gsii/532660-labs-imaging-0-3.pdf","gsii/532660-labs-imaging-0-3.pdf")</f>
        <v>gsii/532660-labs-imaging-0-3.pdf</v>
      </c>
      <c r="E925">
        <v>119960</v>
      </c>
      <c r="F925">
        <v>532660</v>
      </c>
      <c r="G925" t="s">
        <v>9</v>
      </c>
      <c r="H925" t="s">
        <v>147</v>
      </c>
      <c r="I925" t="s">
        <v>714</v>
      </c>
    </row>
    <row r="926" spans="1:9" x14ac:dyDescent="0.2">
      <c r="A926" t="s">
        <v>715</v>
      </c>
      <c r="D926" t="str">
        <f>HYPERLINK("http://nlpdeep.cs.uic.edu:8080/proofing/t5/532660-labs-imaging-0-4.pdf","t5/532660-labs-imaging-0-4.pdf")</f>
        <v>t5/532660-labs-imaging-0-4.pdf</v>
      </c>
      <c r="E926">
        <v>119960</v>
      </c>
      <c r="F926">
        <v>532660</v>
      </c>
      <c r="G926" t="s">
        <v>9</v>
      </c>
      <c r="H926" t="s">
        <v>147</v>
      </c>
      <c r="I926" t="s">
        <v>156</v>
      </c>
    </row>
    <row r="927" spans="1:9" x14ac:dyDescent="0.2">
      <c r="A927" t="s">
        <v>715</v>
      </c>
      <c r="D927" t="str">
        <f>HYPERLINK("http://nlpdeep.cs.uic.edu:8080/proofing/gsii/532660-labs-imaging-0-4.pdf","gsii/532660-labs-imaging-0-4.pdf")</f>
        <v>gsii/532660-labs-imaging-0-4.pdf</v>
      </c>
      <c r="E927">
        <v>119960</v>
      </c>
      <c r="F927">
        <v>532660</v>
      </c>
      <c r="G927" t="s">
        <v>9</v>
      </c>
      <c r="H927" t="s">
        <v>147</v>
      </c>
      <c r="I927" t="s">
        <v>156</v>
      </c>
    </row>
    <row r="928" spans="1:9" x14ac:dyDescent="0.2">
      <c r="A928" t="s">
        <v>716</v>
      </c>
      <c r="D928" t="str">
        <f>HYPERLINK("http://nlpdeep.cs.uic.edu:8080/proofing/t5/532660-labs-imaging-0-5.pdf","t5/532660-labs-imaging-0-5.pdf")</f>
        <v>t5/532660-labs-imaging-0-5.pdf</v>
      </c>
      <c r="E928">
        <v>119960</v>
      </c>
      <c r="F928">
        <v>532660</v>
      </c>
      <c r="G928" t="s">
        <v>9</v>
      </c>
      <c r="H928" t="s">
        <v>147</v>
      </c>
      <c r="I928" t="s">
        <v>158</v>
      </c>
    </row>
    <row r="929" spans="1:9" x14ac:dyDescent="0.2">
      <c r="A929" t="s">
        <v>716</v>
      </c>
      <c r="D929" t="str">
        <f>HYPERLINK("http://nlpdeep.cs.uic.edu:8080/proofing/gsii/532660-labs-imaging-0-5.pdf","gsii/532660-labs-imaging-0-5.pdf")</f>
        <v>gsii/532660-labs-imaging-0-5.pdf</v>
      </c>
      <c r="E929">
        <v>119960</v>
      </c>
      <c r="F929">
        <v>532660</v>
      </c>
      <c r="G929" t="s">
        <v>9</v>
      </c>
      <c r="H929" t="s">
        <v>147</v>
      </c>
      <c r="I929" t="s">
        <v>158</v>
      </c>
    </row>
    <row r="930" spans="1:9" x14ac:dyDescent="0.2">
      <c r="A930" t="s">
        <v>717</v>
      </c>
      <c r="D930" t="str">
        <f>HYPERLINK("http://nlpdeep.cs.uic.edu:8080/proofing/t5/532660-labs-imaging-0-6.pdf","t5/532660-labs-imaging-0-6.pdf")</f>
        <v>t5/532660-labs-imaging-0-6.pdf</v>
      </c>
      <c r="E930">
        <v>119960</v>
      </c>
      <c r="F930">
        <v>532660</v>
      </c>
      <c r="G930" t="s">
        <v>9</v>
      </c>
      <c r="H930" t="s">
        <v>147</v>
      </c>
      <c r="I930" t="s">
        <v>718</v>
      </c>
    </row>
    <row r="931" spans="1:9" x14ac:dyDescent="0.2">
      <c r="A931" t="s">
        <v>717</v>
      </c>
      <c r="D931" t="str">
        <f>HYPERLINK("http://nlpdeep.cs.uic.edu:8080/proofing/gsii/532660-labs-imaging-0-6.pdf","gsii/532660-labs-imaging-0-6.pdf")</f>
        <v>gsii/532660-labs-imaging-0-6.pdf</v>
      </c>
      <c r="E931">
        <v>119960</v>
      </c>
      <c r="F931">
        <v>532660</v>
      </c>
      <c r="G931" t="s">
        <v>9</v>
      </c>
      <c r="H931" t="s">
        <v>147</v>
      </c>
      <c r="I931" t="s">
        <v>718</v>
      </c>
    </row>
    <row r="932" spans="1:9" x14ac:dyDescent="0.2">
      <c r="A932" t="s">
        <v>719</v>
      </c>
      <c r="D932" t="str">
        <f>HYPERLINK("http://nlpdeep.cs.uic.edu:8080/proofing/t5/532660-labs-imaging-0-7.pdf","t5/532660-labs-imaging-0-7.pdf")</f>
        <v>t5/532660-labs-imaging-0-7.pdf</v>
      </c>
      <c r="E932">
        <v>119960</v>
      </c>
      <c r="F932">
        <v>532660</v>
      </c>
      <c r="G932" t="s">
        <v>9</v>
      </c>
      <c r="H932" t="s">
        <v>147</v>
      </c>
      <c r="I932" t="s">
        <v>720</v>
      </c>
    </row>
    <row r="933" spans="1:9" x14ac:dyDescent="0.2">
      <c r="A933" t="s">
        <v>719</v>
      </c>
      <c r="D933" t="str">
        <f>HYPERLINK("http://nlpdeep.cs.uic.edu:8080/proofing/gsii/532660-labs-imaging-0-7.pdf","gsii/532660-labs-imaging-0-7.pdf")</f>
        <v>gsii/532660-labs-imaging-0-7.pdf</v>
      </c>
      <c r="E933">
        <v>119960</v>
      </c>
      <c r="F933">
        <v>532660</v>
      </c>
      <c r="G933" t="s">
        <v>9</v>
      </c>
      <c r="H933" t="s">
        <v>147</v>
      </c>
      <c r="I933" t="s">
        <v>720</v>
      </c>
    </row>
    <row r="934" spans="1:9" x14ac:dyDescent="0.2">
      <c r="A934" t="s">
        <v>721</v>
      </c>
      <c r="D934" t="str">
        <f>HYPERLINK("http://nlpdeep.cs.uic.edu:8080/proofing/t5/532660-labs-imaging-0-8.pdf","t5/532660-labs-imaging-0-8.pdf")</f>
        <v>t5/532660-labs-imaging-0-8.pdf</v>
      </c>
      <c r="E934">
        <v>119960</v>
      </c>
      <c r="F934">
        <v>532660</v>
      </c>
      <c r="G934" t="s">
        <v>9</v>
      </c>
      <c r="H934" t="s">
        <v>147</v>
      </c>
      <c r="I934" t="s">
        <v>164</v>
      </c>
    </row>
    <row r="935" spans="1:9" x14ac:dyDescent="0.2">
      <c r="A935" t="s">
        <v>721</v>
      </c>
      <c r="D935" t="str">
        <f>HYPERLINK("http://nlpdeep.cs.uic.edu:8080/proofing/gsii/532660-labs-imaging-0-8.pdf","gsii/532660-labs-imaging-0-8.pdf")</f>
        <v>gsii/532660-labs-imaging-0-8.pdf</v>
      </c>
      <c r="E935">
        <v>119960</v>
      </c>
      <c r="F935">
        <v>532660</v>
      </c>
      <c r="G935" t="s">
        <v>9</v>
      </c>
      <c r="H935" t="s">
        <v>147</v>
      </c>
      <c r="I935" t="s">
        <v>164</v>
      </c>
    </row>
    <row r="936" spans="1:9" x14ac:dyDescent="0.2">
      <c r="A936" t="s">
        <v>722</v>
      </c>
      <c r="D936" t="str">
        <f>HYPERLINK("http://nlpdeep.cs.uic.edu:8080/proofing/t5/532660-assessment-and-plan-0-0.pdf","t5/532660-assessment-and-plan-0-0.pdf")</f>
        <v>t5/532660-assessment-and-plan-0-0.pdf</v>
      </c>
      <c r="E936">
        <v>119960</v>
      </c>
      <c r="F936">
        <v>532660</v>
      </c>
      <c r="G936" t="s">
        <v>9</v>
      </c>
      <c r="H936" t="s">
        <v>195</v>
      </c>
      <c r="I936" t="s">
        <v>534</v>
      </c>
    </row>
    <row r="937" spans="1:9" x14ac:dyDescent="0.2">
      <c r="A937" t="s">
        <v>722</v>
      </c>
      <c r="D937" t="str">
        <f>HYPERLINK("http://nlpdeep.cs.uic.edu:8080/proofing/gsii/532660-assessment-and-plan-0-0.pdf","gsii/532660-assessment-and-plan-0-0.pdf")</f>
        <v>gsii/532660-assessment-and-plan-0-0.pdf</v>
      </c>
      <c r="E937">
        <v>119960</v>
      </c>
      <c r="F937">
        <v>532660</v>
      </c>
      <c r="G937" t="s">
        <v>9</v>
      </c>
      <c r="H937" t="s">
        <v>195</v>
      </c>
      <c r="I937" t="s">
        <v>534</v>
      </c>
    </row>
    <row r="938" spans="1:9" x14ac:dyDescent="0.2">
      <c r="A938" t="s">
        <v>723</v>
      </c>
      <c r="D938" t="str">
        <f>HYPERLINK("http://nlpdeep.cs.uic.edu:8080/proofing/t5/532660-code-status-0-0.pdf","t5/532660-code-status-0-0.pdf")</f>
        <v>t5/532660-code-status-0-0.pdf</v>
      </c>
      <c r="E938">
        <v>119960</v>
      </c>
      <c r="F938">
        <v>532660</v>
      </c>
      <c r="G938" t="s">
        <v>9</v>
      </c>
      <c r="H938" t="s">
        <v>201</v>
      </c>
      <c r="I938" t="s">
        <v>536</v>
      </c>
    </row>
    <row r="939" spans="1:9" x14ac:dyDescent="0.2">
      <c r="A939" t="s">
        <v>723</v>
      </c>
      <c r="D939" t="str">
        <f>HYPERLINK("http://nlpdeep.cs.uic.edu:8080/proofing/gsii/532660-code-status-0-0.pdf","gsii/532660-code-status-0-0.pdf")</f>
        <v>gsii/532660-code-status-0-0.pdf</v>
      </c>
      <c r="E939">
        <v>119960</v>
      </c>
      <c r="F939">
        <v>532660</v>
      </c>
      <c r="G939" t="s">
        <v>9</v>
      </c>
      <c r="H939" t="s">
        <v>201</v>
      </c>
      <c r="I939" t="s">
        <v>536</v>
      </c>
    </row>
    <row r="940" spans="1:9" x14ac:dyDescent="0.2">
      <c r="A940" t="s">
        <v>724</v>
      </c>
      <c r="D940" t="str">
        <f>HYPERLINK("http://nlpdeep.cs.uic.edu:8080/proofing/t5/532646-24-hour-events-0-0.pdf","t5/532646-24-hour-events-0-0.pdf")</f>
        <v>t5/532646-24-hour-events-0-0.pdf</v>
      </c>
      <c r="E940">
        <v>119960</v>
      </c>
      <c r="F940">
        <v>532646</v>
      </c>
      <c r="G940" t="s">
        <v>9</v>
      </c>
      <c r="H940" t="s">
        <v>538</v>
      </c>
      <c r="I940" t="s">
        <v>725</v>
      </c>
    </row>
    <row r="941" spans="1:9" x14ac:dyDescent="0.2">
      <c r="A941" t="s">
        <v>724</v>
      </c>
      <c r="D941" t="str">
        <f>HYPERLINK("http://nlpdeep.cs.uic.edu:8080/proofing/gsii/532646-24-hour-events-0-0.pdf","gsii/532646-24-hour-events-0-0.pdf")</f>
        <v>gsii/532646-24-hour-events-0-0.pdf</v>
      </c>
      <c r="E941">
        <v>119960</v>
      </c>
      <c r="F941">
        <v>532646</v>
      </c>
      <c r="G941" t="s">
        <v>9</v>
      </c>
      <c r="H941" t="s">
        <v>538</v>
      </c>
      <c r="I941" t="s">
        <v>725</v>
      </c>
    </row>
    <row r="942" spans="1:9" x14ac:dyDescent="0.2">
      <c r="A942" t="s">
        <v>726</v>
      </c>
      <c r="D942" t="str">
        <f>HYPERLINK("http://nlpdeep.cs.uic.edu:8080/proofing/t5/532646-24-hour-events-0-1.pdf","t5/532646-24-hour-events-0-1.pdf")</f>
        <v>t5/532646-24-hour-events-0-1.pdf</v>
      </c>
      <c r="E942">
        <v>119960</v>
      </c>
      <c r="F942">
        <v>532646</v>
      </c>
      <c r="G942" t="s">
        <v>9</v>
      </c>
      <c r="H942" t="s">
        <v>538</v>
      </c>
      <c r="I942" t="s">
        <v>727</v>
      </c>
    </row>
    <row r="943" spans="1:9" x14ac:dyDescent="0.2">
      <c r="A943" t="s">
        <v>726</v>
      </c>
      <c r="D943" t="str">
        <f>HYPERLINK("http://nlpdeep.cs.uic.edu:8080/proofing/gsii/532646-24-hour-events-0-1.pdf","gsii/532646-24-hour-events-0-1.pdf")</f>
        <v>gsii/532646-24-hour-events-0-1.pdf</v>
      </c>
      <c r="E943">
        <v>119960</v>
      </c>
      <c r="F943">
        <v>532646</v>
      </c>
      <c r="G943" t="s">
        <v>9</v>
      </c>
      <c r="H943" t="s">
        <v>538</v>
      </c>
      <c r="I943" t="s">
        <v>727</v>
      </c>
    </row>
    <row r="944" spans="1:9" x14ac:dyDescent="0.2">
      <c r="A944" t="s">
        <v>728</v>
      </c>
      <c r="D944" t="str">
        <f>HYPERLINK("http://nlpdeep.cs.uic.edu:8080/proofing/t5/532646-allergies-0-0.pdf","t5/532646-allergies-0-0.pdf")</f>
        <v>t5/532646-allergies-0-0.pdf</v>
      </c>
      <c r="E944">
        <v>119960</v>
      </c>
      <c r="F944">
        <v>532646</v>
      </c>
      <c r="G944" t="s">
        <v>9</v>
      </c>
      <c r="H944" t="s">
        <v>64</v>
      </c>
      <c r="I944" t="s">
        <v>517</v>
      </c>
    </row>
    <row r="945" spans="1:9" x14ac:dyDescent="0.2">
      <c r="A945" t="s">
        <v>728</v>
      </c>
      <c r="D945" t="str">
        <f>HYPERLINK("http://nlpdeep.cs.uic.edu:8080/proofing/gsii/532646-allergies-0-0.pdf","gsii/532646-allergies-0-0.pdf")</f>
        <v>gsii/532646-allergies-0-0.pdf</v>
      </c>
      <c r="E945">
        <v>119960</v>
      </c>
      <c r="F945">
        <v>532646</v>
      </c>
      <c r="G945" t="s">
        <v>9</v>
      </c>
      <c r="H945" t="s">
        <v>64</v>
      </c>
      <c r="I945" t="s">
        <v>517</v>
      </c>
    </row>
    <row r="946" spans="1:9" x14ac:dyDescent="0.2">
      <c r="A946" t="s">
        <v>729</v>
      </c>
      <c r="D946" t="str">
        <f>HYPERLINK("http://nlpdeep.cs.uic.edu:8080/proofing/t5/532646-last-dose-of-antibiotics-0-0.pdf","t5/532646-last-dose-of-antibiotics-0-0.pdf")</f>
        <v>t5/532646-last-dose-of-antibiotics-0-0.pdf</v>
      </c>
      <c r="E946">
        <v>119960</v>
      </c>
      <c r="F946">
        <v>532646</v>
      </c>
      <c r="G946" t="s">
        <v>9</v>
      </c>
      <c r="H946" t="s">
        <v>235</v>
      </c>
      <c r="I946" t="s">
        <v>519</v>
      </c>
    </row>
    <row r="947" spans="1:9" x14ac:dyDescent="0.2">
      <c r="A947" t="s">
        <v>729</v>
      </c>
      <c r="D947" t="str">
        <f>HYPERLINK("http://nlpdeep.cs.uic.edu:8080/proofing/gsii/532646-last-dose-of-antibiotics-0-0.pdf","gsii/532646-last-dose-of-antibiotics-0-0.pdf")</f>
        <v>gsii/532646-last-dose-of-antibiotics-0-0.pdf</v>
      </c>
      <c r="E947">
        <v>119960</v>
      </c>
      <c r="F947">
        <v>532646</v>
      </c>
      <c r="G947" t="s">
        <v>9</v>
      </c>
      <c r="H947" t="s">
        <v>235</v>
      </c>
      <c r="I947" t="s">
        <v>519</v>
      </c>
    </row>
    <row r="948" spans="1:9" x14ac:dyDescent="0.2">
      <c r="A948" t="s">
        <v>730</v>
      </c>
      <c r="D948" t="str">
        <f>HYPERLINK("http://nlpdeep.cs.uic.edu:8080/proofing/t5/532646-other-medications-0-0.pdf","t5/532646-other-medications-0-0.pdf")</f>
        <v>t5/532646-other-medications-0-0.pdf</v>
      </c>
      <c r="E948">
        <v>119960</v>
      </c>
      <c r="F948">
        <v>532646</v>
      </c>
      <c r="G948" t="s">
        <v>9</v>
      </c>
      <c r="H948" t="s">
        <v>67</v>
      </c>
      <c r="I948" t="s">
        <v>704</v>
      </c>
    </row>
    <row r="949" spans="1:9" x14ac:dyDescent="0.2">
      <c r="A949" t="s">
        <v>730</v>
      </c>
      <c r="D949" t="str">
        <f>HYPERLINK("http://nlpdeep.cs.uic.edu:8080/proofing/gsii/532646-other-medications-0-0.pdf","gsii/532646-other-medications-0-0.pdf")</f>
        <v>gsii/532646-other-medications-0-0.pdf</v>
      </c>
      <c r="E949">
        <v>119960</v>
      </c>
      <c r="F949">
        <v>532646</v>
      </c>
      <c r="G949" t="s">
        <v>9</v>
      </c>
      <c r="H949" t="s">
        <v>67</v>
      </c>
      <c r="I949" t="s">
        <v>704</v>
      </c>
    </row>
    <row r="950" spans="1:9" x14ac:dyDescent="0.2">
      <c r="A950" t="s">
        <v>731</v>
      </c>
      <c r="D950" t="str">
        <f>HYPERLINK("http://nlpdeep.cs.uic.edu:8080/proofing/t5/532646-flowsheet-data-vitals-0-0.pdf","t5/532646-flowsheet-data-vitals-0-0.pdf")</f>
        <v>t5/532646-flowsheet-data-vitals-0-0.pdf</v>
      </c>
      <c r="E950">
        <v>119960</v>
      </c>
      <c r="F950">
        <v>532646</v>
      </c>
      <c r="G950" t="s">
        <v>9</v>
      </c>
      <c r="H950" t="s">
        <v>135</v>
      </c>
      <c r="I950" t="s">
        <v>732</v>
      </c>
    </row>
    <row r="951" spans="1:9" x14ac:dyDescent="0.2">
      <c r="A951" t="s">
        <v>731</v>
      </c>
      <c r="D951" t="str">
        <f>HYPERLINK("http://nlpdeep.cs.uic.edu:8080/proofing/gsii/532646-flowsheet-data-vitals-0-0.pdf","gsii/532646-flowsheet-data-vitals-0-0.pdf")</f>
        <v>gsii/532646-flowsheet-data-vitals-0-0.pdf</v>
      </c>
      <c r="E951">
        <v>119960</v>
      </c>
      <c r="F951">
        <v>532646</v>
      </c>
      <c r="G951" t="s">
        <v>9</v>
      </c>
      <c r="H951" t="s">
        <v>135</v>
      </c>
      <c r="I951" t="s">
        <v>732</v>
      </c>
    </row>
    <row r="952" spans="1:9" x14ac:dyDescent="0.2">
      <c r="A952" t="s">
        <v>733</v>
      </c>
      <c r="D952" t="str">
        <f>HYPERLINK("http://nlpdeep.cs.uic.edu:8080/proofing/t5/532646-flowsheet-data-vitals-0-1.pdf","t5/532646-flowsheet-data-vitals-0-1.pdf")</f>
        <v>t5/532646-flowsheet-data-vitals-0-1.pdf</v>
      </c>
      <c r="E952">
        <v>119960</v>
      </c>
      <c r="F952">
        <v>532646</v>
      </c>
      <c r="G952" t="s">
        <v>9</v>
      </c>
      <c r="H952" t="s">
        <v>135</v>
      </c>
      <c r="I952" t="s">
        <v>734</v>
      </c>
    </row>
    <row r="953" spans="1:9" x14ac:dyDescent="0.2">
      <c r="A953" t="s">
        <v>733</v>
      </c>
      <c r="D953" t="str">
        <f>HYPERLINK("http://nlpdeep.cs.uic.edu:8080/proofing/gsii/532646-flowsheet-data-vitals-0-1.pdf","gsii/532646-flowsheet-data-vitals-0-1.pdf")</f>
        <v>gsii/532646-flowsheet-data-vitals-0-1.pdf</v>
      </c>
      <c r="E953">
        <v>119960</v>
      </c>
      <c r="F953">
        <v>532646</v>
      </c>
      <c r="G953" t="s">
        <v>9</v>
      </c>
      <c r="H953" t="s">
        <v>135</v>
      </c>
      <c r="I953" t="s">
        <v>734</v>
      </c>
    </row>
    <row r="954" spans="1:9" x14ac:dyDescent="0.2">
      <c r="A954" t="s">
        <v>735</v>
      </c>
      <c r="D954" t="str">
        <f>HYPERLINK("http://nlpdeep.cs.uic.edu:8080/proofing/t5/532646-labs-imaging-0-0.pdf","t5/532646-labs-imaging-0-0.pdf")</f>
        <v>t5/532646-labs-imaging-0-0.pdf</v>
      </c>
      <c r="E954">
        <v>119960</v>
      </c>
      <c r="F954">
        <v>532646</v>
      </c>
      <c r="G954" t="s">
        <v>9</v>
      </c>
      <c r="H954" t="s">
        <v>147</v>
      </c>
      <c r="I954" t="s">
        <v>736</v>
      </c>
    </row>
    <row r="955" spans="1:9" x14ac:dyDescent="0.2">
      <c r="A955" t="s">
        <v>735</v>
      </c>
      <c r="D955" t="str">
        <f>HYPERLINK("http://nlpdeep.cs.uic.edu:8080/proofing/gsii/532646-labs-imaging-0-0.pdf","gsii/532646-labs-imaging-0-0.pdf")</f>
        <v>gsii/532646-labs-imaging-0-0.pdf</v>
      </c>
      <c r="E955">
        <v>119960</v>
      </c>
      <c r="F955">
        <v>532646</v>
      </c>
      <c r="G955" t="s">
        <v>9</v>
      </c>
      <c r="H955" t="s">
        <v>147</v>
      </c>
      <c r="I955" t="s">
        <v>736</v>
      </c>
    </row>
    <row r="956" spans="1:9" x14ac:dyDescent="0.2">
      <c r="A956" t="s">
        <v>737</v>
      </c>
      <c r="D956" t="str">
        <f>HYPERLINK("http://nlpdeep.cs.uic.edu:8080/proofing/t5/532646-assessment-and-plan-0-0.pdf","t5/532646-assessment-and-plan-0-0.pdf")</f>
        <v>t5/532646-assessment-and-plan-0-0.pdf</v>
      </c>
      <c r="E956">
        <v>119960</v>
      </c>
      <c r="F956">
        <v>532646</v>
      </c>
      <c r="G956" t="s">
        <v>9</v>
      </c>
      <c r="H956" t="s">
        <v>195</v>
      </c>
      <c r="I956" t="s">
        <v>738</v>
      </c>
    </row>
    <row r="957" spans="1:9" x14ac:dyDescent="0.2">
      <c r="A957" t="s">
        <v>737</v>
      </c>
      <c r="D957" t="str">
        <f>HYPERLINK("http://nlpdeep.cs.uic.edu:8080/proofing/gsii/532646-assessment-and-plan-0-0.pdf","gsii/532646-assessment-and-plan-0-0.pdf")</f>
        <v>gsii/532646-assessment-and-plan-0-0.pdf</v>
      </c>
      <c r="E957">
        <v>119960</v>
      </c>
      <c r="F957">
        <v>532646</v>
      </c>
      <c r="G957" t="s">
        <v>9</v>
      </c>
      <c r="H957" t="s">
        <v>195</v>
      </c>
      <c r="I957" t="s">
        <v>738</v>
      </c>
    </row>
    <row r="958" spans="1:9" x14ac:dyDescent="0.2">
      <c r="A958" t="s">
        <v>739</v>
      </c>
      <c r="D958" t="str">
        <f>HYPERLINK("http://nlpdeep.cs.uic.edu:8080/proofing/t5/532646-assessment-and-plan-0-1.pdf","t5/532646-assessment-and-plan-0-1.pdf")</f>
        <v>t5/532646-assessment-and-plan-0-1.pdf</v>
      </c>
      <c r="E958">
        <v>119960</v>
      </c>
      <c r="F958">
        <v>532646</v>
      </c>
      <c r="G958" t="s">
        <v>9</v>
      </c>
      <c r="H958" t="s">
        <v>195</v>
      </c>
      <c r="I958" t="s">
        <v>740</v>
      </c>
    </row>
    <row r="959" spans="1:9" x14ac:dyDescent="0.2">
      <c r="A959" t="s">
        <v>739</v>
      </c>
      <c r="D959" t="str">
        <f>HYPERLINK("http://nlpdeep.cs.uic.edu:8080/proofing/gsii/532646-assessment-and-plan-0-1.pdf","gsii/532646-assessment-and-plan-0-1.pdf")</f>
        <v>gsii/532646-assessment-and-plan-0-1.pdf</v>
      </c>
      <c r="E959">
        <v>119960</v>
      </c>
      <c r="F959">
        <v>532646</v>
      </c>
      <c r="G959" t="s">
        <v>9</v>
      </c>
      <c r="H959" t="s">
        <v>195</v>
      </c>
      <c r="I959" t="s">
        <v>740</v>
      </c>
    </row>
    <row r="960" spans="1:9" x14ac:dyDescent="0.2">
      <c r="A960" t="s">
        <v>741</v>
      </c>
      <c r="D960" t="str">
        <f>HYPERLINK("http://nlpdeep.cs.uic.edu:8080/proofing/t5/532646-assessment-and-plan-0-2.pdf","t5/532646-assessment-and-plan-0-2.pdf")</f>
        <v>t5/532646-assessment-and-plan-0-2.pdf</v>
      </c>
      <c r="E960">
        <v>119960</v>
      </c>
      <c r="F960">
        <v>532646</v>
      </c>
      <c r="G960" t="s">
        <v>9</v>
      </c>
      <c r="H960" t="s">
        <v>195</v>
      </c>
      <c r="I960" t="s">
        <v>742</v>
      </c>
    </row>
    <row r="961" spans="1:9" x14ac:dyDescent="0.2">
      <c r="A961" t="s">
        <v>741</v>
      </c>
      <c r="D961" t="str">
        <f>HYPERLINK("http://nlpdeep.cs.uic.edu:8080/proofing/gsii/532646-assessment-and-plan-0-2.pdf","gsii/532646-assessment-and-plan-0-2.pdf")</f>
        <v>gsii/532646-assessment-and-plan-0-2.pdf</v>
      </c>
      <c r="E961">
        <v>119960</v>
      </c>
      <c r="F961">
        <v>532646</v>
      </c>
      <c r="G961" t="s">
        <v>9</v>
      </c>
      <c r="H961" t="s">
        <v>195</v>
      </c>
      <c r="I961" t="s">
        <v>742</v>
      </c>
    </row>
    <row r="962" spans="1:9" x14ac:dyDescent="0.2">
      <c r="A962" t="s">
        <v>743</v>
      </c>
      <c r="D962" t="str">
        <f>HYPERLINK("http://nlpdeep.cs.uic.edu:8080/proofing/t5/532646-code-status-0-0.pdf","t5/532646-code-status-0-0.pdf")</f>
        <v>t5/532646-code-status-0-0.pdf</v>
      </c>
      <c r="E962">
        <v>119960</v>
      </c>
      <c r="F962">
        <v>532646</v>
      </c>
      <c r="G962" t="s">
        <v>9</v>
      </c>
      <c r="H962" t="s">
        <v>201</v>
      </c>
      <c r="I962" t="s">
        <v>536</v>
      </c>
    </row>
    <row r="963" spans="1:9" x14ac:dyDescent="0.2">
      <c r="A963" t="s">
        <v>743</v>
      </c>
      <c r="D963" t="str">
        <f>HYPERLINK("http://nlpdeep.cs.uic.edu:8080/proofing/gsii/532646-code-status-0-0.pdf","gsii/532646-code-status-0-0.pdf")</f>
        <v>gsii/532646-code-status-0-0.pdf</v>
      </c>
      <c r="E963">
        <v>119960</v>
      </c>
      <c r="F963">
        <v>532646</v>
      </c>
      <c r="G963" t="s">
        <v>9</v>
      </c>
      <c r="H963" t="s">
        <v>201</v>
      </c>
      <c r="I963" t="s">
        <v>536</v>
      </c>
    </row>
    <row r="964" spans="1:9" x14ac:dyDescent="0.2">
      <c r="A964" t="s">
        <v>744</v>
      </c>
      <c r="D964" t="str">
        <f>HYPERLINK("http://nlpdeep.cs.uic.edu:8080/proofing/t5/50371-allergies-0-0.pdf","t5/50371-allergies-0-0.pdf")</f>
        <v>t5/50371-allergies-0-0.pdf</v>
      </c>
      <c r="E964">
        <v>119960</v>
      </c>
      <c r="F964">
        <v>50371</v>
      </c>
      <c r="G964" t="s">
        <v>745</v>
      </c>
      <c r="H964" t="s">
        <v>64</v>
      </c>
      <c r="I964" t="s">
        <v>746</v>
      </c>
    </row>
    <row r="965" spans="1:9" x14ac:dyDescent="0.2">
      <c r="A965" t="s">
        <v>744</v>
      </c>
      <c r="D965" t="str">
        <f>HYPERLINK("http://nlpdeep.cs.uic.edu:8080/proofing/gsii/50371-allergies-0-0.pdf","gsii/50371-allergies-0-0.pdf")</f>
        <v>gsii/50371-allergies-0-0.pdf</v>
      </c>
      <c r="E965">
        <v>119960</v>
      </c>
      <c r="F965">
        <v>50371</v>
      </c>
      <c r="G965" t="s">
        <v>745</v>
      </c>
      <c r="H965" t="s">
        <v>64</v>
      </c>
      <c r="I965" t="s">
        <v>746</v>
      </c>
    </row>
    <row r="966" spans="1:9" x14ac:dyDescent="0.2">
      <c r="A966" t="s">
        <v>747</v>
      </c>
      <c r="D966" t="str">
        <f>HYPERLINK("http://nlpdeep.cs.uic.edu:8080/proofing/t5/50371-chief-complaint-0-0.pdf","t5/50371-chief-complaint-0-0.pdf")</f>
        <v>t5/50371-chief-complaint-0-0.pdf</v>
      </c>
      <c r="E966">
        <v>119960</v>
      </c>
      <c r="F966">
        <v>50371</v>
      </c>
      <c r="G966" t="s">
        <v>745</v>
      </c>
      <c r="H966" t="s">
        <v>10</v>
      </c>
      <c r="I966" t="s">
        <v>748</v>
      </c>
    </row>
    <row r="967" spans="1:9" x14ac:dyDescent="0.2">
      <c r="A967" t="s">
        <v>747</v>
      </c>
      <c r="D967" t="str">
        <f>HYPERLINK("http://nlpdeep.cs.uic.edu:8080/proofing/gsii/50371-chief-complaint-0-0.pdf","gsii/50371-chief-complaint-0-0.pdf")</f>
        <v>gsii/50371-chief-complaint-0-0.pdf</v>
      </c>
      <c r="E967">
        <v>119960</v>
      </c>
      <c r="F967">
        <v>50371</v>
      </c>
      <c r="G967" t="s">
        <v>745</v>
      </c>
      <c r="H967" t="s">
        <v>10</v>
      </c>
      <c r="I967" t="s">
        <v>748</v>
      </c>
    </row>
    <row r="968" spans="1:9" x14ac:dyDescent="0.2">
      <c r="A968" t="s">
        <v>749</v>
      </c>
      <c r="D968" t="str">
        <f>HYPERLINK("http://nlpdeep.cs.uic.edu:8080/proofing/t5/50371-major-surgical-or-invasive-procedure-0-0.pdf","t5/50371-major-surgical-or-invasive-procedure-0-0.pdf")</f>
        <v>t5/50371-major-surgical-or-invasive-procedure-0-0.pdf</v>
      </c>
      <c r="E968">
        <v>119960</v>
      </c>
      <c r="F968">
        <v>50371</v>
      </c>
      <c r="G968" t="s">
        <v>745</v>
      </c>
      <c r="H968" t="s">
        <v>750</v>
      </c>
      <c r="I968" t="s">
        <v>751</v>
      </c>
    </row>
    <row r="969" spans="1:9" x14ac:dyDescent="0.2">
      <c r="A969" t="s">
        <v>749</v>
      </c>
      <c r="D969" t="str">
        <f>HYPERLINK("http://nlpdeep.cs.uic.edu:8080/proofing/gsii/50371-major-surgical-or-invasive-procedure-0-0.pdf","gsii/50371-major-surgical-or-invasive-procedure-0-0.pdf")</f>
        <v>gsii/50371-major-surgical-or-invasive-procedure-0-0.pdf</v>
      </c>
      <c r="E969">
        <v>119960</v>
      </c>
      <c r="F969">
        <v>50371</v>
      </c>
      <c r="G969" t="s">
        <v>745</v>
      </c>
      <c r="H969" t="s">
        <v>750</v>
      </c>
      <c r="I969" t="s">
        <v>751</v>
      </c>
    </row>
    <row r="970" spans="1:9" x14ac:dyDescent="0.2">
      <c r="A970" t="s">
        <v>752</v>
      </c>
      <c r="D970" t="str">
        <f>HYPERLINK("http://nlpdeep.cs.uic.edu:8080/proofing/t5/50371-history-of-present-illness-0-0.pdf","t5/50371-history-of-present-illness-0-0.pdf")</f>
        <v>t5/50371-history-of-present-illness-0-0.pdf</v>
      </c>
      <c r="E970">
        <v>119960</v>
      </c>
      <c r="F970">
        <v>50371</v>
      </c>
      <c r="G970" t="s">
        <v>745</v>
      </c>
      <c r="H970" t="s">
        <v>13</v>
      </c>
      <c r="I970" t="s">
        <v>753</v>
      </c>
    </row>
    <row r="971" spans="1:9" x14ac:dyDescent="0.2">
      <c r="A971" t="s">
        <v>752</v>
      </c>
      <c r="D971" t="str">
        <f>HYPERLINK("http://nlpdeep.cs.uic.edu:8080/proofing/gsii/50371-history-of-present-illness-0-0.pdf","gsii/50371-history-of-present-illness-0-0.pdf")</f>
        <v>gsii/50371-history-of-present-illness-0-0.pdf</v>
      </c>
      <c r="E971">
        <v>119960</v>
      </c>
      <c r="F971">
        <v>50371</v>
      </c>
      <c r="G971" t="s">
        <v>745</v>
      </c>
      <c r="H971" t="s">
        <v>13</v>
      </c>
      <c r="I971" t="s">
        <v>753</v>
      </c>
    </row>
    <row r="972" spans="1:9" x14ac:dyDescent="0.2">
      <c r="A972" t="s">
        <v>754</v>
      </c>
      <c r="D972" t="str">
        <f>HYPERLINK("http://nlpdeep.cs.uic.edu:8080/proofing/t5/50371-history-of-present-illness-0-1.pdf","t5/50371-history-of-present-illness-0-1.pdf")</f>
        <v>t5/50371-history-of-present-illness-0-1.pdf</v>
      </c>
      <c r="E972">
        <v>119960</v>
      </c>
      <c r="F972">
        <v>50371</v>
      </c>
      <c r="G972" t="s">
        <v>745</v>
      </c>
      <c r="H972" t="s">
        <v>13</v>
      </c>
      <c r="I972" t="s">
        <v>755</v>
      </c>
    </row>
    <row r="973" spans="1:9" x14ac:dyDescent="0.2">
      <c r="A973" t="s">
        <v>754</v>
      </c>
      <c r="D973" t="str">
        <f>HYPERLINK("http://nlpdeep.cs.uic.edu:8080/proofing/gsii/50371-history-of-present-illness-0-1.pdf","gsii/50371-history-of-present-illness-0-1.pdf")</f>
        <v>gsii/50371-history-of-present-illness-0-1.pdf</v>
      </c>
      <c r="E973">
        <v>119960</v>
      </c>
      <c r="F973">
        <v>50371</v>
      </c>
      <c r="G973" t="s">
        <v>745</v>
      </c>
      <c r="H973" t="s">
        <v>13</v>
      </c>
      <c r="I973" t="s">
        <v>755</v>
      </c>
    </row>
    <row r="974" spans="1:9" x14ac:dyDescent="0.2">
      <c r="A974" t="s">
        <v>756</v>
      </c>
      <c r="D974" t="str">
        <f>HYPERLINK("http://nlpdeep.cs.uic.edu:8080/proofing/t5/50371-history-of-present-illness-0-2.pdf","t5/50371-history-of-present-illness-0-2.pdf")</f>
        <v>t5/50371-history-of-present-illness-0-2.pdf</v>
      </c>
      <c r="E974">
        <v>119960</v>
      </c>
      <c r="F974">
        <v>50371</v>
      </c>
      <c r="G974" t="s">
        <v>745</v>
      </c>
      <c r="H974" t="s">
        <v>13</v>
      </c>
      <c r="I974" t="s">
        <v>757</v>
      </c>
    </row>
    <row r="975" spans="1:9" x14ac:dyDescent="0.2">
      <c r="A975" t="s">
        <v>756</v>
      </c>
      <c r="D975" t="str">
        <f>HYPERLINK("http://nlpdeep.cs.uic.edu:8080/proofing/gsii/50371-history-of-present-illness-0-2.pdf","gsii/50371-history-of-present-illness-0-2.pdf")</f>
        <v>gsii/50371-history-of-present-illness-0-2.pdf</v>
      </c>
      <c r="E975">
        <v>119960</v>
      </c>
      <c r="F975">
        <v>50371</v>
      </c>
      <c r="G975" t="s">
        <v>745</v>
      </c>
      <c r="H975" t="s">
        <v>13</v>
      </c>
      <c r="I975" t="s">
        <v>757</v>
      </c>
    </row>
    <row r="976" spans="1:9" x14ac:dyDescent="0.2">
      <c r="A976" t="s">
        <v>758</v>
      </c>
      <c r="D976" t="str">
        <f>HYPERLINK("http://nlpdeep.cs.uic.edu:8080/proofing/t5/50371-history-of-present-illness-0-3.pdf","t5/50371-history-of-present-illness-0-3.pdf")</f>
        <v>t5/50371-history-of-present-illness-0-3.pdf</v>
      </c>
      <c r="E976">
        <v>119960</v>
      </c>
      <c r="F976">
        <v>50371</v>
      </c>
      <c r="G976" t="s">
        <v>745</v>
      </c>
      <c r="H976" t="s">
        <v>13</v>
      </c>
      <c r="I976" t="s">
        <v>759</v>
      </c>
    </row>
    <row r="977" spans="1:9" x14ac:dyDescent="0.2">
      <c r="A977" t="s">
        <v>758</v>
      </c>
      <c r="D977" t="str">
        <f>HYPERLINK("http://nlpdeep.cs.uic.edu:8080/proofing/gsii/50371-history-of-present-illness-0-3.pdf","gsii/50371-history-of-present-illness-0-3.pdf")</f>
        <v>gsii/50371-history-of-present-illness-0-3.pdf</v>
      </c>
      <c r="E977">
        <v>119960</v>
      </c>
      <c r="F977">
        <v>50371</v>
      </c>
      <c r="G977" t="s">
        <v>745</v>
      </c>
      <c r="H977" t="s">
        <v>13</v>
      </c>
      <c r="I977" t="s">
        <v>759</v>
      </c>
    </row>
    <row r="978" spans="1:9" x14ac:dyDescent="0.2">
      <c r="A978" t="s">
        <v>760</v>
      </c>
      <c r="D978" t="str">
        <f>HYPERLINK("http://nlpdeep.cs.uic.edu:8080/proofing/t5/50371-history-of-present-illness-0-4.pdf","t5/50371-history-of-present-illness-0-4.pdf")</f>
        <v>t5/50371-history-of-present-illness-0-4.pdf</v>
      </c>
      <c r="E978">
        <v>119960</v>
      </c>
      <c r="F978">
        <v>50371</v>
      </c>
      <c r="G978" t="s">
        <v>745</v>
      </c>
      <c r="H978" t="s">
        <v>13</v>
      </c>
      <c r="I978" t="s">
        <v>761</v>
      </c>
    </row>
    <row r="979" spans="1:9" x14ac:dyDescent="0.2">
      <c r="A979" t="s">
        <v>760</v>
      </c>
      <c r="D979" t="str">
        <f>HYPERLINK("http://nlpdeep.cs.uic.edu:8080/proofing/gsii/50371-history-of-present-illness-0-4.pdf","gsii/50371-history-of-present-illness-0-4.pdf")</f>
        <v>gsii/50371-history-of-present-illness-0-4.pdf</v>
      </c>
      <c r="E979">
        <v>119960</v>
      </c>
      <c r="F979">
        <v>50371</v>
      </c>
      <c r="G979" t="s">
        <v>745</v>
      </c>
      <c r="H979" t="s">
        <v>13</v>
      </c>
      <c r="I979" t="s">
        <v>761</v>
      </c>
    </row>
    <row r="980" spans="1:9" x14ac:dyDescent="0.2">
      <c r="A980" t="s">
        <v>762</v>
      </c>
      <c r="D980" t="str">
        <f>HYPERLINK("http://nlpdeep.cs.uic.edu:8080/proofing/t5/50371-history-of-present-illness-0-5.pdf","t5/50371-history-of-present-illness-0-5.pdf")</f>
        <v>t5/50371-history-of-present-illness-0-5.pdf</v>
      </c>
      <c r="E980">
        <v>119960</v>
      </c>
      <c r="F980">
        <v>50371</v>
      </c>
      <c r="G980" t="s">
        <v>745</v>
      </c>
      <c r="H980" t="s">
        <v>13</v>
      </c>
      <c r="I980" t="s">
        <v>763</v>
      </c>
    </row>
    <row r="981" spans="1:9" x14ac:dyDescent="0.2">
      <c r="A981" t="s">
        <v>762</v>
      </c>
      <c r="D981" t="str">
        <f>HYPERLINK("http://nlpdeep.cs.uic.edu:8080/proofing/gsii/50371-history-of-present-illness-0-5.pdf","gsii/50371-history-of-present-illness-0-5.pdf")</f>
        <v>gsii/50371-history-of-present-illness-0-5.pdf</v>
      </c>
      <c r="E981">
        <v>119960</v>
      </c>
      <c r="F981">
        <v>50371</v>
      </c>
      <c r="G981" t="s">
        <v>745</v>
      </c>
      <c r="H981" t="s">
        <v>13</v>
      </c>
      <c r="I981" t="s">
        <v>763</v>
      </c>
    </row>
    <row r="982" spans="1:9" x14ac:dyDescent="0.2">
      <c r="A982" t="s">
        <v>764</v>
      </c>
      <c r="D982" t="str">
        <f>HYPERLINK("http://nlpdeep.cs.uic.edu:8080/proofing/t5/50371-history-of-present-illness-1-0.pdf","t5/50371-history-of-present-illness-1-0.pdf")</f>
        <v>t5/50371-history-of-present-illness-1-0.pdf</v>
      </c>
      <c r="E982">
        <v>119960</v>
      </c>
      <c r="F982">
        <v>50371</v>
      </c>
      <c r="G982" t="s">
        <v>745</v>
      </c>
      <c r="H982" t="s">
        <v>13</v>
      </c>
      <c r="I982" t="s">
        <v>765</v>
      </c>
    </row>
    <row r="983" spans="1:9" x14ac:dyDescent="0.2">
      <c r="A983" t="s">
        <v>764</v>
      </c>
      <c r="D983" t="str">
        <f>HYPERLINK("http://nlpdeep.cs.uic.edu:8080/proofing/gsii/50371-history-of-present-illness-1-0.pdf","gsii/50371-history-of-present-illness-1-0.pdf")</f>
        <v>gsii/50371-history-of-present-illness-1-0.pdf</v>
      </c>
      <c r="E983">
        <v>119960</v>
      </c>
      <c r="F983">
        <v>50371</v>
      </c>
      <c r="G983" t="s">
        <v>745</v>
      </c>
      <c r="H983" t="s">
        <v>13</v>
      </c>
      <c r="I983" t="s">
        <v>765</v>
      </c>
    </row>
    <row r="984" spans="1:9" x14ac:dyDescent="0.2">
      <c r="A984" t="s">
        <v>766</v>
      </c>
      <c r="D984" t="str">
        <f>HYPERLINK("http://nlpdeep.cs.uic.edu:8080/proofing/t5/50371-history-of-present-illness-1-1.pdf","t5/50371-history-of-present-illness-1-1.pdf")</f>
        <v>t5/50371-history-of-present-illness-1-1.pdf</v>
      </c>
      <c r="E984">
        <v>119960</v>
      </c>
      <c r="F984">
        <v>50371</v>
      </c>
      <c r="G984" t="s">
        <v>745</v>
      </c>
      <c r="H984" t="s">
        <v>13</v>
      </c>
      <c r="I984" t="s">
        <v>767</v>
      </c>
    </row>
    <row r="985" spans="1:9" x14ac:dyDescent="0.2">
      <c r="A985" t="s">
        <v>766</v>
      </c>
      <c r="D985" t="str">
        <f>HYPERLINK("http://nlpdeep.cs.uic.edu:8080/proofing/gsii/50371-history-of-present-illness-1-1.pdf","gsii/50371-history-of-present-illness-1-1.pdf")</f>
        <v>gsii/50371-history-of-present-illness-1-1.pdf</v>
      </c>
      <c r="E985">
        <v>119960</v>
      </c>
      <c r="F985">
        <v>50371</v>
      </c>
      <c r="G985" t="s">
        <v>745</v>
      </c>
      <c r="H985" t="s">
        <v>13</v>
      </c>
      <c r="I985" t="s">
        <v>767</v>
      </c>
    </row>
    <row r="986" spans="1:9" x14ac:dyDescent="0.2">
      <c r="A986" t="s">
        <v>768</v>
      </c>
      <c r="D986" t="str">
        <f>HYPERLINK("http://nlpdeep.cs.uic.edu:8080/proofing/t5/50371-history-of-present-illness-1-2.pdf","t5/50371-history-of-present-illness-1-2.pdf")</f>
        <v>t5/50371-history-of-present-illness-1-2.pdf</v>
      </c>
      <c r="E986">
        <v>119960</v>
      </c>
      <c r="F986">
        <v>50371</v>
      </c>
      <c r="G986" t="s">
        <v>745</v>
      </c>
      <c r="H986" t="s">
        <v>13</v>
      </c>
      <c r="I986" t="s">
        <v>769</v>
      </c>
    </row>
    <row r="987" spans="1:9" x14ac:dyDescent="0.2">
      <c r="A987" t="s">
        <v>768</v>
      </c>
      <c r="D987" t="str">
        <f>HYPERLINK("http://nlpdeep.cs.uic.edu:8080/proofing/gsii/50371-history-of-present-illness-1-2.pdf","gsii/50371-history-of-present-illness-1-2.pdf")</f>
        <v>gsii/50371-history-of-present-illness-1-2.pdf</v>
      </c>
      <c r="E987">
        <v>119960</v>
      </c>
      <c r="F987">
        <v>50371</v>
      </c>
      <c r="G987" t="s">
        <v>745</v>
      </c>
      <c r="H987" t="s">
        <v>13</v>
      </c>
      <c r="I987" t="s">
        <v>769</v>
      </c>
    </row>
    <row r="988" spans="1:9" x14ac:dyDescent="0.2">
      <c r="A988" t="s">
        <v>770</v>
      </c>
      <c r="D988" t="str">
        <f>HYPERLINK("http://nlpdeep.cs.uic.edu:8080/proofing/t5/50371-history-of-present-illness-1-3.pdf","t5/50371-history-of-present-illness-1-3.pdf")</f>
        <v>t5/50371-history-of-present-illness-1-3.pdf</v>
      </c>
      <c r="E988">
        <v>119960</v>
      </c>
      <c r="F988">
        <v>50371</v>
      </c>
      <c r="G988" t="s">
        <v>745</v>
      </c>
      <c r="H988" t="s">
        <v>13</v>
      </c>
      <c r="I988" t="s">
        <v>771</v>
      </c>
    </row>
    <row r="989" spans="1:9" x14ac:dyDescent="0.2">
      <c r="A989" t="s">
        <v>770</v>
      </c>
      <c r="D989" t="str">
        <f>HYPERLINK("http://nlpdeep.cs.uic.edu:8080/proofing/gsii/50371-history-of-present-illness-1-3.pdf","gsii/50371-history-of-present-illness-1-3.pdf")</f>
        <v>gsii/50371-history-of-present-illness-1-3.pdf</v>
      </c>
      <c r="E989">
        <v>119960</v>
      </c>
      <c r="F989">
        <v>50371</v>
      </c>
      <c r="G989" t="s">
        <v>745</v>
      </c>
      <c r="H989" t="s">
        <v>13</v>
      </c>
      <c r="I989" t="s">
        <v>771</v>
      </c>
    </row>
    <row r="990" spans="1:9" x14ac:dyDescent="0.2">
      <c r="A990" t="s">
        <v>772</v>
      </c>
      <c r="D990" t="str">
        <f>HYPERLINK("http://nlpdeep.cs.uic.edu:8080/proofing/t5/50371-history-of-present-illness-1-4.pdf","t5/50371-history-of-present-illness-1-4.pdf")</f>
        <v>t5/50371-history-of-present-illness-1-4.pdf</v>
      </c>
      <c r="E990">
        <v>119960</v>
      </c>
      <c r="F990">
        <v>50371</v>
      </c>
      <c r="G990" t="s">
        <v>745</v>
      </c>
      <c r="H990" t="s">
        <v>13</v>
      </c>
      <c r="I990" t="s">
        <v>773</v>
      </c>
    </row>
    <row r="991" spans="1:9" x14ac:dyDescent="0.2">
      <c r="A991" t="s">
        <v>772</v>
      </c>
      <c r="D991" t="str">
        <f>HYPERLINK("http://nlpdeep.cs.uic.edu:8080/proofing/gsii/50371-history-of-present-illness-1-4.pdf","gsii/50371-history-of-present-illness-1-4.pdf")</f>
        <v>gsii/50371-history-of-present-illness-1-4.pdf</v>
      </c>
      <c r="E991">
        <v>119960</v>
      </c>
      <c r="F991">
        <v>50371</v>
      </c>
      <c r="G991" t="s">
        <v>745</v>
      </c>
      <c r="H991" t="s">
        <v>13</v>
      </c>
      <c r="I991" t="s">
        <v>773</v>
      </c>
    </row>
    <row r="992" spans="1:9" x14ac:dyDescent="0.2">
      <c r="A992" t="s">
        <v>774</v>
      </c>
      <c r="D992" t="str">
        <f>HYPERLINK("http://nlpdeep.cs.uic.edu:8080/proofing/t5/50371-history-of-present-illness-2-0.pdf","t5/50371-history-of-present-illness-2-0.pdf")</f>
        <v>t5/50371-history-of-present-illness-2-0.pdf</v>
      </c>
      <c r="E992">
        <v>119960</v>
      </c>
      <c r="F992">
        <v>50371</v>
      </c>
      <c r="G992" t="s">
        <v>745</v>
      </c>
      <c r="H992" t="s">
        <v>13</v>
      </c>
      <c r="I992" t="s">
        <v>775</v>
      </c>
    </row>
    <row r="993" spans="1:9" x14ac:dyDescent="0.2">
      <c r="A993" t="s">
        <v>774</v>
      </c>
      <c r="D993" t="str">
        <f>HYPERLINK("http://nlpdeep.cs.uic.edu:8080/proofing/gsii/50371-history-of-present-illness-2-0.pdf","gsii/50371-history-of-present-illness-2-0.pdf")</f>
        <v>gsii/50371-history-of-present-illness-2-0.pdf</v>
      </c>
      <c r="E993">
        <v>119960</v>
      </c>
      <c r="F993">
        <v>50371</v>
      </c>
      <c r="G993" t="s">
        <v>745</v>
      </c>
      <c r="H993" t="s">
        <v>13</v>
      </c>
      <c r="I993" t="s">
        <v>775</v>
      </c>
    </row>
    <row r="994" spans="1:9" x14ac:dyDescent="0.2">
      <c r="A994" t="s">
        <v>776</v>
      </c>
      <c r="D994" t="str">
        <f>HYPERLINK("http://nlpdeep.cs.uic.edu:8080/proofing/t5/50371-history-of-present-illness-2-1.pdf","t5/50371-history-of-present-illness-2-1.pdf")</f>
        <v>t5/50371-history-of-present-illness-2-1.pdf</v>
      </c>
      <c r="E994">
        <v>119960</v>
      </c>
      <c r="F994">
        <v>50371</v>
      </c>
      <c r="G994" t="s">
        <v>745</v>
      </c>
      <c r="H994" t="s">
        <v>13</v>
      </c>
      <c r="I994" t="s">
        <v>777</v>
      </c>
    </row>
    <row r="995" spans="1:9" x14ac:dyDescent="0.2">
      <c r="A995" t="s">
        <v>776</v>
      </c>
      <c r="D995" t="str">
        <f>HYPERLINK("http://nlpdeep.cs.uic.edu:8080/proofing/gsii/50371-history-of-present-illness-2-1.pdf","gsii/50371-history-of-present-illness-2-1.pdf")</f>
        <v>gsii/50371-history-of-present-illness-2-1.pdf</v>
      </c>
      <c r="E995">
        <v>119960</v>
      </c>
      <c r="F995">
        <v>50371</v>
      </c>
      <c r="G995" t="s">
        <v>745</v>
      </c>
      <c r="H995" t="s">
        <v>13</v>
      </c>
      <c r="I995" t="s">
        <v>777</v>
      </c>
    </row>
    <row r="996" spans="1:9" x14ac:dyDescent="0.2">
      <c r="A996" t="s">
        <v>778</v>
      </c>
      <c r="D996" t="str">
        <f>HYPERLINK("http://nlpdeep.cs.uic.edu:8080/proofing/t5/50371-history-of-present-illness-2-2.pdf","t5/50371-history-of-present-illness-2-2.pdf")</f>
        <v>t5/50371-history-of-present-illness-2-2.pdf</v>
      </c>
      <c r="E996">
        <v>119960</v>
      </c>
      <c r="F996">
        <v>50371</v>
      </c>
      <c r="G996" t="s">
        <v>745</v>
      </c>
      <c r="H996" t="s">
        <v>13</v>
      </c>
      <c r="I996" t="s">
        <v>779</v>
      </c>
    </row>
    <row r="997" spans="1:9" x14ac:dyDescent="0.2">
      <c r="A997" t="s">
        <v>778</v>
      </c>
      <c r="D997" t="str">
        <f>HYPERLINK("http://nlpdeep.cs.uic.edu:8080/proofing/gsii/50371-history-of-present-illness-2-2.pdf","gsii/50371-history-of-present-illness-2-2.pdf")</f>
        <v>gsii/50371-history-of-present-illness-2-2.pdf</v>
      </c>
      <c r="E997">
        <v>119960</v>
      </c>
      <c r="F997">
        <v>50371</v>
      </c>
      <c r="G997" t="s">
        <v>745</v>
      </c>
      <c r="H997" t="s">
        <v>13</v>
      </c>
      <c r="I997" t="s">
        <v>779</v>
      </c>
    </row>
    <row r="998" spans="1:9" x14ac:dyDescent="0.2">
      <c r="A998" t="s">
        <v>780</v>
      </c>
      <c r="D998" t="str">
        <f>HYPERLINK("http://nlpdeep.cs.uic.edu:8080/proofing/t5/50371-history-of-present-illness-2-3.pdf","t5/50371-history-of-present-illness-2-3.pdf")</f>
        <v>t5/50371-history-of-present-illness-2-3.pdf</v>
      </c>
      <c r="E998">
        <v>119960</v>
      </c>
      <c r="F998">
        <v>50371</v>
      </c>
      <c r="G998" t="s">
        <v>745</v>
      </c>
      <c r="H998" t="s">
        <v>13</v>
      </c>
      <c r="I998" t="s">
        <v>781</v>
      </c>
    </row>
    <row r="999" spans="1:9" x14ac:dyDescent="0.2">
      <c r="A999" t="s">
        <v>780</v>
      </c>
      <c r="D999" t="str">
        <f>HYPERLINK("http://nlpdeep.cs.uic.edu:8080/proofing/gsii/50371-history-of-present-illness-2-3.pdf","gsii/50371-history-of-present-illness-2-3.pdf")</f>
        <v>gsii/50371-history-of-present-illness-2-3.pdf</v>
      </c>
      <c r="E999">
        <v>119960</v>
      </c>
      <c r="F999">
        <v>50371</v>
      </c>
      <c r="G999" t="s">
        <v>745</v>
      </c>
      <c r="H999" t="s">
        <v>13</v>
      </c>
      <c r="I999" t="s">
        <v>781</v>
      </c>
    </row>
    <row r="1000" spans="1:9" x14ac:dyDescent="0.2">
      <c r="A1000" t="s">
        <v>782</v>
      </c>
      <c r="D1000" t="str">
        <f>HYPERLINK("http://nlpdeep.cs.uic.edu:8080/proofing/t5/50371-history-of-present-illness-2-4.pdf","t5/50371-history-of-present-illness-2-4.pdf")</f>
        <v>t5/50371-history-of-present-illness-2-4.pdf</v>
      </c>
      <c r="E1000">
        <v>119960</v>
      </c>
      <c r="F1000">
        <v>50371</v>
      </c>
      <c r="G1000" t="s">
        <v>745</v>
      </c>
      <c r="H1000" t="s">
        <v>13</v>
      </c>
      <c r="I1000" t="s">
        <v>783</v>
      </c>
    </row>
    <row r="1001" spans="1:9" x14ac:dyDescent="0.2">
      <c r="A1001" t="s">
        <v>782</v>
      </c>
      <c r="D1001" t="str">
        <f>HYPERLINK("http://nlpdeep.cs.uic.edu:8080/proofing/gsii/50371-history-of-present-illness-2-4.pdf","gsii/50371-history-of-present-illness-2-4.pdf")</f>
        <v>gsii/50371-history-of-present-illness-2-4.pdf</v>
      </c>
      <c r="E1001">
        <v>119960</v>
      </c>
      <c r="F1001">
        <v>50371</v>
      </c>
      <c r="G1001" t="s">
        <v>745</v>
      </c>
      <c r="H1001" t="s">
        <v>13</v>
      </c>
      <c r="I1001" t="s">
        <v>783</v>
      </c>
    </row>
    <row r="1002" spans="1:9" x14ac:dyDescent="0.2">
      <c r="A1002" t="s">
        <v>784</v>
      </c>
      <c r="D1002" t="str">
        <f>HYPERLINK("http://nlpdeep.cs.uic.edu:8080/proofing/t5/50371-history-of-present-illness-2-5.pdf","t5/50371-history-of-present-illness-2-5.pdf")</f>
        <v>t5/50371-history-of-present-illness-2-5.pdf</v>
      </c>
      <c r="E1002">
        <v>119960</v>
      </c>
      <c r="F1002">
        <v>50371</v>
      </c>
      <c r="G1002" t="s">
        <v>745</v>
      </c>
      <c r="H1002" t="s">
        <v>13</v>
      </c>
      <c r="I1002" t="s">
        <v>785</v>
      </c>
    </row>
    <row r="1003" spans="1:9" x14ac:dyDescent="0.2">
      <c r="A1003" t="s">
        <v>784</v>
      </c>
      <c r="D1003" t="str">
        <f>HYPERLINK("http://nlpdeep.cs.uic.edu:8080/proofing/gsii/50371-history-of-present-illness-2-5.pdf","gsii/50371-history-of-present-illness-2-5.pdf")</f>
        <v>gsii/50371-history-of-present-illness-2-5.pdf</v>
      </c>
      <c r="E1003">
        <v>119960</v>
      </c>
      <c r="F1003">
        <v>50371</v>
      </c>
      <c r="G1003" t="s">
        <v>745</v>
      </c>
      <c r="H1003" t="s">
        <v>13</v>
      </c>
      <c r="I1003" t="s">
        <v>785</v>
      </c>
    </row>
    <row r="1004" spans="1:9" x14ac:dyDescent="0.2">
      <c r="A1004" t="s">
        <v>786</v>
      </c>
      <c r="D1004" t="str">
        <f>HYPERLINK("http://nlpdeep.cs.uic.edu:8080/proofing/t5/50371-history-of-present-illness-2-6.pdf","t5/50371-history-of-present-illness-2-6.pdf")</f>
        <v>t5/50371-history-of-present-illness-2-6.pdf</v>
      </c>
      <c r="E1004">
        <v>119960</v>
      </c>
      <c r="F1004">
        <v>50371</v>
      </c>
      <c r="G1004" t="s">
        <v>745</v>
      </c>
      <c r="H1004" t="s">
        <v>13</v>
      </c>
      <c r="I1004" t="s">
        <v>787</v>
      </c>
    </row>
    <row r="1005" spans="1:9" x14ac:dyDescent="0.2">
      <c r="A1005" t="s">
        <v>786</v>
      </c>
      <c r="D1005" t="str">
        <f>HYPERLINK("http://nlpdeep.cs.uic.edu:8080/proofing/gsii/50371-history-of-present-illness-2-6.pdf","gsii/50371-history-of-present-illness-2-6.pdf")</f>
        <v>gsii/50371-history-of-present-illness-2-6.pdf</v>
      </c>
      <c r="E1005">
        <v>119960</v>
      </c>
      <c r="F1005">
        <v>50371</v>
      </c>
      <c r="G1005" t="s">
        <v>745</v>
      </c>
      <c r="H1005" t="s">
        <v>13</v>
      </c>
      <c r="I1005" t="s">
        <v>787</v>
      </c>
    </row>
    <row r="1006" spans="1:9" x14ac:dyDescent="0.2">
      <c r="A1006" t="s">
        <v>788</v>
      </c>
      <c r="D1006" t="str">
        <f>HYPERLINK("http://nlpdeep.cs.uic.edu:8080/proofing/t5/50371-history-of-present-illness-2-7.pdf","t5/50371-history-of-present-illness-2-7.pdf")</f>
        <v>t5/50371-history-of-present-illness-2-7.pdf</v>
      </c>
      <c r="E1006">
        <v>119960</v>
      </c>
      <c r="F1006">
        <v>50371</v>
      </c>
      <c r="G1006" t="s">
        <v>745</v>
      </c>
      <c r="H1006" t="s">
        <v>13</v>
      </c>
      <c r="I1006" t="s">
        <v>789</v>
      </c>
    </row>
    <row r="1007" spans="1:9" x14ac:dyDescent="0.2">
      <c r="A1007" t="s">
        <v>788</v>
      </c>
      <c r="D1007" t="str">
        <f>HYPERLINK("http://nlpdeep.cs.uic.edu:8080/proofing/gsii/50371-history-of-present-illness-2-7.pdf","gsii/50371-history-of-present-illness-2-7.pdf")</f>
        <v>gsii/50371-history-of-present-illness-2-7.pdf</v>
      </c>
      <c r="E1007">
        <v>119960</v>
      </c>
      <c r="F1007">
        <v>50371</v>
      </c>
      <c r="G1007" t="s">
        <v>745</v>
      </c>
      <c r="H1007" t="s">
        <v>13</v>
      </c>
      <c r="I1007" t="s">
        <v>789</v>
      </c>
    </row>
    <row r="1008" spans="1:9" x14ac:dyDescent="0.2">
      <c r="A1008" t="s">
        <v>790</v>
      </c>
      <c r="D1008" t="str">
        <f>HYPERLINK("http://nlpdeep.cs.uic.edu:8080/proofing/t5/50371-history-of-present-illness-2-8.pdf","t5/50371-history-of-present-illness-2-8.pdf")</f>
        <v>t5/50371-history-of-present-illness-2-8.pdf</v>
      </c>
      <c r="E1008">
        <v>119960</v>
      </c>
      <c r="F1008">
        <v>50371</v>
      </c>
      <c r="G1008" t="s">
        <v>745</v>
      </c>
      <c r="H1008" t="s">
        <v>13</v>
      </c>
      <c r="I1008" t="s">
        <v>791</v>
      </c>
    </row>
    <row r="1009" spans="1:9" x14ac:dyDescent="0.2">
      <c r="A1009" t="s">
        <v>790</v>
      </c>
      <c r="D1009" t="str">
        <f>HYPERLINK("http://nlpdeep.cs.uic.edu:8080/proofing/gsii/50371-history-of-present-illness-2-8.pdf","gsii/50371-history-of-present-illness-2-8.pdf")</f>
        <v>gsii/50371-history-of-present-illness-2-8.pdf</v>
      </c>
      <c r="E1009">
        <v>119960</v>
      </c>
      <c r="F1009">
        <v>50371</v>
      </c>
      <c r="G1009" t="s">
        <v>745</v>
      </c>
      <c r="H1009" t="s">
        <v>13</v>
      </c>
      <c r="I1009" t="s">
        <v>791</v>
      </c>
    </row>
    <row r="1010" spans="1:9" x14ac:dyDescent="0.2">
      <c r="A1010" t="s">
        <v>792</v>
      </c>
      <c r="D1010" t="str">
        <f>HYPERLINK("http://nlpdeep.cs.uic.edu:8080/proofing/t5/50371-history-of-present-illness-3-0.pdf","t5/50371-history-of-present-illness-3-0.pdf")</f>
        <v>t5/50371-history-of-present-illness-3-0.pdf</v>
      </c>
      <c r="E1010">
        <v>119960</v>
      </c>
      <c r="F1010">
        <v>50371</v>
      </c>
      <c r="G1010" t="s">
        <v>745</v>
      </c>
      <c r="H1010" t="s">
        <v>13</v>
      </c>
      <c r="I1010" t="s">
        <v>793</v>
      </c>
    </row>
    <row r="1011" spans="1:9" x14ac:dyDescent="0.2">
      <c r="A1011" t="s">
        <v>792</v>
      </c>
      <c r="D1011" t="str">
        <f>HYPERLINK("http://nlpdeep.cs.uic.edu:8080/proofing/gsii/50371-history-of-present-illness-3-0.pdf","gsii/50371-history-of-present-illness-3-0.pdf")</f>
        <v>gsii/50371-history-of-present-illness-3-0.pdf</v>
      </c>
      <c r="E1011">
        <v>119960</v>
      </c>
      <c r="F1011">
        <v>50371</v>
      </c>
      <c r="G1011" t="s">
        <v>745</v>
      </c>
      <c r="H1011" t="s">
        <v>13</v>
      </c>
      <c r="I1011" t="s">
        <v>793</v>
      </c>
    </row>
    <row r="1012" spans="1:9" x14ac:dyDescent="0.2">
      <c r="A1012" t="s">
        <v>794</v>
      </c>
      <c r="D1012" t="str">
        <f>HYPERLINK("http://nlpdeep.cs.uic.edu:8080/proofing/t5/50371-history-of-present-illness-4-0.pdf","t5/50371-history-of-present-illness-4-0.pdf")</f>
        <v>t5/50371-history-of-present-illness-4-0.pdf</v>
      </c>
      <c r="E1012">
        <v>119960</v>
      </c>
      <c r="F1012">
        <v>50371</v>
      </c>
      <c r="G1012" t="s">
        <v>745</v>
      </c>
      <c r="H1012" t="s">
        <v>13</v>
      </c>
      <c r="I1012" t="s">
        <v>795</v>
      </c>
    </row>
    <row r="1013" spans="1:9" x14ac:dyDescent="0.2">
      <c r="A1013" t="s">
        <v>794</v>
      </c>
      <c r="D1013" t="str">
        <f>HYPERLINK("http://nlpdeep.cs.uic.edu:8080/proofing/gsii/50371-history-of-present-illness-4-0.pdf","gsii/50371-history-of-present-illness-4-0.pdf")</f>
        <v>gsii/50371-history-of-present-illness-4-0.pdf</v>
      </c>
      <c r="E1013">
        <v>119960</v>
      </c>
      <c r="F1013">
        <v>50371</v>
      </c>
      <c r="G1013" t="s">
        <v>745</v>
      </c>
      <c r="H1013" t="s">
        <v>13</v>
      </c>
      <c r="I1013" t="s">
        <v>795</v>
      </c>
    </row>
    <row r="1014" spans="1:9" x14ac:dyDescent="0.2">
      <c r="A1014" t="s">
        <v>796</v>
      </c>
      <c r="D1014" t="str">
        <f>HYPERLINK("http://nlpdeep.cs.uic.edu:8080/proofing/t5/50371-history-of-present-illness-4-1.pdf","t5/50371-history-of-present-illness-4-1.pdf")</f>
        <v>t5/50371-history-of-present-illness-4-1.pdf</v>
      </c>
      <c r="E1014">
        <v>119960</v>
      </c>
      <c r="F1014">
        <v>50371</v>
      </c>
      <c r="G1014" t="s">
        <v>745</v>
      </c>
      <c r="H1014" t="s">
        <v>13</v>
      </c>
      <c r="I1014" t="s">
        <v>797</v>
      </c>
    </row>
    <row r="1015" spans="1:9" x14ac:dyDescent="0.2">
      <c r="A1015" t="s">
        <v>796</v>
      </c>
      <c r="D1015" t="str">
        <f>HYPERLINK("http://nlpdeep.cs.uic.edu:8080/proofing/gsii/50371-history-of-present-illness-4-1.pdf","gsii/50371-history-of-present-illness-4-1.pdf")</f>
        <v>gsii/50371-history-of-present-illness-4-1.pdf</v>
      </c>
      <c r="E1015">
        <v>119960</v>
      </c>
      <c r="F1015">
        <v>50371</v>
      </c>
      <c r="G1015" t="s">
        <v>745</v>
      </c>
      <c r="H1015" t="s">
        <v>13</v>
      </c>
      <c r="I1015" t="s">
        <v>797</v>
      </c>
    </row>
    <row r="1016" spans="1:9" x14ac:dyDescent="0.2">
      <c r="A1016" t="s">
        <v>798</v>
      </c>
      <c r="D1016" t="str">
        <f>HYPERLINK("http://nlpdeep.cs.uic.edu:8080/proofing/t5/50371-history-of-present-illness-4-2.pdf","t5/50371-history-of-present-illness-4-2.pdf")</f>
        <v>t5/50371-history-of-present-illness-4-2.pdf</v>
      </c>
      <c r="E1016">
        <v>119960</v>
      </c>
      <c r="F1016">
        <v>50371</v>
      </c>
      <c r="G1016" t="s">
        <v>745</v>
      </c>
      <c r="H1016" t="s">
        <v>13</v>
      </c>
      <c r="I1016" t="s">
        <v>799</v>
      </c>
    </row>
    <row r="1017" spans="1:9" x14ac:dyDescent="0.2">
      <c r="A1017" t="s">
        <v>798</v>
      </c>
      <c r="D1017" t="str">
        <f>HYPERLINK("http://nlpdeep.cs.uic.edu:8080/proofing/gsii/50371-history-of-present-illness-4-2.pdf","gsii/50371-history-of-present-illness-4-2.pdf")</f>
        <v>gsii/50371-history-of-present-illness-4-2.pdf</v>
      </c>
      <c r="E1017">
        <v>119960</v>
      </c>
      <c r="F1017">
        <v>50371</v>
      </c>
      <c r="G1017" t="s">
        <v>745</v>
      </c>
      <c r="H1017" t="s">
        <v>13</v>
      </c>
      <c r="I1017" t="s">
        <v>799</v>
      </c>
    </row>
    <row r="1018" spans="1:9" x14ac:dyDescent="0.2">
      <c r="A1018" t="s">
        <v>800</v>
      </c>
      <c r="D1018" t="str">
        <f>HYPERLINK("http://nlpdeep.cs.uic.edu:8080/proofing/t5/50371-past-medical-history-0-0.pdf","t5/50371-past-medical-history-0-0.pdf")</f>
        <v>t5/50371-past-medical-history-0-0.pdf</v>
      </c>
      <c r="E1018">
        <v>119960</v>
      </c>
      <c r="F1018">
        <v>50371</v>
      </c>
      <c r="G1018" t="s">
        <v>745</v>
      </c>
      <c r="H1018" t="s">
        <v>76</v>
      </c>
      <c r="I1018" t="s">
        <v>801</v>
      </c>
    </row>
    <row r="1019" spans="1:9" x14ac:dyDescent="0.2">
      <c r="A1019" t="s">
        <v>800</v>
      </c>
      <c r="D1019" t="str">
        <f>HYPERLINK("http://nlpdeep.cs.uic.edu:8080/proofing/gsii/50371-past-medical-history-0-0.pdf","gsii/50371-past-medical-history-0-0.pdf")</f>
        <v>gsii/50371-past-medical-history-0-0.pdf</v>
      </c>
      <c r="E1019">
        <v>119960</v>
      </c>
      <c r="F1019">
        <v>50371</v>
      </c>
      <c r="G1019" t="s">
        <v>745</v>
      </c>
      <c r="H1019" t="s">
        <v>76</v>
      </c>
      <c r="I1019" t="s">
        <v>801</v>
      </c>
    </row>
    <row r="1020" spans="1:9" x14ac:dyDescent="0.2">
      <c r="A1020" t="s">
        <v>802</v>
      </c>
      <c r="D1020" t="str">
        <f>HYPERLINK("http://nlpdeep.cs.uic.edu:8080/proofing/t5/50371-past-medical-history-0-1.pdf","t5/50371-past-medical-history-0-1.pdf")</f>
        <v>t5/50371-past-medical-history-0-1.pdf</v>
      </c>
      <c r="E1020">
        <v>119960</v>
      </c>
      <c r="F1020">
        <v>50371</v>
      </c>
      <c r="G1020" t="s">
        <v>745</v>
      </c>
      <c r="H1020" t="s">
        <v>76</v>
      </c>
      <c r="I1020" t="s">
        <v>803</v>
      </c>
    </row>
    <row r="1021" spans="1:9" x14ac:dyDescent="0.2">
      <c r="A1021" t="s">
        <v>802</v>
      </c>
      <c r="D1021" t="str">
        <f>HYPERLINK("http://nlpdeep.cs.uic.edu:8080/proofing/gsii/50371-past-medical-history-0-1.pdf","gsii/50371-past-medical-history-0-1.pdf")</f>
        <v>gsii/50371-past-medical-history-0-1.pdf</v>
      </c>
      <c r="E1021">
        <v>119960</v>
      </c>
      <c r="F1021">
        <v>50371</v>
      </c>
      <c r="G1021" t="s">
        <v>745</v>
      </c>
      <c r="H1021" t="s">
        <v>76</v>
      </c>
      <c r="I1021" t="s">
        <v>803</v>
      </c>
    </row>
    <row r="1022" spans="1:9" x14ac:dyDescent="0.2">
      <c r="A1022" t="s">
        <v>804</v>
      </c>
      <c r="D1022" t="str">
        <f>HYPERLINK("http://nlpdeep.cs.uic.edu:8080/proofing/t5/50371-past-medical-history-0-2.pdf","t5/50371-past-medical-history-0-2.pdf")</f>
        <v>t5/50371-past-medical-history-0-2.pdf</v>
      </c>
      <c r="E1022">
        <v>119960</v>
      </c>
      <c r="F1022">
        <v>50371</v>
      </c>
      <c r="G1022" t="s">
        <v>745</v>
      </c>
      <c r="H1022" t="s">
        <v>76</v>
      </c>
      <c r="I1022" t="s">
        <v>83</v>
      </c>
    </row>
    <row r="1023" spans="1:9" x14ac:dyDescent="0.2">
      <c r="A1023" t="s">
        <v>804</v>
      </c>
      <c r="D1023" t="str">
        <f>HYPERLINK("http://nlpdeep.cs.uic.edu:8080/proofing/gsii/50371-past-medical-history-0-2.pdf","gsii/50371-past-medical-history-0-2.pdf")</f>
        <v>gsii/50371-past-medical-history-0-2.pdf</v>
      </c>
      <c r="E1023">
        <v>119960</v>
      </c>
      <c r="F1023">
        <v>50371</v>
      </c>
      <c r="G1023" t="s">
        <v>745</v>
      </c>
      <c r="H1023" t="s">
        <v>76</v>
      </c>
      <c r="I1023" t="s">
        <v>83</v>
      </c>
    </row>
    <row r="1024" spans="1:9" x14ac:dyDescent="0.2">
      <c r="A1024" t="s">
        <v>805</v>
      </c>
      <c r="D1024" t="str">
        <f>HYPERLINK("http://nlpdeep.cs.uic.edu:8080/proofing/t5/50371-past-medical-history-0-3.pdf","t5/50371-past-medical-history-0-3.pdf")</f>
        <v>t5/50371-past-medical-history-0-3.pdf</v>
      </c>
      <c r="E1024">
        <v>119960</v>
      </c>
      <c r="F1024">
        <v>50371</v>
      </c>
      <c r="G1024" t="s">
        <v>745</v>
      </c>
      <c r="H1024" t="s">
        <v>76</v>
      </c>
      <c r="I1024" t="s">
        <v>806</v>
      </c>
    </row>
    <row r="1025" spans="1:9" x14ac:dyDescent="0.2">
      <c r="A1025" t="s">
        <v>805</v>
      </c>
      <c r="D1025" t="str">
        <f>HYPERLINK("http://nlpdeep.cs.uic.edu:8080/proofing/gsii/50371-past-medical-history-0-3.pdf","gsii/50371-past-medical-history-0-3.pdf")</f>
        <v>gsii/50371-past-medical-history-0-3.pdf</v>
      </c>
      <c r="E1025">
        <v>119960</v>
      </c>
      <c r="F1025">
        <v>50371</v>
      </c>
      <c r="G1025" t="s">
        <v>745</v>
      </c>
      <c r="H1025" t="s">
        <v>76</v>
      </c>
      <c r="I1025" t="s">
        <v>806</v>
      </c>
    </row>
    <row r="1026" spans="1:9" x14ac:dyDescent="0.2">
      <c r="A1026" t="s">
        <v>807</v>
      </c>
      <c r="D1026" t="str">
        <f>HYPERLINK("http://nlpdeep.cs.uic.edu:8080/proofing/t5/50371-past-medical-history-0-4.pdf","t5/50371-past-medical-history-0-4.pdf")</f>
        <v>t5/50371-past-medical-history-0-4.pdf</v>
      </c>
      <c r="E1026">
        <v>119960</v>
      </c>
      <c r="F1026">
        <v>50371</v>
      </c>
      <c r="G1026" t="s">
        <v>745</v>
      </c>
      <c r="H1026" t="s">
        <v>76</v>
      </c>
      <c r="I1026" t="s">
        <v>808</v>
      </c>
    </row>
    <row r="1027" spans="1:9" x14ac:dyDescent="0.2">
      <c r="A1027" t="s">
        <v>807</v>
      </c>
      <c r="D1027" t="str">
        <f>HYPERLINK("http://nlpdeep.cs.uic.edu:8080/proofing/gsii/50371-past-medical-history-0-4.pdf","gsii/50371-past-medical-history-0-4.pdf")</f>
        <v>gsii/50371-past-medical-history-0-4.pdf</v>
      </c>
      <c r="E1027">
        <v>119960</v>
      </c>
      <c r="F1027">
        <v>50371</v>
      </c>
      <c r="G1027" t="s">
        <v>745</v>
      </c>
      <c r="H1027" t="s">
        <v>76</v>
      </c>
      <c r="I1027" t="s">
        <v>808</v>
      </c>
    </row>
    <row r="1028" spans="1:9" x14ac:dyDescent="0.2">
      <c r="A1028" t="s">
        <v>809</v>
      </c>
      <c r="D1028" t="str">
        <f>HYPERLINK("http://nlpdeep.cs.uic.edu:8080/proofing/t5/50371-past-medical-history-0-5.pdf","t5/50371-past-medical-history-0-5.pdf")</f>
        <v>t5/50371-past-medical-history-0-5.pdf</v>
      </c>
      <c r="E1028">
        <v>119960</v>
      </c>
      <c r="F1028">
        <v>50371</v>
      </c>
      <c r="G1028" t="s">
        <v>745</v>
      </c>
      <c r="H1028" t="s">
        <v>76</v>
      </c>
    </row>
    <row r="1029" spans="1:9" x14ac:dyDescent="0.2">
      <c r="A1029" t="s">
        <v>809</v>
      </c>
      <c r="D1029" t="str">
        <f>HYPERLINK("http://nlpdeep.cs.uic.edu:8080/proofing/gsii/50371-past-medical-history-0-5.pdf","gsii/50371-past-medical-history-0-5.pdf")</f>
        <v>gsii/50371-past-medical-history-0-5.pdf</v>
      </c>
      <c r="E1029">
        <v>119960</v>
      </c>
      <c r="F1029">
        <v>50371</v>
      </c>
      <c r="G1029" t="s">
        <v>745</v>
      </c>
      <c r="H1029" t="s">
        <v>76</v>
      </c>
    </row>
    <row r="1030" spans="1:9" x14ac:dyDescent="0.2">
      <c r="A1030" t="s">
        <v>810</v>
      </c>
      <c r="D1030" t="str">
        <f>HYPERLINK("http://nlpdeep.cs.uic.edu:8080/proofing/t5/50371-past-medical-history-1-0.pdf","t5/50371-past-medical-history-1-0.pdf")</f>
        <v>t5/50371-past-medical-history-1-0.pdf</v>
      </c>
      <c r="E1030">
        <v>119960</v>
      </c>
      <c r="F1030">
        <v>50371</v>
      </c>
      <c r="G1030" t="s">
        <v>745</v>
      </c>
      <c r="H1030" t="s">
        <v>76</v>
      </c>
    </row>
    <row r="1031" spans="1:9" x14ac:dyDescent="0.2">
      <c r="A1031" t="s">
        <v>810</v>
      </c>
      <c r="D1031" t="str">
        <f>HYPERLINK("http://nlpdeep.cs.uic.edu:8080/proofing/gsii/50371-past-medical-history-1-0.pdf","gsii/50371-past-medical-history-1-0.pdf")</f>
        <v>gsii/50371-past-medical-history-1-0.pdf</v>
      </c>
      <c r="E1031">
        <v>119960</v>
      </c>
      <c r="F1031">
        <v>50371</v>
      </c>
      <c r="G1031" t="s">
        <v>745</v>
      </c>
      <c r="H1031" t="s">
        <v>76</v>
      </c>
    </row>
    <row r="1032" spans="1:9" x14ac:dyDescent="0.2">
      <c r="A1032" t="s">
        <v>811</v>
      </c>
      <c r="D1032" t="str">
        <f>HYPERLINK("http://nlpdeep.cs.uic.edu:8080/proofing/t5/50371-past-medical-history-2-0.pdf","t5/50371-past-medical-history-2-0.pdf")</f>
        <v>t5/50371-past-medical-history-2-0.pdf</v>
      </c>
      <c r="E1032">
        <v>119960</v>
      </c>
      <c r="F1032">
        <v>50371</v>
      </c>
      <c r="G1032" t="s">
        <v>745</v>
      </c>
      <c r="H1032" t="s">
        <v>76</v>
      </c>
      <c r="I1032" t="s">
        <v>812</v>
      </c>
    </row>
    <row r="1033" spans="1:9" x14ac:dyDescent="0.2">
      <c r="A1033" t="s">
        <v>811</v>
      </c>
      <c r="D1033" t="str">
        <f>HYPERLINK("http://nlpdeep.cs.uic.edu:8080/proofing/gsii/50371-past-medical-history-2-0.pdf","gsii/50371-past-medical-history-2-0.pdf")</f>
        <v>gsii/50371-past-medical-history-2-0.pdf</v>
      </c>
      <c r="E1033">
        <v>119960</v>
      </c>
      <c r="F1033">
        <v>50371</v>
      </c>
      <c r="G1033" t="s">
        <v>745</v>
      </c>
      <c r="H1033" t="s">
        <v>76</v>
      </c>
      <c r="I1033" t="s">
        <v>812</v>
      </c>
    </row>
    <row r="1034" spans="1:9" x14ac:dyDescent="0.2">
      <c r="A1034" t="s">
        <v>813</v>
      </c>
      <c r="D1034" t="str">
        <f>HYPERLINK("http://nlpdeep.cs.uic.edu:8080/proofing/t5/50371-past-medical-history-2-1.pdf","t5/50371-past-medical-history-2-1.pdf")</f>
        <v>t5/50371-past-medical-history-2-1.pdf</v>
      </c>
      <c r="E1034">
        <v>119960</v>
      </c>
      <c r="F1034">
        <v>50371</v>
      </c>
      <c r="G1034" t="s">
        <v>745</v>
      </c>
      <c r="H1034" t="s">
        <v>76</v>
      </c>
    </row>
    <row r="1035" spans="1:9" x14ac:dyDescent="0.2">
      <c r="A1035" t="s">
        <v>813</v>
      </c>
      <c r="D1035" t="str">
        <f>HYPERLINK("http://nlpdeep.cs.uic.edu:8080/proofing/gsii/50371-past-medical-history-2-1.pdf","gsii/50371-past-medical-history-2-1.pdf")</f>
        <v>gsii/50371-past-medical-history-2-1.pdf</v>
      </c>
      <c r="E1035">
        <v>119960</v>
      </c>
      <c r="F1035">
        <v>50371</v>
      </c>
      <c r="G1035" t="s">
        <v>745</v>
      </c>
      <c r="H1035" t="s">
        <v>76</v>
      </c>
    </row>
    <row r="1036" spans="1:9" x14ac:dyDescent="0.2">
      <c r="A1036" t="s">
        <v>814</v>
      </c>
      <c r="D1036" t="str">
        <f>HYPERLINK("http://nlpdeep.cs.uic.edu:8080/proofing/t5/50371-past-medical-history-3-0.pdf","t5/50371-past-medical-history-3-0.pdf")</f>
        <v>t5/50371-past-medical-history-3-0.pdf</v>
      </c>
      <c r="E1036">
        <v>119960</v>
      </c>
      <c r="F1036">
        <v>50371</v>
      </c>
      <c r="G1036" t="s">
        <v>745</v>
      </c>
      <c r="H1036" t="s">
        <v>76</v>
      </c>
    </row>
    <row r="1037" spans="1:9" x14ac:dyDescent="0.2">
      <c r="A1037" t="s">
        <v>814</v>
      </c>
      <c r="D1037" t="str">
        <f>HYPERLINK("http://nlpdeep.cs.uic.edu:8080/proofing/gsii/50371-past-medical-history-3-0.pdf","gsii/50371-past-medical-history-3-0.pdf")</f>
        <v>gsii/50371-past-medical-history-3-0.pdf</v>
      </c>
      <c r="E1037">
        <v>119960</v>
      </c>
      <c r="F1037">
        <v>50371</v>
      </c>
      <c r="G1037" t="s">
        <v>745</v>
      </c>
      <c r="H1037" t="s">
        <v>76</v>
      </c>
    </row>
    <row r="1038" spans="1:9" x14ac:dyDescent="0.2">
      <c r="A1038" t="s">
        <v>815</v>
      </c>
      <c r="D1038" t="str">
        <f>HYPERLINK("http://nlpdeep.cs.uic.edu:8080/proofing/t5/50371-past-medical-history-4-0.pdf","t5/50371-past-medical-history-4-0.pdf")</f>
        <v>t5/50371-past-medical-history-4-0.pdf</v>
      </c>
      <c r="E1038">
        <v>119960</v>
      </c>
      <c r="F1038">
        <v>50371</v>
      </c>
      <c r="G1038" t="s">
        <v>745</v>
      </c>
      <c r="H1038" t="s">
        <v>76</v>
      </c>
      <c r="I1038" t="s">
        <v>816</v>
      </c>
    </row>
    <row r="1039" spans="1:9" x14ac:dyDescent="0.2">
      <c r="A1039" t="s">
        <v>815</v>
      </c>
      <c r="D1039" t="str">
        <f>HYPERLINK("http://nlpdeep.cs.uic.edu:8080/proofing/gsii/50371-past-medical-history-4-0.pdf","gsii/50371-past-medical-history-4-0.pdf")</f>
        <v>gsii/50371-past-medical-history-4-0.pdf</v>
      </c>
      <c r="E1039">
        <v>119960</v>
      </c>
      <c r="F1039">
        <v>50371</v>
      </c>
      <c r="G1039" t="s">
        <v>745</v>
      </c>
      <c r="H1039" t="s">
        <v>76</v>
      </c>
      <c r="I1039" t="s">
        <v>816</v>
      </c>
    </row>
    <row r="1040" spans="1:9" x14ac:dyDescent="0.2">
      <c r="A1040" t="s">
        <v>817</v>
      </c>
      <c r="D1040" t="str">
        <f>HYPERLINK("http://nlpdeep.cs.uic.edu:8080/proofing/t5/50371-past-medical-history-4-1.pdf","t5/50371-past-medical-history-4-1.pdf")</f>
        <v>t5/50371-past-medical-history-4-1.pdf</v>
      </c>
      <c r="E1040">
        <v>119960</v>
      </c>
      <c r="F1040">
        <v>50371</v>
      </c>
      <c r="G1040" t="s">
        <v>745</v>
      </c>
      <c r="H1040" t="s">
        <v>76</v>
      </c>
      <c r="I1040" t="s">
        <v>818</v>
      </c>
    </row>
    <row r="1041" spans="1:9" x14ac:dyDescent="0.2">
      <c r="A1041" t="s">
        <v>817</v>
      </c>
      <c r="D1041" t="str">
        <f>HYPERLINK("http://nlpdeep.cs.uic.edu:8080/proofing/gsii/50371-past-medical-history-4-1.pdf","gsii/50371-past-medical-history-4-1.pdf")</f>
        <v>gsii/50371-past-medical-history-4-1.pdf</v>
      </c>
      <c r="E1041">
        <v>119960</v>
      </c>
      <c r="F1041">
        <v>50371</v>
      </c>
      <c r="G1041" t="s">
        <v>745</v>
      </c>
      <c r="H1041" t="s">
        <v>76</v>
      </c>
      <c r="I1041" t="s">
        <v>818</v>
      </c>
    </row>
    <row r="1042" spans="1:9" x14ac:dyDescent="0.2">
      <c r="A1042" t="s">
        <v>819</v>
      </c>
      <c r="D1042" t="str">
        <f>HYPERLINK("http://nlpdeep.cs.uic.edu:8080/proofing/t5/50371-past-medical-history-4-2.pdf","t5/50371-past-medical-history-4-2.pdf")</f>
        <v>t5/50371-past-medical-history-4-2.pdf</v>
      </c>
      <c r="E1042">
        <v>119960</v>
      </c>
      <c r="F1042">
        <v>50371</v>
      </c>
      <c r="G1042" t="s">
        <v>745</v>
      </c>
      <c r="H1042" t="s">
        <v>76</v>
      </c>
      <c r="I1042" t="s">
        <v>820</v>
      </c>
    </row>
    <row r="1043" spans="1:9" x14ac:dyDescent="0.2">
      <c r="A1043" t="s">
        <v>819</v>
      </c>
      <c r="D1043" t="str">
        <f>HYPERLINK("http://nlpdeep.cs.uic.edu:8080/proofing/gsii/50371-past-medical-history-4-2.pdf","gsii/50371-past-medical-history-4-2.pdf")</f>
        <v>gsii/50371-past-medical-history-4-2.pdf</v>
      </c>
      <c r="E1043">
        <v>119960</v>
      </c>
      <c r="F1043">
        <v>50371</v>
      </c>
      <c r="G1043" t="s">
        <v>745</v>
      </c>
      <c r="H1043" t="s">
        <v>76</v>
      </c>
      <c r="I1043" t="s">
        <v>820</v>
      </c>
    </row>
    <row r="1044" spans="1:9" x14ac:dyDescent="0.2">
      <c r="A1044" t="s">
        <v>821</v>
      </c>
      <c r="D1044" t="str">
        <f>HYPERLINK("http://nlpdeep.cs.uic.edu:8080/proofing/t5/50371-past-medical-history-4-3.pdf","t5/50371-past-medical-history-4-3.pdf")</f>
        <v>t5/50371-past-medical-history-4-3.pdf</v>
      </c>
      <c r="E1044">
        <v>119960</v>
      </c>
      <c r="F1044">
        <v>50371</v>
      </c>
      <c r="G1044" t="s">
        <v>745</v>
      </c>
      <c r="H1044" t="s">
        <v>76</v>
      </c>
      <c r="I1044" t="s">
        <v>822</v>
      </c>
    </row>
    <row r="1045" spans="1:9" x14ac:dyDescent="0.2">
      <c r="A1045" t="s">
        <v>821</v>
      </c>
      <c r="D1045" t="str">
        <f>HYPERLINK("http://nlpdeep.cs.uic.edu:8080/proofing/gsii/50371-past-medical-history-4-3.pdf","gsii/50371-past-medical-history-4-3.pdf")</f>
        <v>gsii/50371-past-medical-history-4-3.pdf</v>
      </c>
      <c r="E1045">
        <v>119960</v>
      </c>
      <c r="F1045">
        <v>50371</v>
      </c>
      <c r="G1045" t="s">
        <v>745</v>
      </c>
      <c r="H1045" t="s">
        <v>76</v>
      </c>
      <c r="I1045" t="s">
        <v>822</v>
      </c>
    </row>
    <row r="1046" spans="1:9" x14ac:dyDescent="0.2">
      <c r="A1046" t="s">
        <v>823</v>
      </c>
      <c r="D1046" t="str">
        <f>HYPERLINK("http://nlpdeep.cs.uic.edu:8080/proofing/t5/50371-past-medical-history-4-4.pdf","t5/50371-past-medical-history-4-4.pdf")</f>
        <v>t5/50371-past-medical-history-4-4.pdf</v>
      </c>
      <c r="E1046">
        <v>119960</v>
      </c>
      <c r="F1046">
        <v>50371</v>
      </c>
      <c r="G1046" t="s">
        <v>745</v>
      </c>
      <c r="H1046" t="s">
        <v>76</v>
      </c>
      <c r="I1046" t="s">
        <v>824</v>
      </c>
    </row>
    <row r="1047" spans="1:9" x14ac:dyDescent="0.2">
      <c r="A1047" t="s">
        <v>823</v>
      </c>
      <c r="D1047" t="str">
        <f>HYPERLINK("http://nlpdeep.cs.uic.edu:8080/proofing/gsii/50371-past-medical-history-4-4.pdf","gsii/50371-past-medical-history-4-4.pdf")</f>
        <v>gsii/50371-past-medical-history-4-4.pdf</v>
      </c>
      <c r="E1047">
        <v>119960</v>
      </c>
      <c r="F1047">
        <v>50371</v>
      </c>
      <c r="G1047" t="s">
        <v>745</v>
      </c>
      <c r="H1047" t="s">
        <v>76</v>
      </c>
      <c r="I1047" t="s">
        <v>824</v>
      </c>
    </row>
    <row r="1048" spans="1:9" x14ac:dyDescent="0.2">
      <c r="A1048" t="s">
        <v>825</v>
      </c>
      <c r="D1048" t="str">
        <f>HYPERLINK("http://nlpdeep.cs.uic.edu:8080/proofing/t5/50371-past-medical-history-4-5.pdf","t5/50371-past-medical-history-4-5.pdf")</f>
        <v>t5/50371-past-medical-history-4-5.pdf</v>
      </c>
      <c r="E1048">
        <v>119960</v>
      </c>
      <c r="F1048">
        <v>50371</v>
      </c>
      <c r="G1048" t="s">
        <v>745</v>
      </c>
      <c r="H1048" t="s">
        <v>76</v>
      </c>
      <c r="I1048" t="s">
        <v>826</v>
      </c>
    </row>
    <row r="1049" spans="1:9" x14ac:dyDescent="0.2">
      <c r="A1049" t="s">
        <v>825</v>
      </c>
      <c r="D1049" t="str">
        <f>HYPERLINK("http://nlpdeep.cs.uic.edu:8080/proofing/gsii/50371-past-medical-history-4-5.pdf","gsii/50371-past-medical-history-4-5.pdf")</f>
        <v>gsii/50371-past-medical-history-4-5.pdf</v>
      </c>
      <c r="E1049">
        <v>119960</v>
      </c>
      <c r="F1049">
        <v>50371</v>
      </c>
      <c r="G1049" t="s">
        <v>745</v>
      </c>
      <c r="H1049" t="s">
        <v>76</v>
      </c>
      <c r="I1049" t="s">
        <v>826</v>
      </c>
    </row>
    <row r="1050" spans="1:9" x14ac:dyDescent="0.2">
      <c r="A1050" t="s">
        <v>827</v>
      </c>
      <c r="D1050" t="str">
        <f>HYPERLINK("http://nlpdeep.cs.uic.edu:8080/proofing/t5/50371-social-history-0-0.pdf","t5/50371-social-history-0-0.pdf")</f>
        <v>t5/50371-social-history-0-0.pdf</v>
      </c>
      <c r="E1050">
        <v>119960</v>
      </c>
      <c r="F1050">
        <v>50371</v>
      </c>
      <c r="G1050" t="s">
        <v>745</v>
      </c>
      <c r="H1050" t="s">
        <v>118</v>
      </c>
      <c r="I1050" t="s">
        <v>828</v>
      </c>
    </row>
    <row r="1051" spans="1:9" x14ac:dyDescent="0.2">
      <c r="A1051" t="s">
        <v>827</v>
      </c>
      <c r="D1051" t="str">
        <f>HYPERLINK("http://nlpdeep.cs.uic.edu:8080/proofing/gsii/50371-social-history-0-0.pdf","gsii/50371-social-history-0-0.pdf")</f>
        <v>gsii/50371-social-history-0-0.pdf</v>
      </c>
      <c r="E1051">
        <v>119960</v>
      </c>
      <c r="F1051">
        <v>50371</v>
      </c>
      <c r="G1051" t="s">
        <v>745</v>
      </c>
      <c r="H1051" t="s">
        <v>118</v>
      </c>
      <c r="I1051" t="s">
        <v>828</v>
      </c>
    </row>
    <row r="1052" spans="1:9" x14ac:dyDescent="0.2">
      <c r="A1052" t="s">
        <v>829</v>
      </c>
      <c r="D1052" t="str">
        <f>HYPERLINK("http://nlpdeep.cs.uic.edu:8080/proofing/t5/50371-social-history-0-1.pdf","t5/50371-social-history-0-1.pdf")</f>
        <v>t5/50371-social-history-0-1.pdf</v>
      </c>
      <c r="E1052">
        <v>119960</v>
      </c>
      <c r="F1052">
        <v>50371</v>
      </c>
      <c r="G1052" t="s">
        <v>745</v>
      </c>
      <c r="H1052" t="s">
        <v>118</v>
      </c>
      <c r="I1052" t="s">
        <v>121</v>
      </c>
    </row>
    <row r="1053" spans="1:9" x14ac:dyDescent="0.2">
      <c r="A1053" t="s">
        <v>829</v>
      </c>
      <c r="D1053" t="str">
        <f>HYPERLINK("http://nlpdeep.cs.uic.edu:8080/proofing/gsii/50371-social-history-0-1.pdf","gsii/50371-social-history-0-1.pdf")</f>
        <v>gsii/50371-social-history-0-1.pdf</v>
      </c>
      <c r="E1053">
        <v>119960</v>
      </c>
      <c r="F1053">
        <v>50371</v>
      </c>
      <c r="G1053" t="s">
        <v>745</v>
      </c>
      <c r="H1053" t="s">
        <v>118</v>
      </c>
      <c r="I1053" t="s">
        <v>121</v>
      </c>
    </row>
    <row r="1054" spans="1:9" x14ac:dyDescent="0.2">
      <c r="A1054" t="s">
        <v>830</v>
      </c>
      <c r="D1054" t="str">
        <f>HYPERLINK("http://nlpdeep.cs.uic.edu:8080/proofing/t5/50371-social-history-0-2.pdf","t5/50371-social-history-0-2.pdf")</f>
        <v>t5/50371-social-history-0-2.pdf</v>
      </c>
      <c r="E1054">
        <v>119960</v>
      </c>
      <c r="F1054">
        <v>50371</v>
      </c>
      <c r="G1054" t="s">
        <v>745</v>
      </c>
      <c r="H1054" t="s">
        <v>118</v>
      </c>
      <c r="I1054" t="s">
        <v>123</v>
      </c>
    </row>
    <row r="1055" spans="1:9" x14ac:dyDescent="0.2">
      <c r="A1055" t="s">
        <v>830</v>
      </c>
      <c r="D1055" t="str">
        <f>HYPERLINK("http://nlpdeep.cs.uic.edu:8080/proofing/gsii/50371-social-history-0-2.pdf","gsii/50371-social-history-0-2.pdf")</f>
        <v>gsii/50371-social-history-0-2.pdf</v>
      </c>
      <c r="E1055">
        <v>119960</v>
      </c>
      <c r="F1055">
        <v>50371</v>
      </c>
      <c r="G1055" t="s">
        <v>745</v>
      </c>
      <c r="H1055" t="s">
        <v>118</v>
      </c>
      <c r="I1055" t="s">
        <v>123</v>
      </c>
    </row>
    <row r="1056" spans="1:9" x14ac:dyDescent="0.2">
      <c r="A1056" t="s">
        <v>831</v>
      </c>
      <c r="D1056" t="str">
        <f>HYPERLINK("http://nlpdeep.cs.uic.edu:8080/proofing/t5/50371-social-history-0-3.pdf","t5/50371-social-history-0-3.pdf")</f>
        <v>t5/50371-social-history-0-3.pdf</v>
      </c>
      <c r="E1056">
        <v>119960</v>
      </c>
      <c r="F1056">
        <v>50371</v>
      </c>
      <c r="G1056" t="s">
        <v>745</v>
      </c>
      <c r="H1056" t="s">
        <v>118</v>
      </c>
      <c r="I1056" t="s">
        <v>832</v>
      </c>
    </row>
    <row r="1057" spans="1:9" x14ac:dyDescent="0.2">
      <c r="A1057" t="s">
        <v>831</v>
      </c>
      <c r="D1057" t="str">
        <f>HYPERLINK("http://nlpdeep.cs.uic.edu:8080/proofing/gsii/50371-social-history-0-3.pdf","gsii/50371-social-history-0-3.pdf")</f>
        <v>gsii/50371-social-history-0-3.pdf</v>
      </c>
      <c r="E1057">
        <v>119960</v>
      </c>
      <c r="F1057">
        <v>50371</v>
      </c>
      <c r="G1057" t="s">
        <v>745</v>
      </c>
      <c r="H1057" t="s">
        <v>118</v>
      </c>
      <c r="I1057" t="s">
        <v>832</v>
      </c>
    </row>
    <row r="1058" spans="1:9" x14ac:dyDescent="0.2">
      <c r="A1058" t="s">
        <v>833</v>
      </c>
      <c r="D1058" t="str">
        <f>HYPERLINK("http://nlpdeep.cs.uic.edu:8080/proofing/t5/50371-social-history-0-4.pdf","t5/50371-social-history-0-4.pdf")</f>
        <v>t5/50371-social-history-0-4.pdf</v>
      </c>
      <c r="E1058">
        <v>119960</v>
      </c>
      <c r="F1058">
        <v>50371</v>
      </c>
      <c r="G1058" t="s">
        <v>745</v>
      </c>
      <c r="H1058" t="s">
        <v>118</v>
      </c>
      <c r="I1058" t="s">
        <v>834</v>
      </c>
    </row>
    <row r="1059" spans="1:9" x14ac:dyDescent="0.2">
      <c r="A1059" t="s">
        <v>833</v>
      </c>
      <c r="D1059" t="str">
        <f>HYPERLINK("http://nlpdeep.cs.uic.edu:8080/proofing/gsii/50371-social-history-0-4.pdf","gsii/50371-social-history-0-4.pdf")</f>
        <v>gsii/50371-social-history-0-4.pdf</v>
      </c>
      <c r="E1059">
        <v>119960</v>
      </c>
      <c r="F1059">
        <v>50371</v>
      </c>
      <c r="G1059" t="s">
        <v>745</v>
      </c>
      <c r="H1059" t="s">
        <v>118</v>
      </c>
      <c r="I1059" t="s">
        <v>834</v>
      </c>
    </row>
    <row r="1060" spans="1:9" x14ac:dyDescent="0.2">
      <c r="A1060" t="s">
        <v>835</v>
      </c>
      <c r="D1060" t="str">
        <f>HYPERLINK("http://nlpdeep.cs.uic.edu:8080/proofing/t5/50371-social-history-0-5.pdf","t5/50371-social-history-0-5.pdf")</f>
        <v>t5/50371-social-history-0-5.pdf</v>
      </c>
      <c r="E1060">
        <v>119960</v>
      </c>
      <c r="F1060">
        <v>50371</v>
      </c>
      <c r="G1060" t="s">
        <v>745</v>
      </c>
      <c r="H1060" t="s">
        <v>118</v>
      </c>
      <c r="I1060" t="s">
        <v>836</v>
      </c>
    </row>
    <row r="1061" spans="1:9" x14ac:dyDescent="0.2">
      <c r="A1061" t="s">
        <v>835</v>
      </c>
      <c r="D1061" t="str">
        <f>HYPERLINK("http://nlpdeep.cs.uic.edu:8080/proofing/gsii/50371-social-history-0-5.pdf","gsii/50371-social-history-0-5.pdf")</f>
        <v>gsii/50371-social-history-0-5.pdf</v>
      </c>
      <c r="E1061">
        <v>119960</v>
      </c>
      <c r="F1061">
        <v>50371</v>
      </c>
      <c r="G1061" t="s">
        <v>745</v>
      </c>
      <c r="H1061" t="s">
        <v>118</v>
      </c>
      <c r="I1061" t="s">
        <v>836</v>
      </c>
    </row>
    <row r="1062" spans="1:9" x14ac:dyDescent="0.2">
      <c r="A1062" t="s">
        <v>837</v>
      </c>
      <c r="D1062" t="str">
        <f>HYPERLINK("http://nlpdeep.cs.uic.edu:8080/proofing/t5/50371-social-history-0-6.pdf","t5/50371-social-history-0-6.pdf")</f>
        <v>t5/50371-social-history-0-6.pdf</v>
      </c>
      <c r="E1062">
        <v>119960</v>
      </c>
      <c r="F1062">
        <v>50371</v>
      </c>
      <c r="G1062" t="s">
        <v>745</v>
      </c>
      <c r="H1062" t="s">
        <v>118</v>
      </c>
      <c r="I1062" t="s">
        <v>380</v>
      </c>
    </row>
    <row r="1063" spans="1:9" x14ac:dyDescent="0.2">
      <c r="A1063" t="s">
        <v>837</v>
      </c>
      <c r="D1063" t="str">
        <f>HYPERLINK("http://nlpdeep.cs.uic.edu:8080/proofing/gsii/50371-social-history-0-6.pdf","gsii/50371-social-history-0-6.pdf")</f>
        <v>gsii/50371-social-history-0-6.pdf</v>
      </c>
      <c r="E1063">
        <v>119960</v>
      </c>
      <c r="F1063">
        <v>50371</v>
      </c>
      <c r="G1063" t="s">
        <v>745</v>
      </c>
      <c r="H1063" t="s">
        <v>118</v>
      </c>
      <c r="I1063" t="s">
        <v>380</v>
      </c>
    </row>
    <row r="1064" spans="1:9" x14ac:dyDescent="0.2">
      <c r="A1064" t="s">
        <v>838</v>
      </c>
      <c r="D1064" t="str">
        <f>HYPERLINK("http://nlpdeep.cs.uic.edu:8080/proofing/t5/50371-social-history-0-7.pdf","t5/50371-social-history-0-7.pdf")</f>
        <v>t5/50371-social-history-0-7.pdf</v>
      </c>
      <c r="E1064">
        <v>119960</v>
      </c>
      <c r="F1064">
        <v>50371</v>
      </c>
      <c r="G1064" t="s">
        <v>745</v>
      </c>
      <c r="H1064" t="s">
        <v>118</v>
      </c>
      <c r="I1064" t="s">
        <v>839</v>
      </c>
    </row>
    <row r="1065" spans="1:9" x14ac:dyDescent="0.2">
      <c r="A1065" t="s">
        <v>838</v>
      </c>
      <c r="D1065" t="str">
        <f>HYPERLINK("http://nlpdeep.cs.uic.edu:8080/proofing/gsii/50371-social-history-0-7.pdf","gsii/50371-social-history-0-7.pdf")</f>
        <v>gsii/50371-social-history-0-7.pdf</v>
      </c>
      <c r="E1065">
        <v>119960</v>
      </c>
      <c r="F1065">
        <v>50371</v>
      </c>
      <c r="G1065" t="s">
        <v>745</v>
      </c>
      <c r="H1065" t="s">
        <v>118</v>
      </c>
      <c r="I1065" t="s">
        <v>839</v>
      </c>
    </row>
    <row r="1066" spans="1:9" x14ac:dyDescent="0.2">
      <c r="A1066" t="s">
        <v>840</v>
      </c>
      <c r="D1066" t="str">
        <f>HYPERLINK("http://nlpdeep.cs.uic.edu:8080/proofing/t5/50371-family-history-0-0.pdf","t5/50371-family-history-0-0.pdf")</f>
        <v>t5/50371-family-history-0-0.pdf</v>
      </c>
      <c r="E1066">
        <v>119960</v>
      </c>
      <c r="F1066">
        <v>50371</v>
      </c>
      <c r="G1066" t="s">
        <v>745</v>
      </c>
      <c r="H1066" t="s">
        <v>107</v>
      </c>
      <c r="I1066" t="s">
        <v>384</v>
      </c>
    </row>
    <row r="1067" spans="1:9" x14ac:dyDescent="0.2">
      <c r="A1067" t="s">
        <v>840</v>
      </c>
      <c r="D1067" t="str">
        <f>HYPERLINK("http://nlpdeep.cs.uic.edu:8080/proofing/gsii/50371-family-history-0-0.pdf","gsii/50371-family-history-0-0.pdf")</f>
        <v>gsii/50371-family-history-0-0.pdf</v>
      </c>
      <c r="E1067">
        <v>119960</v>
      </c>
      <c r="F1067">
        <v>50371</v>
      </c>
      <c r="G1067" t="s">
        <v>745</v>
      </c>
      <c r="H1067" t="s">
        <v>107</v>
      </c>
      <c r="I1067" t="s">
        <v>384</v>
      </c>
    </row>
    <row r="1068" spans="1:9" x14ac:dyDescent="0.2">
      <c r="A1068" t="s">
        <v>841</v>
      </c>
      <c r="D1068" t="str">
        <f>HYPERLINK("http://nlpdeep.cs.uic.edu:8080/proofing/t5/50371-family-history-0-1.pdf","t5/50371-family-history-0-1.pdf")</f>
        <v>t5/50371-family-history-0-1.pdf</v>
      </c>
      <c r="E1068">
        <v>119960</v>
      </c>
      <c r="F1068">
        <v>50371</v>
      </c>
      <c r="G1068" t="s">
        <v>745</v>
      </c>
      <c r="H1068" t="s">
        <v>107</v>
      </c>
      <c r="I1068" t="s">
        <v>842</v>
      </c>
    </row>
    <row r="1069" spans="1:9" x14ac:dyDescent="0.2">
      <c r="A1069" t="s">
        <v>841</v>
      </c>
      <c r="D1069" t="str">
        <f>HYPERLINK("http://nlpdeep.cs.uic.edu:8080/proofing/gsii/50371-family-history-0-1.pdf","gsii/50371-family-history-0-1.pdf")</f>
        <v>gsii/50371-family-history-0-1.pdf</v>
      </c>
      <c r="E1069">
        <v>119960</v>
      </c>
      <c r="F1069">
        <v>50371</v>
      </c>
      <c r="G1069" t="s">
        <v>745</v>
      </c>
      <c r="H1069" t="s">
        <v>107</v>
      </c>
      <c r="I1069" t="s">
        <v>842</v>
      </c>
    </row>
    <row r="1070" spans="1:9" x14ac:dyDescent="0.2">
      <c r="A1070" t="s">
        <v>843</v>
      </c>
      <c r="D1070" t="str">
        <f>HYPERLINK("http://nlpdeep.cs.uic.edu:8080/proofing/t5/50371-family-history-0-2.pdf","t5/50371-family-history-0-2.pdf")</f>
        <v>t5/50371-family-history-0-2.pdf</v>
      </c>
      <c r="E1070">
        <v>119960</v>
      </c>
      <c r="F1070">
        <v>50371</v>
      </c>
      <c r="G1070" t="s">
        <v>745</v>
      </c>
      <c r="H1070" t="s">
        <v>107</v>
      </c>
      <c r="I1070" t="s">
        <v>844</v>
      </c>
    </row>
    <row r="1071" spans="1:9" x14ac:dyDescent="0.2">
      <c r="A1071" t="s">
        <v>843</v>
      </c>
      <c r="D1071" t="str">
        <f>HYPERLINK("http://nlpdeep.cs.uic.edu:8080/proofing/gsii/50371-family-history-0-2.pdf","gsii/50371-family-history-0-2.pdf")</f>
        <v>gsii/50371-family-history-0-2.pdf</v>
      </c>
      <c r="E1071">
        <v>119960</v>
      </c>
      <c r="F1071">
        <v>50371</v>
      </c>
      <c r="G1071" t="s">
        <v>745</v>
      </c>
      <c r="H1071" t="s">
        <v>107</v>
      </c>
      <c r="I1071" t="s">
        <v>844</v>
      </c>
    </row>
    <row r="1072" spans="1:9" x14ac:dyDescent="0.2">
      <c r="A1072" t="s">
        <v>845</v>
      </c>
      <c r="D1072" t="str">
        <f>HYPERLINK("http://nlpdeep.cs.uic.edu:8080/proofing/t5/50371-family-history-0-3.pdf","t5/50371-family-history-0-3.pdf")</f>
        <v>t5/50371-family-history-0-3.pdf</v>
      </c>
      <c r="E1072">
        <v>119960</v>
      </c>
      <c r="F1072">
        <v>50371</v>
      </c>
      <c r="G1072" t="s">
        <v>745</v>
      </c>
      <c r="H1072" t="s">
        <v>107</v>
      </c>
      <c r="I1072" t="s">
        <v>846</v>
      </c>
    </row>
    <row r="1073" spans="1:9" x14ac:dyDescent="0.2">
      <c r="A1073" t="s">
        <v>845</v>
      </c>
      <c r="D1073" t="str">
        <f>HYPERLINK("http://nlpdeep.cs.uic.edu:8080/proofing/gsii/50371-family-history-0-3.pdf","gsii/50371-family-history-0-3.pdf")</f>
        <v>gsii/50371-family-history-0-3.pdf</v>
      </c>
      <c r="E1073">
        <v>119960</v>
      </c>
      <c r="F1073">
        <v>50371</v>
      </c>
      <c r="G1073" t="s">
        <v>745</v>
      </c>
      <c r="H1073" t="s">
        <v>107</v>
      </c>
      <c r="I1073" t="s">
        <v>846</v>
      </c>
    </row>
    <row r="1074" spans="1:9" x14ac:dyDescent="0.2">
      <c r="A1074" t="s">
        <v>847</v>
      </c>
      <c r="D1074" t="str">
        <f>HYPERLINK("http://nlpdeep.cs.uic.edu:8080/proofing/t5/50371-family-history-0-4.pdf","t5/50371-family-history-0-4.pdf")</f>
        <v>t5/50371-family-history-0-4.pdf</v>
      </c>
      <c r="E1074">
        <v>119960</v>
      </c>
      <c r="F1074">
        <v>50371</v>
      </c>
      <c r="G1074" t="s">
        <v>745</v>
      </c>
      <c r="H1074" t="s">
        <v>107</v>
      </c>
      <c r="I1074" t="s">
        <v>848</v>
      </c>
    </row>
    <row r="1075" spans="1:9" x14ac:dyDescent="0.2">
      <c r="A1075" t="s">
        <v>847</v>
      </c>
      <c r="D1075" t="str">
        <f>HYPERLINK("http://nlpdeep.cs.uic.edu:8080/proofing/gsii/50371-family-history-0-4.pdf","gsii/50371-family-history-0-4.pdf")</f>
        <v>gsii/50371-family-history-0-4.pdf</v>
      </c>
      <c r="E1075">
        <v>119960</v>
      </c>
      <c r="F1075">
        <v>50371</v>
      </c>
      <c r="G1075" t="s">
        <v>745</v>
      </c>
      <c r="H1075" t="s">
        <v>107</v>
      </c>
      <c r="I1075" t="s">
        <v>848</v>
      </c>
    </row>
    <row r="1076" spans="1:9" x14ac:dyDescent="0.2">
      <c r="A1076" t="s">
        <v>849</v>
      </c>
      <c r="D1076" t="str">
        <f>HYPERLINK("http://nlpdeep.cs.uic.edu:8080/proofing/t5/50371-physical-examination-0-0.pdf","t5/50371-physical-examination-0-0.pdf")</f>
        <v>t5/50371-physical-examination-0-0.pdf</v>
      </c>
      <c r="E1076">
        <v>119960</v>
      </c>
      <c r="F1076">
        <v>50371</v>
      </c>
      <c r="G1076" t="s">
        <v>745</v>
      </c>
      <c r="H1076" t="s">
        <v>138</v>
      </c>
      <c r="I1076" t="s">
        <v>850</v>
      </c>
    </row>
    <row r="1077" spans="1:9" x14ac:dyDescent="0.2">
      <c r="A1077" t="s">
        <v>849</v>
      </c>
      <c r="D1077" t="str">
        <f>HYPERLINK("http://nlpdeep.cs.uic.edu:8080/proofing/gsii/50371-physical-examination-0-0.pdf","gsii/50371-physical-examination-0-0.pdf")</f>
        <v>gsii/50371-physical-examination-0-0.pdf</v>
      </c>
      <c r="E1077">
        <v>119960</v>
      </c>
      <c r="F1077">
        <v>50371</v>
      </c>
      <c r="G1077" t="s">
        <v>745</v>
      </c>
      <c r="H1077" t="s">
        <v>138</v>
      </c>
      <c r="I1077" t="s">
        <v>850</v>
      </c>
    </row>
    <row r="1078" spans="1:9" x14ac:dyDescent="0.2">
      <c r="A1078" t="s">
        <v>851</v>
      </c>
      <c r="D1078" t="str">
        <f>HYPERLINK("http://nlpdeep.cs.uic.edu:8080/proofing/t5/50371-physical-examination-0-1.pdf","t5/50371-physical-examination-0-1.pdf")</f>
        <v>t5/50371-physical-examination-0-1.pdf</v>
      </c>
      <c r="E1078">
        <v>119960</v>
      </c>
      <c r="F1078">
        <v>50371</v>
      </c>
      <c r="G1078" t="s">
        <v>745</v>
      </c>
      <c r="H1078" t="s">
        <v>138</v>
      </c>
      <c r="I1078" t="s">
        <v>852</v>
      </c>
    </row>
    <row r="1079" spans="1:9" x14ac:dyDescent="0.2">
      <c r="A1079" t="s">
        <v>851</v>
      </c>
      <c r="D1079" t="str">
        <f>HYPERLINK("http://nlpdeep.cs.uic.edu:8080/proofing/gsii/50371-physical-examination-0-1.pdf","gsii/50371-physical-examination-0-1.pdf")</f>
        <v>gsii/50371-physical-examination-0-1.pdf</v>
      </c>
      <c r="E1079">
        <v>119960</v>
      </c>
      <c r="F1079">
        <v>50371</v>
      </c>
      <c r="G1079" t="s">
        <v>745</v>
      </c>
      <c r="H1079" t="s">
        <v>138</v>
      </c>
      <c r="I1079" t="s">
        <v>852</v>
      </c>
    </row>
    <row r="1080" spans="1:9" x14ac:dyDescent="0.2">
      <c r="A1080" t="s">
        <v>853</v>
      </c>
      <c r="D1080" t="str">
        <f>HYPERLINK("http://nlpdeep.cs.uic.edu:8080/proofing/t5/50371-physical-examination-0-2.pdf","t5/50371-physical-examination-0-2.pdf")</f>
        <v>t5/50371-physical-examination-0-2.pdf</v>
      </c>
      <c r="E1080">
        <v>119960</v>
      </c>
      <c r="F1080">
        <v>50371</v>
      </c>
      <c r="G1080" t="s">
        <v>745</v>
      </c>
      <c r="H1080" t="s">
        <v>138</v>
      </c>
      <c r="I1080" t="s">
        <v>854</v>
      </c>
    </row>
    <row r="1081" spans="1:9" x14ac:dyDescent="0.2">
      <c r="A1081" t="s">
        <v>853</v>
      </c>
      <c r="D1081" t="str">
        <f>HYPERLINK("http://nlpdeep.cs.uic.edu:8080/proofing/gsii/50371-physical-examination-0-2.pdf","gsii/50371-physical-examination-0-2.pdf")</f>
        <v>gsii/50371-physical-examination-0-2.pdf</v>
      </c>
      <c r="E1081">
        <v>119960</v>
      </c>
      <c r="F1081">
        <v>50371</v>
      </c>
      <c r="G1081" t="s">
        <v>745</v>
      </c>
      <c r="H1081" t="s">
        <v>138</v>
      </c>
      <c r="I1081" t="s">
        <v>854</v>
      </c>
    </row>
    <row r="1082" spans="1:9" x14ac:dyDescent="0.2">
      <c r="A1082" t="s">
        <v>855</v>
      </c>
      <c r="D1082" t="str">
        <f>HYPERLINK("http://nlpdeep.cs.uic.edu:8080/proofing/t5/50371-physical-examination-0-3.pdf","t5/50371-physical-examination-0-3.pdf")</f>
        <v>t5/50371-physical-examination-0-3.pdf</v>
      </c>
      <c r="E1082">
        <v>119960</v>
      </c>
      <c r="F1082">
        <v>50371</v>
      </c>
      <c r="G1082" t="s">
        <v>745</v>
      </c>
      <c r="H1082" t="s">
        <v>138</v>
      </c>
      <c r="I1082" t="s">
        <v>856</v>
      </c>
    </row>
    <row r="1083" spans="1:9" x14ac:dyDescent="0.2">
      <c r="A1083" t="s">
        <v>855</v>
      </c>
      <c r="D1083" t="str">
        <f>HYPERLINK("http://nlpdeep.cs.uic.edu:8080/proofing/gsii/50371-physical-examination-0-3.pdf","gsii/50371-physical-examination-0-3.pdf")</f>
        <v>gsii/50371-physical-examination-0-3.pdf</v>
      </c>
      <c r="E1083">
        <v>119960</v>
      </c>
      <c r="F1083">
        <v>50371</v>
      </c>
      <c r="G1083" t="s">
        <v>745</v>
      </c>
      <c r="H1083" t="s">
        <v>138</v>
      </c>
      <c r="I1083" t="s">
        <v>856</v>
      </c>
    </row>
    <row r="1084" spans="1:9" x14ac:dyDescent="0.2">
      <c r="A1084" t="s">
        <v>857</v>
      </c>
      <c r="D1084" t="str">
        <f>HYPERLINK("http://nlpdeep.cs.uic.edu:8080/proofing/t5/50371-physical-examination-0-4.pdf","t5/50371-physical-examination-0-4.pdf")</f>
        <v>t5/50371-physical-examination-0-4.pdf</v>
      </c>
      <c r="E1084">
        <v>119960</v>
      </c>
      <c r="F1084">
        <v>50371</v>
      </c>
      <c r="G1084" t="s">
        <v>745</v>
      </c>
      <c r="H1084" t="s">
        <v>138</v>
      </c>
      <c r="I1084" t="s">
        <v>858</v>
      </c>
    </row>
    <row r="1085" spans="1:9" x14ac:dyDescent="0.2">
      <c r="A1085" t="s">
        <v>857</v>
      </c>
      <c r="D1085" t="str">
        <f>HYPERLINK("http://nlpdeep.cs.uic.edu:8080/proofing/gsii/50371-physical-examination-0-4.pdf","gsii/50371-physical-examination-0-4.pdf")</f>
        <v>gsii/50371-physical-examination-0-4.pdf</v>
      </c>
      <c r="E1085">
        <v>119960</v>
      </c>
      <c r="F1085">
        <v>50371</v>
      </c>
      <c r="G1085" t="s">
        <v>745</v>
      </c>
      <c r="H1085" t="s">
        <v>138</v>
      </c>
      <c r="I1085" t="s">
        <v>858</v>
      </c>
    </row>
    <row r="1086" spans="1:9" x14ac:dyDescent="0.2">
      <c r="A1086" t="s">
        <v>859</v>
      </c>
      <c r="D1086" t="str">
        <f>HYPERLINK("http://nlpdeep.cs.uic.edu:8080/proofing/t5/50371-physical-examination-0-5.pdf","t5/50371-physical-examination-0-5.pdf")</f>
        <v>t5/50371-physical-examination-0-5.pdf</v>
      </c>
      <c r="E1086">
        <v>119960</v>
      </c>
      <c r="F1086">
        <v>50371</v>
      </c>
      <c r="G1086" t="s">
        <v>745</v>
      </c>
      <c r="H1086" t="s">
        <v>138</v>
      </c>
      <c r="I1086" t="s">
        <v>860</v>
      </c>
    </row>
    <row r="1087" spans="1:9" x14ac:dyDescent="0.2">
      <c r="A1087" t="s">
        <v>859</v>
      </c>
      <c r="D1087" t="str">
        <f>HYPERLINK("http://nlpdeep.cs.uic.edu:8080/proofing/gsii/50371-physical-examination-0-5.pdf","gsii/50371-physical-examination-0-5.pdf")</f>
        <v>gsii/50371-physical-examination-0-5.pdf</v>
      </c>
      <c r="E1087">
        <v>119960</v>
      </c>
      <c r="F1087">
        <v>50371</v>
      </c>
      <c r="G1087" t="s">
        <v>745</v>
      </c>
      <c r="H1087" t="s">
        <v>138</v>
      </c>
      <c r="I1087" t="s">
        <v>860</v>
      </c>
    </row>
    <row r="1088" spans="1:9" x14ac:dyDescent="0.2">
      <c r="A1088" t="s">
        <v>861</v>
      </c>
      <c r="D1088" t="str">
        <f>HYPERLINK("http://nlpdeep.cs.uic.edu:8080/proofing/t5/50371-physical-examination-1-0.pdf","t5/50371-physical-examination-1-0.pdf")</f>
        <v>t5/50371-physical-examination-1-0.pdf</v>
      </c>
      <c r="E1088">
        <v>119960</v>
      </c>
      <c r="F1088">
        <v>50371</v>
      </c>
      <c r="G1088" t="s">
        <v>745</v>
      </c>
      <c r="H1088" t="s">
        <v>138</v>
      </c>
      <c r="I1088" t="s">
        <v>862</v>
      </c>
    </row>
    <row r="1089" spans="1:9" x14ac:dyDescent="0.2">
      <c r="A1089" t="s">
        <v>861</v>
      </c>
      <c r="D1089" t="str">
        <f>HYPERLINK("http://nlpdeep.cs.uic.edu:8080/proofing/gsii/50371-physical-examination-1-0.pdf","gsii/50371-physical-examination-1-0.pdf")</f>
        <v>gsii/50371-physical-examination-1-0.pdf</v>
      </c>
      <c r="E1089">
        <v>119960</v>
      </c>
      <c r="F1089">
        <v>50371</v>
      </c>
      <c r="G1089" t="s">
        <v>745</v>
      </c>
      <c r="H1089" t="s">
        <v>138</v>
      </c>
      <c r="I1089" t="s">
        <v>862</v>
      </c>
    </row>
    <row r="1090" spans="1:9" x14ac:dyDescent="0.2">
      <c r="A1090" t="s">
        <v>863</v>
      </c>
      <c r="D1090" t="str">
        <f>HYPERLINK("http://nlpdeep.cs.uic.edu:8080/proofing/t5/50371-physical-examination-1-1.pdf","t5/50371-physical-examination-1-1.pdf")</f>
        <v>t5/50371-physical-examination-1-1.pdf</v>
      </c>
      <c r="E1090">
        <v>119960</v>
      </c>
      <c r="F1090">
        <v>50371</v>
      </c>
      <c r="G1090" t="s">
        <v>745</v>
      </c>
      <c r="H1090" t="s">
        <v>138</v>
      </c>
      <c r="I1090" t="s">
        <v>864</v>
      </c>
    </row>
    <row r="1091" spans="1:9" x14ac:dyDescent="0.2">
      <c r="A1091" t="s">
        <v>863</v>
      </c>
      <c r="D1091" t="str">
        <f>HYPERLINK("http://nlpdeep.cs.uic.edu:8080/proofing/gsii/50371-physical-examination-1-1.pdf","gsii/50371-physical-examination-1-1.pdf")</f>
        <v>gsii/50371-physical-examination-1-1.pdf</v>
      </c>
      <c r="E1091">
        <v>119960</v>
      </c>
      <c r="F1091">
        <v>50371</v>
      </c>
      <c r="G1091" t="s">
        <v>745</v>
      </c>
      <c r="H1091" t="s">
        <v>138</v>
      </c>
      <c r="I1091" t="s">
        <v>864</v>
      </c>
    </row>
    <row r="1092" spans="1:9" x14ac:dyDescent="0.2">
      <c r="A1092" t="s">
        <v>865</v>
      </c>
      <c r="D1092" t="str">
        <f>HYPERLINK("http://nlpdeep.cs.uic.edu:8080/proofing/t5/50371-physical-examination-1-2.pdf","t5/50371-physical-examination-1-2.pdf")</f>
        <v>t5/50371-physical-examination-1-2.pdf</v>
      </c>
      <c r="E1092">
        <v>119960</v>
      </c>
      <c r="F1092">
        <v>50371</v>
      </c>
      <c r="G1092" t="s">
        <v>745</v>
      </c>
      <c r="H1092" t="s">
        <v>138</v>
      </c>
      <c r="I1092" t="s">
        <v>866</v>
      </c>
    </row>
    <row r="1093" spans="1:9" x14ac:dyDescent="0.2">
      <c r="A1093" t="s">
        <v>865</v>
      </c>
      <c r="D1093" t="str">
        <f>HYPERLINK("http://nlpdeep.cs.uic.edu:8080/proofing/gsii/50371-physical-examination-1-2.pdf","gsii/50371-physical-examination-1-2.pdf")</f>
        <v>gsii/50371-physical-examination-1-2.pdf</v>
      </c>
      <c r="E1093">
        <v>119960</v>
      </c>
      <c r="F1093">
        <v>50371</v>
      </c>
      <c r="G1093" t="s">
        <v>745</v>
      </c>
      <c r="H1093" t="s">
        <v>138</v>
      </c>
      <c r="I1093" t="s">
        <v>866</v>
      </c>
    </row>
    <row r="1094" spans="1:9" x14ac:dyDescent="0.2">
      <c r="A1094" t="s">
        <v>867</v>
      </c>
      <c r="D1094" t="str">
        <f>HYPERLINK("http://nlpdeep.cs.uic.edu:8080/proofing/t5/50371-physical-examination-1-3.pdf","t5/50371-physical-examination-1-3.pdf")</f>
        <v>t5/50371-physical-examination-1-3.pdf</v>
      </c>
      <c r="E1094">
        <v>119960</v>
      </c>
      <c r="F1094">
        <v>50371</v>
      </c>
      <c r="G1094" t="s">
        <v>745</v>
      </c>
      <c r="H1094" t="s">
        <v>138</v>
      </c>
      <c r="I1094" t="s">
        <v>868</v>
      </c>
    </row>
    <row r="1095" spans="1:9" x14ac:dyDescent="0.2">
      <c r="A1095" t="s">
        <v>867</v>
      </c>
      <c r="D1095" t="str">
        <f>HYPERLINK("http://nlpdeep.cs.uic.edu:8080/proofing/gsii/50371-physical-examination-1-3.pdf","gsii/50371-physical-examination-1-3.pdf")</f>
        <v>gsii/50371-physical-examination-1-3.pdf</v>
      </c>
      <c r="E1095">
        <v>119960</v>
      </c>
      <c r="F1095">
        <v>50371</v>
      </c>
      <c r="G1095" t="s">
        <v>745</v>
      </c>
      <c r="H1095" t="s">
        <v>138</v>
      </c>
      <c r="I1095" t="s">
        <v>868</v>
      </c>
    </row>
    <row r="1096" spans="1:9" x14ac:dyDescent="0.2">
      <c r="A1096" t="s">
        <v>869</v>
      </c>
      <c r="D1096" t="str">
        <f>HYPERLINK("http://nlpdeep.cs.uic.edu:8080/proofing/t5/50371-labs-imaging-0-0.pdf","t5/50371-labs-imaging-0-0.pdf")</f>
        <v>t5/50371-labs-imaging-0-0.pdf</v>
      </c>
      <c r="E1096">
        <v>119960</v>
      </c>
      <c r="F1096">
        <v>50371</v>
      </c>
      <c r="G1096" t="s">
        <v>745</v>
      </c>
      <c r="H1096" t="s">
        <v>147</v>
      </c>
    </row>
    <row r="1097" spans="1:9" x14ac:dyDescent="0.2">
      <c r="A1097" t="s">
        <v>869</v>
      </c>
      <c r="D1097" t="str">
        <f>HYPERLINK("http://nlpdeep.cs.uic.edu:8080/proofing/gsii/50371-labs-imaging-0-0.pdf","gsii/50371-labs-imaging-0-0.pdf")</f>
        <v>gsii/50371-labs-imaging-0-0.pdf</v>
      </c>
      <c r="E1097">
        <v>119960</v>
      </c>
      <c r="F1097">
        <v>50371</v>
      </c>
      <c r="G1097" t="s">
        <v>745</v>
      </c>
      <c r="H1097" t="s">
        <v>147</v>
      </c>
    </row>
    <row r="1098" spans="1:9" x14ac:dyDescent="0.2">
      <c r="A1098" t="s">
        <v>870</v>
      </c>
      <c r="D1098" t="str">
        <f>HYPERLINK("http://nlpdeep.cs.uic.edu:8080/proofing/t5/50371-labs-imaging-1-0.pdf","t5/50371-labs-imaging-1-0.pdf")</f>
        <v>t5/50371-labs-imaging-1-0.pdf</v>
      </c>
      <c r="E1098">
        <v>119960</v>
      </c>
      <c r="F1098">
        <v>50371</v>
      </c>
      <c r="G1098" t="s">
        <v>745</v>
      </c>
      <c r="H1098" t="s">
        <v>147</v>
      </c>
    </row>
    <row r="1099" spans="1:9" x14ac:dyDescent="0.2">
      <c r="A1099" t="s">
        <v>870</v>
      </c>
      <c r="D1099" t="str">
        <f>HYPERLINK("http://nlpdeep.cs.uic.edu:8080/proofing/gsii/50371-labs-imaging-1-0.pdf","gsii/50371-labs-imaging-1-0.pdf")</f>
        <v>gsii/50371-labs-imaging-1-0.pdf</v>
      </c>
      <c r="E1099">
        <v>119960</v>
      </c>
      <c r="F1099">
        <v>50371</v>
      </c>
      <c r="G1099" t="s">
        <v>745</v>
      </c>
      <c r="H1099" t="s">
        <v>147</v>
      </c>
    </row>
    <row r="1100" spans="1:9" x14ac:dyDescent="0.2">
      <c r="A1100" t="s">
        <v>871</v>
      </c>
      <c r="D1100" t="str">
        <f>HYPERLINK("http://nlpdeep.cs.uic.edu:8080/proofing/t5/50371-labs-imaging-2-0.pdf","t5/50371-labs-imaging-2-0.pdf")</f>
        <v>t5/50371-labs-imaging-2-0.pdf</v>
      </c>
      <c r="E1100">
        <v>119960</v>
      </c>
      <c r="F1100">
        <v>50371</v>
      </c>
      <c r="G1100" t="s">
        <v>745</v>
      </c>
      <c r="H1100" t="s">
        <v>147</v>
      </c>
    </row>
    <row r="1101" spans="1:9" x14ac:dyDescent="0.2">
      <c r="A1101" t="s">
        <v>871</v>
      </c>
      <c r="D1101" t="str">
        <f>HYPERLINK("http://nlpdeep.cs.uic.edu:8080/proofing/gsii/50371-labs-imaging-2-0.pdf","gsii/50371-labs-imaging-2-0.pdf")</f>
        <v>gsii/50371-labs-imaging-2-0.pdf</v>
      </c>
      <c r="E1101">
        <v>119960</v>
      </c>
      <c r="F1101">
        <v>50371</v>
      </c>
      <c r="G1101" t="s">
        <v>745</v>
      </c>
      <c r="H1101" t="s">
        <v>147</v>
      </c>
    </row>
    <row r="1102" spans="1:9" x14ac:dyDescent="0.2">
      <c r="A1102" t="s">
        <v>872</v>
      </c>
      <c r="D1102" t="str">
        <f>HYPERLINK("http://nlpdeep.cs.uic.edu:8080/proofing/t5/50371-labs-imaging-3-0.pdf","t5/50371-labs-imaging-3-0.pdf")</f>
        <v>t5/50371-labs-imaging-3-0.pdf</v>
      </c>
      <c r="E1102">
        <v>119960</v>
      </c>
      <c r="F1102">
        <v>50371</v>
      </c>
      <c r="G1102" t="s">
        <v>745</v>
      </c>
      <c r="H1102" t="s">
        <v>147</v>
      </c>
    </row>
    <row r="1103" spans="1:9" x14ac:dyDescent="0.2">
      <c r="A1103" t="s">
        <v>872</v>
      </c>
      <c r="D1103" t="str">
        <f>HYPERLINK("http://nlpdeep.cs.uic.edu:8080/proofing/gsii/50371-labs-imaging-3-0.pdf","gsii/50371-labs-imaging-3-0.pdf")</f>
        <v>gsii/50371-labs-imaging-3-0.pdf</v>
      </c>
      <c r="E1103">
        <v>119960</v>
      </c>
      <c r="F1103">
        <v>50371</v>
      </c>
      <c r="G1103" t="s">
        <v>745</v>
      </c>
      <c r="H1103" t="s">
        <v>147</v>
      </c>
    </row>
    <row r="1104" spans="1:9" x14ac:dyDescent="0.2">
      <c r="A1104" t="s">
        <v>873</v>
      </c>
      <c r="D1104" t="str">
        <f>HYPERLINK("http://nlpdeep.cs.uic.edu:8080/proofing/t5/50371-labs-imaging-4-0.pdf","t5/50371-labs-imaging-4-0.pdf")</f>
        <v>t5/50371-labs-imaging-4-0.pdf</v>
      </c>
      <c r="E1104">
        <v>119960</v>
      </c>
      <c r="F1104">
        <v>50371</v>
      </c>
      <c r="G1104" t="s">
        <v>745</v>
      </c>
      <c r="H1104" t="s">
        <v>147</v>
      </c>
      <c r="I1104" t="s">
        <v>874</v>
      </c>
    </row>
    <row r="1105" spans="1:9" x14ac:dyDescent="0.2">
      <c r="A1105" t="s">
        <v>873</v>
      </c>
      <c r="D1105" t="str">
        <f>HYPERLINK("http://nlpdeep.cs.uic.edu:8080/proofing/gsii/50371-labs-imaging-4-0.pdf","gsii/50371-labs-imaging-4-0.pdf")</f>
        <v>gsii/50371-labs-imaging-4-0.pdf</v>
      </c>
      <c r="E1105">
        <v>119960</v>
      </c>
      <c r="F1105">
        <v>50371</v>
      </c>
      <c r="G1105" t="s">
        <v>745</v>
      </c>
      <c r="H1105" t="s">
        <v>147</v>
      </c>
      <c r="I1105" t="s">
        <v>874</v>
      </c>
    </row>
    <row r="1106" spans="1:9" x14ac:dyDescent="0.2">
      <c r="A1106" t="s">
        <v>875</v>
      </c>
      <c r="D1106" t="str">
        <f>HYPERLINK("http://nlpdeep.cs.uic.edu:8080/proofing/t5/50371-labs-imaging-4-1.pdf","t5/50371-labs-imaging-4-1.pdf")</f>
        <v>t5/50371-labs-imaging-4-1.pdf</v>
      </c>
      <c r="E1106">
        <v>119960</v>
      </c>
      <c r="F1106">
        <v>50371</v>
      </c>
      <c r="G1106" t="s">
        <v>745</v>
      </c>
      <c r="H1106" t="s">
        <v>147</v>
      </c>
      <c r="I1106" t="s">
        <v>876</v>
      </c>
    </row>
    <row r="1107" spans="1:9" x14ac:dyDescent="0.2">
      <c r="A1107" t="s">
        <v>875</v>
      </c>
      <c r="D1107" t="str">
        <f>HYPERLINK("http://nlpdeep.cs.uic.edu:8080/proofing/gsii/50371-labs-imaging-4-1.pdf","gsii/50371-labs-imaging-4-1.pdf")</f>
        <v>gsii/50371-labs-imaging-4-1.pdf</v>
      </c>
      <c r="E1107">
        <v>119960</v>
      </c>
      <c r="F1107">
        <v>50371</v>
      </c>
      <c r="G1107" t="s">
        <v>745</v>
      </c>
      <c r="H1107" t="s">
        <v>147</v>
      </c>
      <c r="I1107" t="s">
        <v>876</v>
      </c>
    </row>
    <row r="1108" spans="1:9" x14ac:dyDescent="0.2">
      <c r="A1108" t="s">
        <v>877</v>
      </c>
      <c r="D1108" t="str">
        <f>HYPERLINK("http://nlpdeep.cs.uic.edu:8080/proofing/t5/50371-labs-imaging-4-2.pdf","t5/50371-labs-imaging-4-2.pdf")</f>
        <v>t5/50371-labs-imaging-4-2.pdf</v>
      </c>
      <c r="E1108">
        <v>119960</v>
      </c>
      <c r="F1108">
        <v>50371</v>
      </c>
      <c r="G1108" t="s">
        <v>745</v>
      </c>
      <c r="H1108" t="s">
        <v>147</v>
      </c>
      <c r="I1108" t="s">
        <v>878</v>
      </c>
    </row>
    <row r="1109" spans="1:9" x14ac:dyDescent="0.2">
      <c r="A1109" t="s">
        <v>877</v>
      </c>
      <c r="D1109" t="str">
        <f>HYPERLINK("http://nlpdeep.cs.uic.edu:8080/proofing/gsii/50371-labs-imaging-4-2.pdf","gsii/50371-labs-imaging-4-2.pdf")</f>
        <v>gsii/50371-labs-imaging-4-2.pdf</v>
      </c>
      <c r="E1109">
        <v>119960</v>
      </c>
      <c r="F1109">
        <v>50371</v>
      </c>
      <c r="G1109" t="s">
        <v>745</v>
      </c>
      <c r="H1109" t="s">
        <v>147</v>
      </c>
      <c r="I1109" t="s">
        <v>878</v>
      </c>
    </row>
    <row r="1110" spans="1:9" x14ac:dyDescent="0.2">
      <c r="A1110" t="s">
        <v>879</v>
      </c>
      <c r="D1110" t="str">
        <f>HYPERLINK("http://nlpdeep.cs.uic.edu:8080/proofing/t5/50371-labs-imaging-4-3.pdf","t5/50371-labs-imaging-4-3.pdf")</f>
        <v>t5/50371-labs-imaging-4-3.pdf</v>
      </c>
      <c r="E1110">
        <v>119960</v>
      </c>
      <c r="F1110">
        <v>50371</v>
      </c>
      <c r="G1110" t="s">
        <v>745</v>
      </c>
      <c r="H1110" t="s">
        <v>147</v>
      </c>
      <c r="I1110" t="s">
        <v>880</v>
      </c>
    </row>
    <row r="1111" spans="1:9" x14ac:dyDescent="0.2">
      <c r="A1111" t="s">
        <v>879</v>
      </c>
      <c r="D1111" t="str">
        <f>HYPERLINK("http://nlpdeep.cs.uic.edu:8080/proofing/gsii/50371-labs-imaging-4-3.pdf","gsii/50371-labs-imaging-4-3.pdf")</f>
        <v>gsii/50371-labs-imaging-4-3.pdf</v>
      </c>
      <c r="E1111">
        <v>119960</v>
      </c>
      <c r="F1111">
        <v>50371</v>
      </c>
      <c r="G1111" t="s">
        <v>745</v>
      </c>
      <c r="H1111" t="s">
        <v>147</v>
      </c>
      <c r="I1111" t="s">
        <v>880</v>
      </c>
    </row>
    <row r="1112" spans="1:9" x14ac:dyDescent="0.2">
      <c r="A1112" t="s">
        <v>881</v>
      </c>
      <c r="D1112" t="str">
        <f>HYPERLINK("http://nlpdeep.cs.uic.edu:8080/proofing/t5/50371-labs-imaging-4-4.pdf","t5/50371-labs-imaging-4-4.pdf")</f>
        <v>t5/50371-labs-imaging-4-4.pdf</v>
      </c>
      <c r="E1112">
        <v>119960</v>
      </c>
      <c r="F1112">
        <v>50371</v>
      </c>
      <c r="G1112" t="s">
        <v>745</v>
      </c>
      <c r="H1112" t="s">
        <v>147</v>
      </c>
      <c r="I1112" t="s">
        <v>882</v>
      </c>
    </row>
    <row r="1113" spans="1:9" x14ac:dyDescent="0.2">
      <c r="A1113" t="s">
        <v>881</v>
      </c>
      <c r="D1113" t="str">
        <f>HYPERLINK("http://nlpdeep.cs.uic.edu:8080/proofing/gsii/50371-labs-imaging-4-4.pdf","gsii/50371-labs-imaging-4-4.pdf")</f>
        <v>gsii/50371-labs-imaging-4-4.pdf</v>
      </c>
      <c r="E1113">
        <v>119960</v>
      </c>
      <c r="F1113">
        <v>50371</v>
      </c>
      <c r="G1113" t="s">
        <v>745</v>
      </c>
      <c r="H1113" t="s">
        <v>147</v>
      </c>
      <c r="I1113" t="s">
        <v>882</v>
      </c>
    </row>
    <row r="1114" spans="1:9" x14ac:dyDescent="0.2">
      <c r="A1114" t="s">
        <v>883</v>
      </c>
      <c r="D1114" t="str">
        <f>HYPERLINK("http://nlpdeep.cs.uic.edu:8080/proofing/t5/50371-labs-imaging-4-5.pdf","t5/50371-labs-imaging-4-5.pdf")</f>
        <v>t5/50371-labs-imaging-4-5.pdf</v>
      </c>
      <c r="E1114">
        <v>119960</v>
      </c>
      <c r="F1114">
        <v>50371</v>
      </c>
      <c r="G1114" t="s">
        <v>745</v>
      </c>
      <c r="H1114" t="s">
        <v>147</v>
      </c>
      <c r="I1114" t="s">
        <v>158</v>
      </c>
    </row>
    <row r="1115" spans="1:9" x14ac:dyDescent="0.2">
      <c r="A1115" t="s">
        <v>883</v>
      </c>
      <c r="D1115" t="str">
        <f>HYPERLINK("http://nlpdeep.cs.uic.edu:8080/proofing/gsii/50371-labs-imaging-4-5.pdf","gsii/50371-labs-imaging-4-5.pdf")</f>
        <v>gsii/50371-labs-imaging-4-5.pdf</v>
      </c>
      <c r="E1115">
        <v>119960</v>
      </c>
      <c r="F1115">
        <v>50371</v>
      </c>
      <c r="G1115" t="s">
        <v>745</v>
      </c>
      <c r="H1115" t="s">
        <v>147</v>
      </c>
      <c r="I1115" t="s">
        <v>158</v>
      </c>
    </row>
    <row r="1116" spans="1:9" x14ac:dyDescent="0.2">
      <c r="A1116" t="s">
        <v>884</v>
      </c>
      <c r="D1116" t="str">
        <f>HYPERLINK("http://nlpdeep.cs.uic.edu:8080/proofing/t5/50371-labs-imaging-4-6.pdf","t5/50371-labs-imaging-4-6.pdf")</f>
        <v>t5/50371-labs-imaging-4-6.pdf</v>
      </c>
      <c r="E1116">
        <v>119960</v>
      </c>
      <c r="F1116">
        <v>50371</v>
      </c>
      <c r="G1116" t="s">
        <v>745</v>
      </c>
      <c r="H1116" t="s">
        <v>147</v>
      </c>
      <c r="I1116" t="s">
        <v>885</v>
      </c>
    </row>
    <row r="1117" spans="1:9" x14ac:dyDescent="0.2">
      <c r="A1117" t="s">
        <v>884</v>
      </c>
      <c r="D1117" t="str">
        <f>HYPERLINK("http://nlpdeep.cs.uic.edu:8080/proofing/gsii/50371-labs-imaging-4-6.pdf","gsii/50371-labs-imaging-4-6.pdf")</f>
        <v>gsii/50371-labs-imaging-4-6.pdf</v>
      </c>
      <c r="E1117">
        <v>119960</v>
      </c>
      <c r="F1117">
        <v>50371</v>
      </c>
      <c r="G1117" t="s">
        <v>745</v>
      </c>
      <c r="H1117" t="s">
        <v>147</v>
      </c>
      <c r="I1117" t="s">
        <v>885</v>
      </c>
    </row>
    <row r="1118" spans="1:9" x14ac:dyDescent="0.2">
      <c r="A1118" t="s">
        <v>886</v>
      </c>
      <c r="D1118" t="str">
        <f>HYPERLINK("http://nlpdeep.cs.uic.edu:8080/proofing/t5/50371-labs-imaging-4-7.pdf","t5/50371-labs-imaging-4-7.pdf")</f>
        <v>t5/50371-labs-imaging-4-7.pdf</v>
      </c>
      <c r="E1118">
        <v>119960</v>
      </c>
      <c r="F1118">
        <v>50371</v>
      </c>
      <c r="G1118" t="s">
        <v>745</v>
      </c>
      <c r="H1118" t="s">
        <v>147</v>
      </c>
      <c r="I1118" t="s">
        <v>887</v>
      </c>
    </row>
    <row r="1119" spans="1:9" x14ac:dyDescent="0.2">
      <c r="A1119" t="s">
        <v>886</v>
      </c>
      <c r="D1119" t="str">
        <f>HYPERLINK("http://nlpdeep.cs.uic.edu:8080/proofing/gsii/50371-labs-imaging-4-7.pdf","gsii/50371-labs-imaging-4-7.pdf")</f>
        <v>gsii/50371-labs-imaging-4-7.pdf</v>
      </c>
      <c r="E1119">
        <v>119960</v>
      </c>
      <c r="F1119">
        <v>50371</v>
      </c>
      <c r="G1119" t="s">
        <v>745</v>
      </c>
      <c r="H1119" t="s">
        <v>147</v>
      </c>
      <c r="I1119" t="s">
        <v>887</v>
      </c>
    </row>
    <row r="1120" spans="1:9" x14ac:dyDescent="0.2">
      <c r="A1120" t="s">
        <v>888</v>
      </c>
      <c r="D1120" t="str">
        <f>HYPERLINK("http://nlpdeep.cs.uic.edu:8080/proofing/t5/50371-labs-imaging-4-8.pdf","t5/50371-labs-imaging-4-8.pdf")</f>
        <v>t5/50371-labs-imaging-4-8.pdf</v>
      </c>
      <c r="E1120">
        <v>119960</v>
      </c>
      <c r="F1120">
        <v>50371</v>
      </c>
      <c r="G1120" t="s">
        <v>745</v>
      </c>
      <c r="H1120" t="s">
        <v>147</v>
      </c>
      <c r="I1120" t="s">
        <v>164</v>
      </c>
    </row>
    <row r="1121" spans="1:9" x14ac:dyDescent="0.2">
      <c r="A1121" t="s">
        <v>888</v>
      </c>
      <c r="D1121" t="str">
        <f>HYPERLINK("http://nlpdeep.cs.uic.edu:8080/proofing/gsii/50371-labs-imaging-4-8.pdf","gsii/50371-labs-imaging-4-8.pdf")</f>
        <v>gsii/50371-labs-imaging-4-8.pdf</v>
      </c>
      <c r="E1121">
        <v>119960</v>
      </c>
      <c r="F1121">
        <v>50371</v>
      </c>
      <c r="G1121" t="s">
        <v>745</v>
      </c>
      <c r="H1121" t="s">
        <v>147</v>
      </c>
      <c r="I1121" t="s">
        <v>164</v>
      </c>
    </row>
    <row r="1122" spans="1:9" x14ac:dyDescent="0.2">
      <c r="A1122" t="s">
        <v>889</v>
      </c>
      <c r="D1122" t="str">
        <f>HYPERLINK("http://nlpdeep.cs.uic.edu:8080/proofing/t5/50371-labs-imaging-5-0.pdf","t5/50371-labs-imaging-5-0.pdf")</f>
        <v>t5/50371-labs-imaging-5-0.pdf</v>
      </c>
      <c r="E1122">
        <v>119960</v>
      </c>
      <c r="F1122">
        <v>50371</v>
      </c>
      <c r="G1122" t="s">
        <v>745</v>
      </c>
      <c r="H1122" t="s">
        <v>147</v>
      </c>
      <c r="I1122" t="s">
        <v>890</v>
      </c>
    </row>
    <row r="1123" spans="1:9" x14ac:dyDescent="0.2">
      <c r="A1123" t="s">
        <v>889</v>
      </c>
      <c r="D1123" t="str">
        <f>HYPERLINK("http://nlpdeep.cs.uic.edu:8080/proofing/gsii/50371-labs-imaging-5-0.pdf","gsii/50371-labs-imaging-5-0.pdf")</f>
        <v>gsii/50371-labs-imaging-5-0.pdf</v>
      </c>
      <c r="E1123">
        <v>119960</v>
      </c>
      <c r="F1123">
        <v>50371</v>
      </c>
      <c r="G1123" t="s">
        <v>745</v>
      </c>
      <c r="H1123" t="s">
        <v>147</v>
      </c>
      <c r="I1123" t="s">
        <v>890</v>
      </c>
    </row>
    <row r="1124" spans="1:9" x14ac:dyDescent="0.2">
      <c r="A1124" t="s">
        <v>891</v>
      </c>
      <c r="D1124" t="str">
        <f>HYPERLINK("http://nlpdeep.cs.uic.edu:8080/proofing/t5/50371-labs-imaging-5-1.pdf","t5/50371-labs-imaging-5-1.pdf")</f>
        <v>t5/50371-labs-imaging-5-1.pdf</v>
      </c>
      <c r="E1124">
        <v>119960</v>
      </c>
      <c r="F1124">
        <v>50371</v>
      </c>
      <c r="G1124" t="s">
        <v>745</v>
      </c>
      <c r="H1124" t="s">
        <v>147</v>
      </c>
      <c r="I1124" t="s">
        <v>892</v>
      </c>
    </row>
    <row r="1125" spans="1:9" x14ac:dyDescent="0.2">
      <c r="A1125" t="s">
        <v>891</v>
      </c>
      <c r="D1125" t="str">
        <f>HYPERLINK("http://nlpdeep.cs.uic.edu:8080/proofing/gsii/50371-labs-imaging-5-1.pdf","gsii/50371-labs-imaging-5-1.pdf")</f>
        <v>gsii/50371-labs-imaging-5-1.pdf</v>
      </c>
      <c r="E1125">
        <v>119960</v>
      </c>
      <c r="F1125">
        <v>50371</v>
      </c>
      <c r="G1125" t="s">
        <v>745</v>
      </c>
      <c r="H1125" t="s">
        <v>147</v>
      </c>
      <c r="I1125" t="s">
        <v>892</v>
      </c>
    </row>
    <row r="1126" spans="1:9" x14ac:dyDescent="0.2">
      <c r="A1126" t="s">
        <v>893</v>
      </c>
      <c r="D1126" t="str">
        <f>HYPERLINK("http://nlpdeep.cs.uic.edu:8080/proofing/t5/50371-labs-imaging-5-2.pdf","t5/50371-labs-imaging-5-2.pdf")</f>
        <v>t5/50371-labs-imaging-5-2.pdf</v>
      </c>
      <c r="E1126">
        <v>119960</v>
      </c>
      <c r="F1126">
        <v>50371</v>
      </c>
      <c r="G1126" t="s">
        <v>745</v>
      </c>
      <c r="H1126" t="s">
        <v>147</v>
      </c>
      <c r="I1126" t="s">
        <v>894</v>
      </c>
    </row>
    <row r="1127" spans="1:9" x14ac:dyDescent="0.2">
      <c r="A1127" t="s">
        <v>893</v>
      </c>
      <c r="D1127" t="str">
        <f>HYPERLINK("http://nlpdeep.cs.uic.edu:8080/proofing/gsii/50371-labs-imaging-5-2.pdf","gsii/50371-labs-imaging-5-2.pdf")</f>
        <v>gsii/50371-labs-imaging-5-2.pdf</v>
      </c>
      <c r="E1127">
        <v>119960</v>
      </c>
      <c r="F1127">
        <v>50371</v>
      </c>
      <c r="G1127" t="s">
        <v>745</v>
      </c>
      <c r="H1127" t="s">
        <v>147</v>
      </c>
      <c r="I1127" t="s">
        <v>894</v>
      </c>
    </row>
    <row r="1128" spans="1:9" x14ac:dyDescent="0.2">
      <c r="A1128" t="s">
        <v>895</v>
      </c>
      <c r="D1128" t="str">
        <f>HYPERLINK("http://nlpdeep.cs.uic.edu:8080/proofing/t5/50371-labs-imaging-5-3.pdf","t5/50371-labs-imaging-5-3.pdf")</f>
        <v>t5/50371-labs-imaging-5-3.pdf</v>
      </c>
      <c r="E1128">
        <v>119960</v>
      </c>
      <c r="F1128">
        <v>50371</v>
      </c>
      <c r="G1128" t="s">
        <v>745</v>
      </c>
      <c r="H1128" t="s">
        <v>147</v>
      </c>
      <c r="I1128" t="s">
        <v>896</v>
      </c>
    </row>
    <row r="1129" spans="1:9" x14ac:dyDescent="0.2">
      <c r="A1129" t="s">
        <v>895</v>
      </c>
      <c r="D1129" t="str">
        <f>HYPERLINK("http://nlpdeep.cs.uic.edu:8080/proofing/gsii/50371-labs-imaging-5-3.pdf","gsii/50371-labs-imaging-5-3.pdf")</f>
        <v>gsii/50371-labs-imaging-5-3.pdf</v>
      </c>
      <c r="E1129">
        <v>119960</v>
      </c>
      <c r="F1129">
        <v>50371</v>
      </c>
      <c r="G1129" t="s">
        <v>745</v>
      </c>
      <c r="H1129" t="s">
        <v>147</v>
      </c>
      <c r="I1129" t="s">
        <v>896</v>
      </c>
    </row>
    <row r="1130" spans="1:9" x14ac:dyDescent="0.2">
      <c r="A1130" t="s">
        <v>897</v>
      </c>
      <c r="D1130" t="str">
        <f>HYPERLINK("http://nlpdeep.cs.uic.edu:8080/proofing/t5/50371-labs-imaging-5-4.pdf","t5/50371-labs-imaging-5-4.pdf")</f>
        <v>t5/50371-labs-imaging-5-4.pdf</v>
      </c>
      <c r="E1130">
        <v>119960</v>
      </c>
      <c r="F1130">
        <v>50371</v>
      </c>
      <c r="G1130" t="s">
        <v>745</v>
      </c>
      <c r="H1130" t="s">
        <v>147</v>
      </c>
      <c r="I1130" t="s">
        <v>898</v>
      </c>
    </row>
    <row r="1131" spans="1:9" x14ac:dyDescent="0.2">
      <c r="A1131" t="s">
        <v>897</v>
      </c>
      <c r="D1131" t="str">
        <f>HYPERLINK("http://nlpdeep.cs.uic.edu:8080/proofing/gsii/50371-labs-imaging-5-4.pdf","gsii/50371-labs-imaging-5-4.pdf")</f>
        <v>gsii/50371-labs-imaging-5-4.pdf</v>
      </c>
      <c r="E1131">
        <v>119960</v>
      </c>
      <c r="F1131">
        <v>50371</v>
      </c>
      <c r="G1131" t="s">
        <v>745</v>
      </c>
      <c r="H1131" t="s">
        <v>147</v>
      </c>
      <c r="I1131" t="s">
        <v>898</v>
      </c>
    </row>
    <row r="1132" spans="1:9" x14ac:dyDescent="0.2">
      <c r="A1132" t="s">
        <v>899</v>
      </c>
      <c r="D1132" t="str">
        <f>HYPERLINK("http://nlpdeep.cs.uic.edu:8080/proofing/t5/50371-labs-imaging-5-5.pdf","t5/50371-labs-imaging-5-5.pdf")</f>
        <v>t5/50371-labs-imaging-5-5.pdf</v>
      </c>
      <c r="E1132">
        <v>119960</v>
      </c>
      <c r="F1132">
        <v>50371</v>
      </c>
      <c r="G1132" t="s">
        <v>745</v>
      </c>
      <c r="H1132" t="s">
        <v>147</v>
      </c>
      <c r="I1132" t="s">
        <v>900</v>
      </c>
    </row>
    <row r="1133" spans="1:9" x14ac:dyDescent="0.2">
      <c r="A1133" t="s">
        <v>899</v>
      </c>
      <c r="D1133" t="str">
        <f>HYPERLINK("http://nlpdeep.cs.uic.edu:8080/proofing/gsii/50371-labs-imaging-5-5.pdf","gsii/50371-labs-imaging-5-5.pdf")</f>
        <v>gsii/50371-labs-imaging-5-5.pdf</v>
      </c>
      <c r="E1133">
        <v>119960</v>
      </c>
      <c r="F1133">
        <v>50371</v>
      </c>
      <c r="G1133" t="s">
        <v>745</v>
      </c>
      <c r="H1133" t="s">
        <v>147</v>
      </c>
      <c r="I1133" t="s">
        <v>900</v>
      </c>
    </row>
    <row r="1134" spans="1:9" x14ac:dyDescent="0.2">
      <c r="A1134" t="s">
        <v>901</v>
      </c>
      <c r="D1134" t="str">
        <f>HYPERLINK("http://nlpdeep.cs.uic.edu:8080/proofing/t5/50371-labs-imaging-5-6.pdf","t5/50371-labs-imaging-5-6.pdf")</f>
        <v>t5/50371-labs-imaging-5-6.pdf</v>
      </c>
      <c r="E1134">
        <v>119960</v>
      </c>
      <c r="F1134">
        <v>50371</v>
      </c>
      <c r="G1134" t="s">
        <v>745</v>
      </c>
      <c r="H1134" t="s">
        <v>147</v>
      </c>
      <c r="I1134" t="s">
        <v>902</v>
      </c>
    </row>
    <row r="1135" spans="1:9" x14ac:dyDescent="0.2">
      <c r="A1135" t="s">
        <v>901</v>
      </c>
      <c r="D1135" t="str">
        <f>HYPERLINK("http://nlpdeep.cs.uic.edu:8080/proofing/gsii/50371-labs-imaging-5-6.pdf","gsii/50371-labs-imaging-5-6.pdf")</f>
        <v>gsii/50371-labs-imaging-5-6.pdf</v>
      </c>
      <c r="E1135">
        <v>119960</v>
      </c>
      <c r="F1135">
        <v>50371</v>
      </c>
      <c r="G1135" t="s">
        <v>745</v>
      </c>
      <c r="H1135" t="s">
        <v>147</v>
      </c>
      <c r="I1135" t="s">
        <v>902</v>
      </c>
    </row>
    <row r="1136" spans="1:9" x14ac:dyDescent="0.2">
      <c r="A1136" t="s">
        <v>903</v>
      </c>
      <c r="D1136" t="str">
        <f>HYPERLINK("http://nlpdeep.cs.uic.edu:8080/proofing/t5/50371-labs-imaging-6-0.pdf","t5/50371-labs-imaging-6-0.pdf")</f>
        <v>t5/50371-labs-imaging-6-0.pdf</v>
      </c>
      <c r="E1136">
        <v>119960</v>
      </c>
      <c r="F1136">
        <v>50371</v>
      </c>
      <c r="G1136" t="s">
        <v>745</v>
      </c>
      <c r="H1136" t="s">
        <v>147</v>
      </c>
      <c r="I1136" t="s">
        <v>904</v>
      </c>
    </row>
    <row r="1137" spans="1:9" x14ac:dyDescent="0.2">
      <c r="A1137" t="s">
        <v>903</v>
      </c>
      <c r="D1137" t="str">
        <f>HYPERLINK("http://nlpdeep.cs.uic.edu:8080/proofing/gsii/50371-labs-imaging-6-0.pdf","gsii/50371-labs-imaging-6-0.pdf")</f>
        <v>gsii/50371-labs-imaging-6-0.pdf</v>
      </c>
      <c r="E1137">
        <v>119960</v>
      </c>
      <c r="F1137">
        <v>50371</v>
      </c>
      <c r="G1137" t="s">
        <v>745</v>
      </c>
      <c r="H1137" t="s">
        <v>147</v>
      </c>
      <c r="I1137" t="s">
        <v>904</v>
      </c>
    </row>
    <row r="1138" spans="1:9" x14ac:dyDescent="0.2">
      <c r="A1138" t="s">
        <v>905</v>
      </c>
      <c r="D1138" t="str">
        <f>HYPERLINK("http://nlpdeep.cs.uic.edu:8080/proofing/t5/50371-labs-imaging-7-0.pdf","t5/50371-labs-imaging-7-0.pdf")</f>
        <v>t5/50371-labs-imaging-7-0.pdf</v>
      </c>
      <c r="E1138">
        <v>119960</v>
      </c>
      <c r="F1138">
        <v>50371</v>
      </c>
      <c r="G1138" t="s">
        <v>745</v>
      </c>
      <c r="H1138" t="s">
        <v>147</v>
      </c>
      <c r="I1138" t="s">
        <v>906</v>
      </c>
    </row>
    <row r="1139" spans="1:9" x14ac:dyDescent="0.2">
      <c r="A1139" t="s">
        <v>905</v>
      </c>
      <c r="D1139" t="str">
        <f>HYPERLINK("http://nlpdeep.cs.uic.edu:8080/proofing/gsii/50371-labs-imaging-7-0.pdf","gsii/50371-labs-imaging-7-0.pdf")</f>
        <v>gsii/50371-labs-imaging-7-0.pdf</v>
      </c>
      <c r="E1139">
        <v>119960</v>
      </c>
      <c r="F1139">
        <v>50371</v>
      </c>
      <c r="G1139" t="s">
        <v>745</v>
      </c>
      <c r="H1139" t="s">
        <v>147</v>
      </c>
      <c r="I1139" t="s">
        <v>906</v>
      </c>
    </row>
    <row r="1140" spans="1:9" x14ac:dyDescent="0.2">
      <c r="A1140" t="s">
        <v>907</v>
      </c>
      <c r="D1140" t="str">
        <f>HYPERLINK("http://nlpdeep.cs.uic.edu:8080/proofing/t5/50371-labs-imaging-7-1.pdf","t5/50371-labs-imaging-7-1.pdf")</f>
        <v>t5/50371-labs-imaging-7-1.pdf</v>
      </c>
      <c r="E1140">
        <v>119960</v>
      </c>
      <c r="F1140">
        <v>50371</v>
      </c>
      <c r="G1140" t="s">
        <v>745</v>
      </c>
      <c r="H1140" t="s">
        <v>147</v>
      </c>
      <c r="I1140" t="s">
        <v>908</v>
      </c>
    </row>
    <row r="1141" spans="1:9" x14ac:dyDescent="0.2">
      <c r="A1141" t="s">
        <v>907</v>
      </c>
      <c r="D1141" t="str">
        <f>HYPERLINK("http://nlpdeep.cs.uic.edu:8080/proofing/gsii/50371-labs-imaging-7-1.pdf","gsii/50371-labs-imaging-7-1.pdf")</f>
        <v>gsii/50371-labs-imaging-7-1.pdf</v>
      </c>
      <c r="E1141">
        <v>119960</v>
      </c>
      <c r="F1141">
        <v>50371</v>
      </c>
      <c r="G1141" t="s">
        <v>745</v>
      </c>
      <c r="H1141" t="s">
        <v>147</v>
      </c>
      <c r="I1141" t="s">
        <v>908</v>
      </c>
    </row>
    <row r="1142" spans="1:9" x14ac:dyDescent="0.2">
      <c r="A1142" t="s">
        <v>909</v>
      </c>
      <c r="D1142" t="str">
        <f>HYPERLINK("http://nlpdeep.cs.uic.edu:8080/proofing/t5/50371-labs-imaging-7-2.pdf","t5/50371-labs-imaging-7-2.pdf")</f>
        <v>t5/50371-labs-imaging-7-2.pdf</v>
      </c>
      <c r="E1142">
        <v>119960</v>
      </c>
      <c r="F1142">
        <v>50371</v>
      </c>
      <c r="G1142" t="s">
        <v>745</v>
      </c>
      <c r="H1142" t="s">
        <v>147</v>
      </c>
      <c r="I1142" t="s">
        <v>910</v>
      </c>
    </row>
    <row r="1143" spans="1:9" x14ac:dyDescent="0.2">
      <c r="A1143" t="s">
        <v>909</v>
      </c>
      <c r="D1143" t="str">
        <f>HYPERLINK("http://nlpdeep.cs.uic.edu:8080/proofing/gsii/50371-labs-imaging-7-2.pdf","gsii/50371-labs-imaging-7-2.pdf")</f>
        <v>gsii/50371-labs-imaging-7-2.pdf</v>
      </c>
      <c r="E1143">
        <v>119960</v>
      </c>
      <c r="F1143">
        <v>50371</v>
      </c>
      <c r="G1143" t="s">
        <v>745</v>
      </c>
      <c r="H1143" t="s">
        <v>147</v>
      </c>
      <c r="I1143" t="s">
        <v>910</v>
      </c>
    </row>
    <row r="1144" spans="1:9" x14ac:dyDescent="0.2">
      <c r="A1144" t="s">
        <v>911</v>
      </c>
      <c r="D1144" t="str">
        <f>HYPERLINK("http://nlpdeep.cs.uic.edu:8080/proofing/t5/50371-labs-imaging-7-3.pdf","t5/50371-labs-imaging-7-3.pdf")</f>
        <v>t5/50371-labs-imaging-7-3.pdf</v>
      </c>
      <c r="E1144">
        <v>119960</v>
      </c>
      <c r="F1144">
        <v>50371</v>
      </c>
      <c r="G1144" t="s">
        <v>745</v>
      </c>
      <c r="H1144" t="s">
        <v>147</v>
      </c>
      <c r="I1144" t="s">
        <v>912</v>
      </c>
    </row>
    <row r="1145" spans="1:9" x14ac:dyDescent="0.2">
      <c r="A1145" t="s">
        <v>911</v>
      </c>
      <c r="D1145" t="str">
        <f>HYPERLINK("http://nlpdeep.cs.uic.edu:8080/proofing/gsii/50371-labs-imaging-7-3.pdf","gsii/50371-labs-imaging-7-3.pdf")</f>
        <v>gsii/50371-labs-imaging-7-3.pdf</v>
      </c>
      <c r="E1145">
        <v>119960</v>
      </c>
      <c r="F1145">
        <v>50371</v>
      </c>
      <c r="G1145" t="s">
        <v>745</v>
      </c>
      <c r="H1145" t="s">
        <v>147</v>
      </c>
      <c r="I1145" t="s">
        <v>912</v>
      </c>
    </row>
    <row r="1146" spans="1:9" x14ac:dyDescent="0.2">
      <c r="A1146" t="s">
        <v>913</v>
      </c>
      <c r="D1146" t="str">
        <f>HYPERLINK("http://nlpdeep.cs.uic.edu:8080/proofing/t5/50371-labs-imaging-7-4.pdf","t5/50371-labs-imaging-7-4.pdf")</f>
        <v>t5/50371-labs-imaging-7-4.pdf</v>
      </c>
      <c r="E1146">
        <v>119960</v>
      </c>
      <c r="F1146">
        <v>50371</v>
      </c>
      <c r="G1146" t="s">
        <v>745</v>
      </c>
      <c r="H1146" t="s">
        <v>147</v>
      </c>
      <c r="I1146" t="s">
        <v>914</v>
      </c>
    </row>
    <row r="1147" spans="1:9" x14ac:dyDescent="0.2">
      <c r="A1147" t="s">
        <v>913</v>
      </c>
      <c r="D1147" t="str">
        <f>HYPERLINK("http://nlpdeep.cs.uic.edu:8080/proofing/gsii/50371-labs-imaging-7-4.pdf","gsii/50371-labs-imaging-7-4.pdf")</f>
        <v>gsii/50371-labs-imaging-7-4.pdf</v>
      </c>
      <c r="E1147">
        <v>119960</v>
      </c>
      <c r="F1147">
        <v>50371</v>
      </c>
      <c r="G1147" t="s">
        <v>745</v>
      </c>
      <c r="H1147" t="s">
        <v>147</v>
      </c>
      <c r="I1147" t="s">
        <v>914</v>
      </c>
    </row>
    <row r="1148" spans="1:9" x14ac:dyDescent="0.2">
      <c r="A1148" t="s">
        <v>915</v>
      </c>
      <c r="D1148" t="str">
        <f>HYPERLINK("http://nlpdeep.cs.uic.edu:8080/proofing/t5/50371-labs-imaging-7-5.pdf","t5/50371-labs-imaging-7-5.pdf")</f>
        <v>t5/50371-labs-imaging-7-5.pdf</v>
      </c>
      <c r="E1148">
        <v>119960</v>
      </c>
      <c r="F1148">
        <v>50371</v>
      </c>
      <c r="G1148" t="s">
        <v>745</v>
      </c>
      <c r="H1148" t="s">
        <v>147</v>
      </c>
      <c r="I1148" t="s">
        <v>916</v>
      </c>
    </row>
    <row r="1149" spans="1:9" x14ac:dyDescent="0.2">
      <c r="A1149" t="s">
        <v>915</v>
      </c>
      <c r="D1149" t="str">
        <f>HYPERLINK("http://nlpdeep.cs.uic.edu:8080/proofing/gsii/50371-labs-imaging-7-5.pdf","gsii/50371-labs-imaging-7-5.pdf")</f>
        <v>gsii/50371-labs-imaging-7-5.pdf</v>
      </c>
      <c r="E1149">
        <v>119960</v>
      </c>
      <c r="F1149">
        <v>50371</v>
      </c>
      <c r="G1149" t="s">
        <v>745</v>
      </c>
      <c r="H1149" t="s">
        <v>147</v>
      </c>
      <c r="I1149" t="s">
        <v>916</v>
      </c>
    </row>
    <row r="1150" spans="1:9" x14ac:dyDescent="0.2">
      <c r="A1150" t="s">
        <v>917</v>
      </c>
      <c r="D1150" t="str">
        <f>HYPERLINK("http://nlpdeep.cs.uic.edu:8080/proofing/t5/50371-labs-imaging-7-6.pdf","t5/50371-labs-imaging-7-6.pdf")</f>
        <v>t5/50371-labs-imaging-7-6.pdf</v>
      </c>
      <c r="E1150">
        <v>119960</v>
      </c>
      <c r="F1150">
        <v>50371</v>
      </c>
      <c r="G1150" t="s">
        <v>745</v>
      </c>
      <c r="H1150" t="s">
        <v>147</v>
      </c>
      <c r="I1150" t="s">
        <v>918</v>
      </c>
    </row>
    <row r="1151" spans="1:9" x14ac:dyDescent="0.2">
      <c r="A1151" t="s">
        <v>917</v>
      </c>
      <c r="D1151" t="str">
        <f>HYPERLINK("http://nlpdeep.cs.uic.edu:8080/proofing/gsii/50371-labs-imaging-7-6.pdf","gsii/50371-labs-imaging-7-6.pdf")</f>
        <v>gsii/50371-labs-imaging-7-6.pdf</v>
      </c>
      <c r="E1151">
        <v>119960</v>
      </c>
      <c r="F1151">
        <v>50371</v>
      </c>
      <c r="G1151" t="s">
        <v>745</v>
      </c>
      <c r="H1151" t="s">
        <v>147</v>
      </c>
      <c r="I1151" t="s">
        <v>918</v>
      </c>
    </row>
    <row r="1152" spans="1:9" x14ac:dyDescent="0.2">
      <c r="A1152" t="s">
        <v>919</v>
      </c>
      <c r="D1152" t="str">
        <f>HYPERLINK("http://nlpdeep.cs.uic.edu:8080/proofing/t5/50371-labs-imaging-8-0.pdf","t5/50371-labs-imaging-8-0.pdf")</f>
        <v>t5/50371-labs-imaging-8-0.pdf</v>
      </c>
      <c r="E1152">
        <v>119960</v>
      </c>
      <c r="F1152">
        <v>50371</v>
      </c>
      <c r="G1152" t="s">
        <v>745</v>
      </c>
      <c r="H1152" t="s">
        <v>147</v>
      </c>
      <c r="I1152" t="s">
        <v>920</v>
      </c>
    </row>
    <row r="1153" spans="1:9" x14ac:dyDescent="0.2">
      <c r="A1153" t="s">
        <v>919</v>
      </c>
      <c r="D1153" t="str">
        <f>HYPERLINK("http://nlpdeep.cs.uic.edu:8080/proofing/gsii/50371-labs-imaging-8-0.pdf","gsii/50371-labs-imaging-8-0.pdf")</f>
        <v>gsii/50371-labs-imaging-8-0.pdf</v>
      </c>
      <c r="E1153">
        <v>119960</v>
      </c>
      <c r="F1153">
        <v>50371</v>
      </c>
      <c r="G1153" t="s">
        <v>745</v>
      </c>
      <c r="H1153" t="s">
        <v>147</v>
      </c>
      <c r="I1153" t="s">
        <v>920</v>
      </c>
    </row>
    <row r="1154" spans="1:9" x14ac:dyDescent="0.2">
      <c r="A1154" t="s">
        <v>921</v>
      </c>
      <c r="D1154" t="str">
        <f>HYPERLINK("http://nlpdeep.cs.uic.edu:8080/proofing/t5/50371-labs-imaging-8-1.pdf","t5/50371-labs-imaging-8-1.pdf")</f>
        <v>t5/50371-labs-imaging-8-1.pdf</v>
      </c>
      <c r="E1154">
        <v>119960</v>
      </c>
      <c r="F1154">
        <v>50371</v>
      </c>
      <c r="G1154" t="s">
        <v>745</v>
      </c>
      <c r="H1154" t="s">
        <v>147</v>
      </c>
      <c r="I1154" t="s">
        <v>922</v>
      </c>
    </row>
    <row r="1155" spans="1:9" x14ac:dyDescent="0.2">
      <c r="A1155" t="s">
        <v>921</v>
      </c>
      <c r="D1155" t="str">
        <f>HYPERLINK("http://nlpdeep.cs.uic.edu:8080/proofing/gsii/50371-labs-imaging-8-1.pdf","gsii/50371-labs-imaging-8-1.pdf")</f>
        <v>gsii/50371-labs-imaging-8-1.pdf</v>
      </c>
      <c r="E1155">
        <v>119960</v>
      </c>
      <c r="F1155">
        <v>50371</v>
      </c>
      <c r="G1155" t="s">
        <v>745</v>
      </c>
      <c r="H1155" t="s">
        <v>147</v>
      </c>
      <c r="I1155" t="s">
        <v>922</v>
      </c>
    </row>
    <row r="1156" spans="1:9" x14ac:dyDescent="0.2">
      <c r="A1156" t="s">
        <v>923</v>
      </c>
      <c r="D1156" t="str">
        <f>HYPERLINK("http://nlpdeep.cs.uic.edu:8080/proofing/t5/50371-labs-imaging-8-2.pdf","t5/50371-labs-imaging-8-2.pdf")</f>
        <v>t5/50371-labs-imaging-8-2.pdf</v>
      </c>
      <c r="E1156">
        <v>119960</v>
      </c>
      <c r="F1156">
        <v>50371</v>
      </c>
      <c r="G1156" t="s">
        <v>745</v>
      </c>
      <c r="H1156" t="s">
        <v>147</v>
      </c>
      <c r="I1156" t="s">
        <v>924</v>
      </c>
    </row>
    <row r="1157" spans="1:9" x14ac:dyDescent="0.2">
      <c r="A1157" t="s">
        <v>923</v>
      </c>
      <c r="D1157" t="str">
        <f>HYPERLINK("http://nlpdeep.cs.uic.edu:8080/proofing/gsii/50371-labs-imaging-8-2.pdf","gsii/50371-labs-imaging-8-2.pdf")</f>
        <v>gsii/50371-labs-imaging-8-2.pdf</v>
      </c>
      <c r="E1157">
        <v>119960</v>
      </c>
      <c r="F1157">
        <v>50371</v>
      </c>
      <c r="G1157" t="s">
        <v>745</v>
      </c>
      <c r="H1157" t="s">
        <v>147</v>
      </c>
      <c r="I1157" t="s">
        <v>924</v>
      </c>
    </row>
    <row r="1158" spans="1:9" x14ac:dyDescent="0.2">
      <c r="A1158" t="s">
        <v>925</v>
      </c>
      <c r="D1158" t="str">
        <f>HYPERLINK("http://nlpdeep.cs.uic.edu:8080/proofing/t5/50371-labs-imaging-9-0.pdf","t5/50371-labs-imaging-9-0.pdf")</f>
        <v>t5/50371-labs-imaging-9-0.pdf</v>
      </c>
      <c r="E1158">
        <v>119960</v>
      </c>
      <c r="F1158">
        <v>50371</v>
      </c>
      <c r="G1158" t="s">
        <v>745</v>
      </c>
      <c r="H1158" t="s">
        <v>147</v>
      </c>
      <c r="I1158" t="s">
        <v>926</v>
      </c>
    </row>
    <row r="1159" spans="1:9" x14ac:dyDescent="0.2">
      <c r="A1159" t="s">
        <v>925</v>
      </c>
      <c r="D1159" t="str">
        <f>HYPERLINK("http://nlpdeep.cs.uic.edu:8080/proofing/gsii/50371-labs-imaging-9-0.pdf","gsii/50371-labs-imaging-9-0.pdf")</f>
        <v>gsii/50371-labs-imaging-9-0.pdf</v>
      </c>
      <c r="E1159">
        <v>119960</v>
      </c>
      <c r="F1159">
        <v>50371</v>
      </c>
      <c r="G1159" t="s">
        <v>745</v>
      </c>
      <c r="H1159" t="s">
        <v>147</v>
      </c>
      <c r="I1159" t="s">
        <v>926</v>
      </c>
    </row>
    <row r="1160" spans="1:9" x14ac:dyDescent="0.2">
      <c r="A1160" t="s">
        <v>927</v>
      </c>
      <c r="D1160" t="str">
        <f>HYPERLINK("http://nlpdeep.cs.uic.edu:8080/proofing/t5/50371-labs-imaging-9-1.pdf","t5/50371-labs-imaging-9-1.pdf")</f>
        <v>t5/50371-labs-imaging-9-1.pdf</v>
      </c>
      <c r="E1160">
        <v>119960</v>
      </c>
      <c r="F1160">
        <v>50371</v>
      </c>
      <c r="G1160" t="s">
        <v>745</v>
      </c>
      <c r="H1160" t="s">
        <v>147</v>
      </c>
      <c r="I1160" t="s">
        <v>171</v>
      </c>
    </row>
    <row r="1161" spans="1:9" x14ac:dyDescent="0.2">
      <c r="A1161" t="s">
        <v>927</v>
      </c>
      <c r="D1161" t="str">
        <f>HYPERLINK("http://nlpdeep.cs.uic.edu:8080/proofing/gsii/50371-labs-imaging-9-1.pdf","gsii/50371-labs-imaging-9-1.pdf")</f>
        <v>gsii/50371-labs-imaging-9-1.pdf</v>
      </c>
      <c r="E1161">
        <v>119960</v>
      </c>
      <c r="F1161">
        <v>50371</v>
      </c>
      <c r="G1161" t="s">
        <v>745</v>
      </c>
      <c r="H1161" t="s">
        <v>147</v>
      </c>
      <c r="I1161" t="s">
        <v>171</v>
      </c>
    </row>
    <row r="1162" spans="1:9" x14ac:dyDescent="0.2">
      <c r="A1162" t="s">
        <v>928</v>
      </c>
      <c r="D1162" t="str">
        <f>HYPERLINK("http://nlpdeep.cs.uic.edu:8080/proofing/t5/50371-labs-imaging-9-2.pdf","t5/50371-labs-imaging-9-2.pdf")</f>
        <v>t5/50371-labs-imaging-9-2.pdf</v>
      </c>
      <c r="E1162">
        <v>119960</v>
      </c>
      <c r="F1162">
        <v>50371</v>
      </c>
      <c r="G1162" t="s">
        <v>745</v>
      </c>
      <c r="H1162" t="s">
        <v>147</v>
      </c>
      <c r="I1162" t="s">
        <v>929</v>
      </c>
    </row>
    <row r="1163" spans="1:9" x14ac:dyDescent="0.2">
      <c r="A1163" t="s">
        <v>928</v>
      </c>
      <c r="D1163" t="str">
        <f>HYPERLINK("http://nlpdeep.cs.uic.edu:8080/proofing/gsii/50371-labs-imaging-9-2.pdf","gsii/50371-labs-imaging-9-2.pdf")</f>
        <v>gsii/50371-labs-imaging-9-2.pdf</v>
      </c>
      <c r="E1163">
        <v>119960</v>
      </c>
      <c r="F1163">
        <v>50371</v>
      </c>
      <c r="G1163" t="s">
        <v>745</v>
      </c>
      <c r="H1163" t="s">
        <v>147</v>
      </c>
      <c r="I1163" t="s">
        <v>929</v>
      </c>
    </row>
    <row r="1164" spans="1:9" x14ac:dyDescent="0.2">
      <c r="A1164" t="s">
        <v>930</v>
      </c>
      <c r="D1164" t="str">
        <f>HYPERLINK("http://nlpdeep.cs.uic.edu:8080/proofing/t5/50371-labs-imaging-9-3.pdf","t5/50371-labs-imaging-9-3.pdf")</f>
        <v>t5/50371-labs-imaging-9-3.pdf</v>
      </c>
      <c r="E1164">
        <v>119960</v>
      </c>
      <c r="F1164">
        <v>50371</v>
      </c>
      <c r="G1164" t="s">
        <v>745</v>
      </c>
      <c r="H1164" t="s">
        <v>147</v>
      </c>
      <c r="I1164" t="s">
        <v>931</v>
      </c>
    </row>
    <row r="1165" spans="1:9" x14ac:dyDescent="0.2">
      <c r="A1165" t="s">
        <v>930</v>
      </c>
      <c r="D1165" t="str">
        <f>HYPERLINK("http://nlpdeep.cs.uic.edu:8080/proofing/gsii/50371-labs-imaging-9-3.pdf","gsii/50371-labs-imaging-9-3.pdf")</f>
        <v>gsii/50371-labs-imaging-9-3.pdf</v>
      </c>
      <c r="E1165">
        <v>119960</v>
      </c>
      <c r="F1165">
        <v>50371</v>
      </c>
      <c r="G1165" t="s">
        <v>745</v>
      </c>
      <c r="H1165" t="s">
        <v>147</v>
      </c>
      <c r="I1165" t="s">
        <v>931</v>
      </c>
    </row>
    <row r="1166" spans="1:9" x14ac:dyDescent="0.2">
      <c r="A1166" t="s">
        <v>932</v>
      </c>
      <c r="D1166" t="str">
        <f>HYPERLINK("http://nlpdeep.cs.uic.edu:8080/proofing/t5/50371-labs-imaging-10-0.pdf","t5/50371-labs-imaging-10-0.pdf")</f>
        <v>t5/50371-labs-imaging-10-0.pdf</v>
      </c>
      <c r="E1166">
        <v>119960</v>
      </c>
      <c r="F1166">
        <v>50371</v>
      </c>
      <c r="G1166" t="s">
        <v>745</v>
      </c>
      <c r="H1166" t="s">
        <v>147</v>
      </c>
      <c r="I1166" t="s">
        <v>933</v>
      </c>
    </row>
    <row r="1167" spans="1:9" x14ac:dyDescent="0.2">
      <c r="A1167" t="s">
        <v>932</v>
      </c>
      <c r="D1167" t="str">
        <f>HYPERLINK("http://nlpdeep.cs.uic.edu:8080/proofing/gsii/50371-labs-imaging-10-0.pdf","gsii/50371-labs-imaging-10-0.pdf")</f>
        <v>gsii/50371-labs-imaging-10-0.pdf</v>
      </c>
      <c r="E1167">
        <v>119960</v>
      </c>
      <c r="F1167">
        <v>50371</v>
      </c>
      <c r="G1167" t="s">
        <v>745</v>
      </c>
      <c r="H1167" t="s">
        <v>147</v>
      </c>
      <c r="I1167" t="s">
        <v>933</v>
      </c>
    </row>
    <row r="1168" spans="1:9" x14ac:dyDescent="0.2">
      <c r="A1168" t="s">
        <v>934</v>
      </c>
      <c r="D1168" t="str">
        <f>HYPERLINK("http://nlpdeep.cs.uic.edu:8080/proofing/t5/50371-labs-imaging-10-1.pdf","t5/50371-labs-imaging-10-1.pdf")</f>
        <v>t5/50371-labs-imaging-10-1.pdf</v>
      </c>
      <c r="E1168">
        <v>119960</v>
      </c>
      <c r="F1168">
        <v>50371</v>
      </c>
      <c r="G1168" t="s">
        <v>745</v>
      </c>
      <c r="H1168" t="s">
        <v>147</v>
      </c>
      <c r="I1168" t="s">
        <v>179</v>
      </c>
    </row>
    <row r="1169" spans="1:9" x14ac:dyDescent="0.2">
      <c r="A1169" t="s">
        <v>934</v>
      </c>
      <c r="D1169" t="str">
        <f>HYPERLINK("http://nlpdeep.cs.uic.edu:8080/proofing/gsii/50371-labs-imaging-10-1.pdf","gsii/50371-labs-imaging-10-1.pdf")</f>
        <v>gsii/50371-labs-imaging-10-1.pdf</v>
      </c>
      <c r="E1169">
        <v>119960</v>
      </c>
      <c r="F1169">
        <v>50371</v>
      </c>
      <c r="G1169" t="s">
        <v>745</v>
      </c>
      <c r="H1169" t="s">
        <v>147</v>
      </c>
      <c r="I1169" t="s">
        <v>179</v>
      </c>
    </row>
    <row r="1170" spans="1:9" x14ac:dyDescent="0.2">
      <c r="A1170" t="s">
        <v>935</v>
      </c>
      <c r="D1170" t="str">
        <f>HYPERLINK("http://nlpdeep.cs.uic.edu:8080/proofing/t5/50371-labs-imaging-10-2.pdf","t5/50371-labs-imaging-10-2.pdf")</f>
        <v>t5/50371-labs-imaging-10-2.pdf</v>
      </c>
      <c r="E1170">
        <v>119960</v>
      </c>
      <c r="F1170">
        <v>50371</v>
      </c>
      <c r="G1170" t="s">
        <v>745</v>
      </c>
      <c r="H1170" t="s">
        <v>147</v>
      </c>
      <c r="I1170" t="s">
        <v>936</v>
      </c>
    </row>
    <row r="1171" spans="1:9" x14ac:dyDescent="0.2">
      <c r="A1171" t="s">
        <v>935</v>
      </c>
      <c r="D1171" t="str">
        <f>HYPERLINK("http://nlpdeep.cs.uic.edu:8080/proofing/gsii/50371-labs-imaging-10-2.pdf","gsii/50371-labs-imaging-10-2.pdf")</f>
        <v>gsii/50371-labs-imaging-10-2.pdf</v>
      </c>
      <c r="E1171">
        <v>119960</v>
      </c>
      <c r="F1171">
        <v>50371</v>
      </c>
      <c r="G1171" t="s">
        <v>745</v>
      </c>
      <c r="H1171" t="s">
        <v>147</v>
      </c>
      <c r="I1171" t="s">
        <v>936</v>
      </c>
    </row>
    <row r="1172" spans="1:9" x14ac:dyDescent="0.2">
      <c r="A1172" t="s">
        <v>937</v>
      </c>
      <c r="D1172" t="str">
        <f>HYPERLINK("http://nlpdeep.cs.uic.edu:8080/proofing/t5/50371-labs-imaging-10-3.pdf","t5/50371-labs-imaging-10-3.pdf")</f>
        <v>t5/50371-labs-imaging-10-3.pdf</v>
      </c>
      <c r="E1172">
        <v>119960</v>
      </c>
      <c r="F1172">
        <v>50371</v>
      </c>
      <c r="G1172" t="s">
        <v>745</v>
      </c>
      <c r="H1172" t="s">
        <v>147</v>
      </c>
      <c r="I1172" t="s">
        <v>938</v>
      </c>
    </row>
    <row r="1173" spans="1:9" x14ac:dyDescent="0.2">
      <c r="A1173" t="s">
        <v>937</v>
      </c>
      <c r="D1173" t="str">
        <f>HYPERLINK("http://nlpdeep.cs.uic.edu:8080/proofing/gsii/50371-labs-imaging-10-3.pdf","gsii/50371-labs-imaging-10-3.pdf")</f>
        <v>gsii/50371-labs-imaging-10-3.pdf</v>
      </c>
      <c r="E1173">
        <v>119960</v>
      </c>
      <c r="F1173">
        <v>50371</v>
      </c>
      <c r="G1173" t="s">
        <v>745</v>
      </c>
      <c r="H1173" t="s">
        <v>147</v>
      </c>
      <c r="I1173" t="s">
        <v>938</v>
      </c>
    </row>
    <row r="1174" spans="1:9" x14ac:dyDescent="0.2">
      <c r="A1174" t="s">
        <v>939</v>
      </c>
      <c r="D1174" t="str">
        <f>HYPERLINK("http://nlpdeep.cs.uic.edu:8080/proofing/t5/50371-labs-imaging-10-4.pdf","t5/50371-labs-imaging-10-4.pdf")</f>
        <v>t5/50371-labs-imaging-10-4.pdf</v>
      </c>
      <c r="E1174">
        <v>119960</v>
      </c>
      <c r="F1174">
        <v>50371</v>
      </c>
      <c r="G1174" t="s">
        <v>745</v>
      </c>
      <c r="H1174" t="s">
        <v>147</v>
      </c>
      <c r="I1174" t="s">
        <v>940</v>
      </c>
    </row>
    <row r="1175" spans="1:9" x14ac:dyDescent="0.2">
      <c r="A1175" t="s">
        <v>939</v>
      </c>
      <c r="D1175" t="str">
        <f>HYPERLINK("http://nlpdeep.cs.uic.edu:8080/proofing/gsii/50371-labs-imaging-10-4.pdf","gsii/50371-labs-imaging-10-4.pdf")</f>
        <v>gsii/50371-labs-imaging-10-4.pdf</v>
      </c>
      <c r="E1175">
        <v>119960</v>
      </c>
      <c r="F1175">
        <v>50371</v>
      </c>
      <c r="G1175" t="s">
        <v>745</v>
      </c>
      <c r="H1175" t="s">
        <v>147</v>
      </c>
      <c r="I1175" t="s">
        <v>940</v>
      </c>
    </row>
    <row r="1176" spans="1:9" x14ac:dyDescent="0.2">
      <c r="A1176" t="s">
        <v>941</v>
      </c>
      <c r="D1176" t="str">
        <f>HYPERLINK("http://nlpdeep.cs.uic.edu:8080/proofing/t5/50371-labs-imaging-11-0.pdf","t5/50371-labs-imaging-11-0.pdf")</f>
        <v>t5/50371-labs-imaging-11-0.pdf</v>
      </c>
      <c r="E1176">
        <v>119960</v>
      </c>
      <c r="F1176">
        <v>50371</v>
      </c>
      <c r="G1176" t="s">
        <v>745</v>
      </c>
      <c r="H1176" t="s">
        <v>147</v>
      </c>
      <c r="I1176" t="s">
        <v>942</v>
      </c>
    </row>
    <row r="1177" spans="1:9" x14ac:dyDescent="0.2">
      <c r="A1177" t="s">
        <v>941</v>
      </c>
      <c r="D1177" t="str">
        <f>HYPERLINK("http://nlpdeep.cs.uic.edu:8080/proofing/gsii/50371-labs-imaging-11-0.pdf","gsii/50371-labs-imaging-11-0.pdf")</f>
        <v>gsii/50371-labs-imaging-11-0.pdf</v>
      </c>
      <c r="E1177">
        <v>119960</v>
      </c>
      <c r="F1177">
        <v>50371</v>
      </c>
      <c r="G1177" t="s">
        <v>745</v>
      </c>
      <c r="H1177" t="s">
        <v>147</v>
      </c>
      <c r="I1177" t="s">
        <v>942</v>
      </c>
    </row>
    <row r="1178" spans="1:9" x14ac:dyDescent="0.2">
      <c r="A1178" t="s">
        <v>943</v>
      </c>
      <c r="D1178" t="str">
        <f>HYPERLINK("http://nlpdeep.cs.uic.edu:8080/proofing/t5/50371-labs-imaging-12-0.pdf","t5/50371-labs-imaging-12-0.pdf")</f>
        <v>t5/50371-labs-imaging-12-0.pdf</v>
      </c>
      <c r="E1178">
        <v>119960</v>
      </c>
      <c r="F1178">
        <v>50371</v>
      </c>
      <c r="G1178" t="s">
        <v>745</v>
      </c>
      <c r="H1178" t="s">
        <v>147</v>
      </c>
      <c r="I1178" t="s">
        <v>944</v>
      </c>
    </row>
    <row r="1179" spans="1:9" x14ac:dyDescent="0.2">
      <c r="A1179" t="s">
        <v>943</v>
      </c>
      <c r="D1179" t="str">
        <f>HYPERLINK("http://nlpdeep.cs.uic.edu:8080/proofing/gsii/50371-labs-imaging-12-0.pdf","gsii/50371-labs-imaging-12-0.pdf")</f>
        <v>gsii/50371-labs-imaging-12-0.pdf</v>
      </c>
      <c r="E1179">
        <v>119960</v>
      </c>
      <c r="F1179">
        <v>50371</v>
      </c>
      <c r="G1179" t="s">
        <v>745</v>
      </c>
      <c r="H1179" t="s">
        <v>147</v>
      </c>
      <c r="I1179" t="s">
        <v>944</v>
      </c>
    </row>
    <row r="1180" spans="1:9" x14ac:dyDescent="0.2">
      <c r="A1180" t="s">
        <v>945</v>
      </c>
      <c r="D1180" t="str">
        <f>HYPERLINK("http://nlpdeep.cs.uic.edu:8080/proofing/t5/50371-labs-imaging-12-1.pdf","t5/50371-labs-imaging-12-1.pdf")</f>
        <v>t5/50371-labs-imaging-12-1.pdf</v>
      </c>
      <c r="E1180">
        <v>119960</v>
      </c>
      <c r="F1180">
        <v>50371</v>
      </c>
      <c r="G1180" t="s">
        <v>745</v>
      </c>
      <c r="H1180" t="s">
        <v>147</v>
      </c>
      <c r="I1180" t="s">
        <v>946</v>
      </c>
    </row>
    <row r="1181" spans="1:9" x14ac:dyDescent="0.2">
      <c r="A1181" t="s">
        <v>945</v>
      </c>
      <c r="D1181" t="str">
        <f>HYPERLINK("http://nlpdeep.cs.uic.edu:8080/proofing/gsii/50371-labs-imaging-12-1.pdf","gsii/50371-labs-imaging-12-1.pdf")</f>
        <v>gsii/50371-labs-imaging-12-1.pdf</v>
      </c>
      <c r="E1181">
        <v>119960</v>
      </c>
      <c r="F1181">
        <v>50371</v>
      </c>
      <c r="G1181" t="s">
        <v>745</v>
      </c>
      <c r="H1181" t="s">
        <v>147</v>
      </c>
      <c r="I1181" t="s">
        <v>946</v>
      </c>
    </row>
    <row r="1182" spans="1:9" x14ac:dyDescent="0.2">
      <c r="A1182" t="s">
        <v>947</v>
      </c>
      <c r="D1182" t="str">
        <f>HYPERLINK("http://nlpdeep.cs.uic.edu:8080/proofing/t5/50371-labs-imaging-13-0.pdf","t5/50371-labs-imaging-13-0.pdf")</f>
        <v>t5/50371-labs-imaging-13-0.pdf</v>
      </c>
      <c r="E1182">
        <v>119960</v>
      </c>
      <c r="F1182">
        <v>50371</v>
      </c>
      <c r="G1182" t="s">
        <v>745</v>
      </c>
      <c r="H1182" t="s">
        <v>147</v>
      </c>
      <c r="I1182" t="s">
        <v>948</v>
      </c>
    </row>
    <row r="1183" spans="1:9" x14ac:dyDescent="0.2">
      <c r="A1183" t="s">
        <v>947</v>
      </c>
      <c r="D1183" t="str">
        <f>HYPERLINK("http://nlpdeep.cs.uic.edu:8080/proofing/gsii/50371-labs-imaging-13-0.pdf","gsii/50371-labs-imaging-13-0.pdf")</f>
        <v>gsii/50371-labs-imaging-13-0.pdf</v>
      </c>
      <c r="E1183">
        <v>119960</v>
      </c>
      <c r="F1183">
        <v>50371</v>
      </c>
      <c r="G1183" t="s">
        <v>745</v>
      </c>
      <c r="H1183" t="s">
        <v>147</v>
      </c>
      <c r="I1183" t="s">
        <v>948</v>
      </c>
    </row>
    <row r="1184" spans="1:9" x14ac:dyDescent="0.2">
      <c r="A1184" t="s">
        <v>949</v>
      </c>
      <c r="D1184" t="str">
        <f>HYPERLINK("http://nlpdeep.cs.uic.edu:8080/proofing/t5/50371-labs-imaging-13-1.pdf","t5/50371-labs-imaging-13-1.pdf")</f>
        <v>t5/50371-labs-imaging-13-1.pdf</v>
      </c>
      <c r="E1184">
        <v>119960</v>
      </c>
      <c r="F1184">
        <v>50371</v>
      </c>
      <c r="G1184" t="s">
        <v>745</v>
      </c>
      <c r="H1184" t="s">
        <v>147</v>
      </c>
      <c r="I1184" t="s">
        <v>950</v>
      </c>
    </row>
    <row r="1185" spans="1:9" x14ac:dyDescent="0.2">
      <c r="A1185" t="s">
        <v>949</v>
      </c>
      <c r="D1185" t="str">
        <f>HYPERLINK("http://nlpdeep.cs.uic.edu:8080/proofing/gsii/50371-labs-imaging-13-1.pdf","gsii/50371-labs-imaging-13-1.pdf")</f>
        <v>gsii/50371-labs-imaging-13-1.pdf</v>
      </c>
      <c r="E1185">
        <v>119960</v>
      </c>
      <c r="F1185">
        <v>50371</v>
      </c>
      <c r="G1185" t="s">
        <v>745</v>
      </c>
      <c r="H1185" t="s">
        <v>147</v>
      </c>
      <c r="I1185" t="s">
        <v>950</v>
      </c>
    </row>
    <row r="1186" spans="1:9" x14ac:dyDescent="0.2">
      <c r="A1186" t="s">
        <v>951</v>
      </c>
      <c r="D1186" t="str">
        <f>HYPERLINK("http://nlpdeep.cs.uic.edu:8080/proofing/t5/50371-labs-imaging-13-2.pdf","t5/50371-labs-imaging-13-2.pdf")</f>
        <v>t5/50371-labs-imaging-13-2.pdf</v>
      </c>
      <c r="E1186">
        <v>119960</v>
      </c>
      <c r="F1186">
        <v>50371</v>
      </c>
      <c r="G1186" t="s">
        <v>745</v>
      </c>
      <c r="H1186" t="s">
        <v>147</v>
      </c>
      <c r="I1186" t="s">
        <v>952</v>
      </c>
    </row>
    <row r="1187" spans="1:9" x14ac:dyDescent="0.2">
      <c r="A1187" t="s">
        <v>951</v>
      </c>
      <c r="D1187" t="str">
        <f>HYPERLINK("http://nlpdeep.cs.uic.edu:8080/proofing/gsii/50371-labs-imaging-13-2.pdf","gsii/50371-labs-imaging-13-2.pdf")</f>
        <v>gsii/50371-labs-imaging-13-2.pdf</v>
      </c>
      <c r="E1187">
        <v>119960</v>
      </c>
      <c r="F1187">
        <v>50371</v>
      </c>
      <c r="G1187" t="s">
        <v>745</v>
      </c>
      <c r="H1187" t="s">
        <v>147</v>
      </c>
      <c r="I1187" t="s">
        <v>952</v>
      </c>
    </row>
    <row r="1188" spans="1:9" x14ac:dyDescent="0.2">
      <c r="A1188" t="s">
        <v>953</v>
      </c>
      <c r="D1188" t="str">
        <f>HYPERLINK("http://nlpdeep.cs.uic.edu:8080/proofing/t5/50371-labs-imaging-14-0.pdf","t5/50371-labs-imaging-14-0.pdf")</f>
        <v>t5/50371-labs-imaging-14-0.pdf</v>
      </c>
      <c r="E1188">
        <v>119960</v>
      </c>
      <c r="F1188">
        <v>50371</v>
      </c>
      <c r="G1188" t="s">
        <v>745</v>
      </c>
      <c r="H1188" t="s">
        <v>147</v>
      </c>
      <c r="I1188" t="s">
        <v>954</v>
      </c>
    </row>
    <row r="1189" spans="1:9" x14ac:dyDescent="0.2">
      <c r="A1189" t="s">
        <v>953</v>
      </c>
      <c r="D1189" t="str">
        <f>HYPERLINK("http://nlpdeep.cs.uic.edu:8080/proofing/gsii/50371-labs-imaging-14-0.pdf","gsii/50371-labs-imaging-14-0.pdf")</f>
        <v>gsii/50371-labs-imaging-14-0.pdf</v>
      </c>
      <c r="E1189">
        <v>119960</v>
      </c>
      <c r="F1189">
        <v>50371</v>
      </c>
      <c r="G1189" t="s">
        <v>745</v>
      </c>
      <c r="H1189" t="s">
        <v>147</v>
      </c>
      <c r="I1189" t="s">
        <v>954</v>
      </c>
    </row>
    <row r="1190" spans="1:9" x14ac:dyDescent="0.2">
      <c r="A1190" t="s">
        <v>955</v>
      </c>
      <c r="D1190" t="str">
        <f>HYPERLINK("http://nlpdeep.cs.uic.edu:8080/proofing/t5/50371-labs-imaging-14-1.pdf","t5/50371-labs-imaging-14-1.pdf")</f>
        <v>t5/50371-labs-imaging-14-1.pdf</v>
      </c>
      <c r="E1190">
        <v>119960</v>
      </c>
      <c r="F1190">
        <v>50371</v>
      </c>
      <c r="G1190" t="s">
        <v>745</v>
      </c>
      <c r="H1190" t="s">
        <v>147</v>
      </c>
      <c r="I1190" t="s">
        <v>956</v>
      </c>
    </row>
    <row r="1191" spans="1:9" x14ac:dyDescent="0.2">
      <c r="A1191" t="s">
        <v>955</v>
      </c>
      <c r="D1191" t="str">
        <f>HYPERLINK("http://nlpdeep.cs.uic.edu:8080/proofing/gsii/50371-labs-imaging-14-1.pdf","gsii/50371-labs-imaging-14-1.pdf")</f>
        <v>gsii/50371-labs-imaging-14-1.pdf</v>
      </c>
      <c r="E1191">
        <v>119960</v>
      </c>
      <c r="F1191">
        <v>50371</v>
      </c>
      <c r="G1191" t="s">
        <v>745</v>
      </c>
      <c r="H1191" t="s">
        <v>147</v>
      </c>
      <c r="I1191" t="s">
        <v>956</v>
      </c>
    </row>
    <row r="1192" spans="1:9" x14ac:dyDescent="0.2">
      <c r="A1192" t="s">
        <v>957</v>
      </c>
      <c r="D1192" t="str">
        <f>HYPERLINK("http://nlpdeep.cs.uic.edu:8080/proofing/t5/50371-labs-imaging-15-0.pdf","t5/50371-labs-imaging-15-0.pdf")</f>
        <v>t5/50371-labs-imaging-15-0.pdf</v>
      </c>
      <c r="E1192">
        <v>119960</v>
      </c>
      <c r="F1192">
        <v>50371</v>
      </c>
      <c r="G1192" t="s">
        <v>745</v>
      </c>
      <c r="H1192" t="s">
        <v>147</v>
      </c>
      <c r="I1192" t="s">
        <v>958</v>
      </c>
    </row>
    <row r="1193" spans="1:9" x14ac:dyDescent="0.2">
      <c r="A1193" t="s">
        <v>957</v>
      </c>
      <c r="D1193" t="str">
        <f>HYPERLINK("http://nlpdeep.cs.uic.edu:8080/proofing/gsii/50371-labs-imaging-15-0.pdf","gsii/50371-labs-imaging-15-0.pdf")</f>
        <v>gsii/50371-labs-imaging-15-0.pdf</v>
      </c>
      <c r="E1193">
        <v>119960</v>
      </c>
      <c r="F1193">
        <v>50371</v>
      </c>
      <c r="G1193" t="s">
        <v>745</v>
      </c>
      <c r="H1193" t="s">
        <v>147</v>
      </c>
      <c r="I1193" t="s">
        <v>958</v>
      </c>
    </row>
    <row r="1194" spans="1:9" x14ac:dyDescent="0.2">
      <c r="A1194" t="s">
        <v>959</v>
      </c>
      <c r="D1194" t="str">
        <f>HYPERLINK("http://nlpdeep.cs.uic.edu:8080/proofing/t5/50371-labs-imaging-15-1.pdf","t5/50371-labs-imaging-15-1.pdf")</f>
        <v>t5/50371-labs-imaging-15-1.pdf</v>
      </c>
      <c r="E1194">
        <v>119960</v>
      </c>
      <c r="F1194">
        <v>50371</v>
      </c>
      <c r="G1194" t="s">
        <v>745</v>
      </c>
      <c r="H1194" t="s">
        <v>147</v>
      </c>
      <c r="I1194" t="s">
        <v>960</v>
      </c>
    </row>
    <row r="1195" spans="1:9" x14ac:dyDescent="0.2">
      <c r="A1195" t="s">
        <v>959</v>
      </c>
      <c r="D1195" t="str">
        <f>HYPERLINK("http://nlpdeep.cs.uic.edu:8080/proofing/gsii/50371-labs-imaging-15-1.pdf","gsii/50371-labs-imaging-15-1.pdf")</f>
        <v>gsii/50371-labs-imaging-15-1.pdf</v>
      </c>
      <c r="E1195">
        <v>119960</v>
      </c>
      <c r="F1195">
        <v>50371</v>
      </c>
      <c r="G1195" t="s">
        <v>745</v>
      </c>
      <c r="H1195" t="s">
        <v>147</v>
      </c>
      <c r="I1195" t="s">
        <v>960</v>
      </c>
    </row>
    <row r="1196" spans="1:9" x14ac:dyDescent="0.2">
      <c r="A1196" t="s">
        <v>961</v>
      </c>
      <c r="D1196" t="str">
        <f>HYPERLINK("http://nlpdeep.cs.uic.edu:8080/proofing/t5/50371-labs-imaging-15-2.pdf","t5/50371-labs-imaging-15-2.pdf")</f>
        <v>t5/50371-labs-imaging-15-2.pdf</v>
      </c>
      <c r="E1196">
        <v>119960</v>
      </c>
      <c r="F1196">
        <v>50371</v>
      </c>
      <c r="G1196" t="s">
        <v>745</v>
      </c>
      <c r="H1196" t="s">
        <v>147</v>
      </c>
      <c r="I1196" t="s">
        <v>962</v>
      </c>
    </row>
    <row r="1197" spans="1:9" x14ac:dyDescent="0.2">
      <c r="A1197" t="s">
        <v>961</v>
      </c>
      <c r="D1197" t="str">
        <f>HYPERLINK("http://nlpdeep.cs.uic.edu:8080/proofing/gsii/50371-labs-imaging-15-2.pdf","gsii/50371-labs-imaging-15-2.pdf")</f>
        <v>gsii/50371-labs-imaging-15-2.pdf</v>
      </c>
      <c r="E1197">
        <v>119960</v>
      </c>
      <c r="F1197">
        <v>50371</v>
      </c>
      <c r="G1197" t="s">
        <v>745</v>
      </c>
      <c r="H1197" t="s">
        <v>147</v>
      </c>
      <c r="I1197" t="s">
        <v>962</v>
      </c>
    </row>
    <row r="1198" spans="1:9" x14ac:dyDescent="0.2">
      <c r="A1198" t="s">
        <v>963</v>
      </c>
      <c r="D1198" t="str">
        <f>HYPERLINK("http://nlpdeep.cs.uic.edu:8080/proofing/t5/50371-labs-imaging-15-3.pdf","t5/50371-labs-imaging-15-3.pdf")</f>
        <v>t5/50371-labs-imaging-15-3.pdf</v>
      </c>
      <c r="E1198">
        <v>119960</v>
      </c>
      <c r="F1198">
        <v>50371</v>
      </c>
      <c r="G1198" t="s">
        <v>745</v>
      </c>
      <c r="H1198" t="s">
        <v>147</v>
      </c>
      <c r="I1198" t="s">
        <v>964</v>
      </c>
    </row>
    <row r="1199" spans="1:9" x14ac:dyDescent="0.2">
      <c r="A1199" t="s">
        <v>963</v>
      </c>
      <c r="D1199" t="str">
        <f>HYPERLINK("http://nlpdeep.cs.uic.edu:8080/proofing/gsii/50371-labs-imaging-15-3.pdf","gsii/50371-labs-imaging-15-3.pdf")</f>
        <v>gsii/50371-labs-imaging-15-3.pdf</v>
      </c>
      <c r="E1199">
        <v>119960</v>
      </c>
      <c r="F1199">
        <v>50371</v>
      </c>
      <c r="G1199" t="s">
        <v>745</v>
      </c>
      <c r="H1199" t="s">
        <v>147</v>
      </c>
      <c r="I1199" t="s">
        <v>964</v>
      </c>
    </row>
    <row r="1200" spans="1:9" x14ac:dyDescent="0.2">
      <c r="A1200" t="s">
        <v>965</v>
      </c>
      <c r="D1200" t="str">
        <f>HYPERLINK("http://nlpdeep.cs.uic.edu:8080/proofing/t5/50371-labs-imaging-15-4.pdf","t5/50371-labs-imaging-15-4.pdf")</f>
        <v>t5/50371-labs-imaging-15-4.pdf</v>
      </c>
      <c r="E1200">
        <v>119960</v>
      </c>
      <c r="F1200">
        <v>50371</v>
      </c>
      <c r="G1200" t="s">
        <v>745</v>
      </c>
      <c r="H1200" t="s">
        <v>147</v>
      </c>
      <c r="I1200" t="s">
        <v>966</v>
      </c>
    </row>
    <row r="1201" spans="1:9" x14ac:dyDescent="0.2">
      <c r="A1201" t="s">
        <v>965</v>
      </c>
      <c r="D1201" t="str">
        <f>HYPERLINK("http://nlpdeep.cs.uic.edu:8080/proofing/gsii/50371-labs-imaging-15-4.pdf","gsii/50371-labs-imaging-15-4.pdf")</f>
        <v>gsii/50371-labs-imaging-15-4.pdf</v>
      </c>
      <c r="E1201">
        <v>119960</v>
      </c>
      <c r="F1201">
        <v>50371</v>
      </c>
      <c r="G1201" t="s">
        <v>745</v>
      </c>
      <c r="H1201" t="s">
        <v>147</v>
      </c>
      <c r="I1201" t="s">
        <v>966</v>
      </c>
    </row>
    <row r="1202" spans="1:9" x14ac:dyDescent="0.2">
      <c r="A1202" t="s">
        <v>967</v>
      </c>
      <c r="D1202" t="str">
        <f>HYPERLINK("http://nlpdeep.cs.uic.edu:8080/proofing/t5/50371-labs-imaging-15-5.pdf","t5/50371-labs-imaging-15-5.pdf")</f>
        <v>t5/50371-labs-imaging-15-5.pdf</v>
      </c>
      <c r="E1202">
        <v>119960</v>
      </c>
      <c r="F1202">
        <v>50371</v>
      </c>
      <c r="G1202" t="s">
        <v>745</v>
      </c>
      <c r="H1202" t="s">
        <v>147</v>
      </c>
      <c r="I1202" t="s">
        <v>968</v>
      </c>
    </row>
    <row r="1203" spans="1:9" x14ac:dyDescent="0.2">
      <c r="A1203" t="s">
        <v>967</v>
      </c>
      <c r="D1203" t="str">
        <f>HYPERLINK("http://nlpdeep.cs.uic.edu:8080/proofing/gsii/50371-labs-imaging-15-5.pdf","gsii/50371-labs-imaging-15-5.pdf")</f>
        <v>gsii/50371-labs-imaging-15-5.pdf</v>
      </c>
      <c r="E1203">
        <v>119960</v>
      </c>
      <c r="F1203">
        <v>50371</v>
      </c>
      <c r="G1203" t="s">
        <v>745</v>
      </c>
      <c r="H1203" t="s">
        <v>147</v>
      </c>
      <c r="I1203" t="s">
        <v>968</v>
      </c>
    </row>
    <row r="1204" spans="1:9" x14ac:dyDescent="0.2">
      <c r="A1204" t="s">
        <v>969</v>
      </c>
      <c r="D1204" t="str">
        <f>HYPERLINK("http://nlpdeep.cs.uic.edu:8080/proofing/t5/50371-labs-imaging-16-0.pdf","t5/50371-labs-imaging-16-0.pdf")</f>
        <v>t5/50371-labs-imaging-16-0.pdf</v>
      </c>
      <c r="E1204">
        <v>119960</v>
      </c>
      <c r="F1204">
        <v>50371</v>
      </c>
      <c r="G1204" t="s">
        <v>745</v>
      </c>
      <c r="H1204" t="s">
        <v>147</v>
      </c>
      <c r="I1204" t="s">
        <v>970</v>
      </c>
    </row>
    <row r="1205" spans="1:9" x14ac:dyDescent="0.2">
      <c r="A1205" t="s">
        <v>969</v>
      </c>
      <c r="D1205" t="str">
        <f>HYPERLINK("http://nlpdeep.cs.uic.edu:8080/proofing/gsii/50371-labs-imaging-16-0.pdf","gsii/50371-labs-imaging-16-0.pdf")</f>
        <v>gsii/50371-labs-imaging-16-0.pdf</v>
      </c>
      <c r="E1205">
        <v>119960</v>
      </c>
      <c r="F1205">
        <v>50371</v>
      </c>
      <c r="G1205" t="s">
        <v>745</v>
      </c>
      <c r="H1205" t="s">
        <v>147</v>
      </c>
      <c r="I1205" t="s">
        <v>970</v>
      </c>
    </row>
    <row r="1206" spans="1:9" x14ac:dyDescent="0.2">
      <c r="A1206" t="s">
        <v>971</v>
      </c>
      <c r="D1206" t="str">
        <f>HYPERLINK("http://nlpdeep.cs.uic.edu:8080/proofing/t5/50371-labs-imaging-16-1.pdf","t5/50371-labs-imaging-16-1.pdf")</f>
        <v>t5/50371-labs-imaging-16-1.pdf</v>
      </c>
      <c r="E1206">
        <v>119960</v>
      </c>
      <c r="F1206">
        <v>50371</v>
      </c>
      <c r="G1206" t="s">
        <v>745</v>
      </c>
      <c r="H1206" t="s">
        <v>147</v>
      </c>
      <c r="I1206" t="s">
        <v>972</v>
      </c>
    </row>
    <row r="1207" spans="1:9" x14ac:dyDescent="0.2">
      <c r="A1207" t="s">
        <v>971</v>
      </c>
      <c r="D1207" t="str">
        <f>HYPERLINK("http://nlpdeep.cs.uic.edu:8080/proofing/gsii/50371-labs-imaging-16-1.pdf","gsii/50371-labs-imaging-16-1.pdf")</f>
        <v>gsii/50371-labs-imaging-16-1.pdf</v>
      </c>
      <c r="E1207">
        <v>119960</v>
      </c>
      <c r="F1207">
        <v>50371</v>
      </c>
      <c r="G1207" t="s">
        <v>745</v>
      </c>
      <c r="H1207" t="s">
        <v>147</v>
      </c>
      <c r="I1207" t="s">
        <v>972</v>
      </c>
    </row>
    <row r="1208" spans="1:9" x14ac:dyDescent="0.2">
      <c r="A1208" t="s">
        <v>973</v>
      </c>
      <c r="D1208" t="str">
        <f>HYPERLINK("http://nlpdeep.cs.uic.edu:8080/proofing/t5/50371-labs-imaging-16-2.pdf","t5/50371-labs-imaging-16-2.pdf")</f>
        <v>t5/50371-labs-imaging-16-2.pdf</v>
      </c>
      <c r="E1208">
        <v>119960</v>
      </c>
      <c r="F1208">
        <v>50371</v>
      </c>
      <c r="G1208" t="s">
        <v>745</v>
      </c>
      <c r="H1208" t="s">
        <v>147</v>
      </c>
      <c r="I1208" t="s">
        <v>974</v>
      </c>
    </row>
    <row r="1209" spans="1:9" x14ac:dyDescent="0.2">
      <c r="A1209" t="s">
        <v>973</v>
      </c>
      <c r="D1209" t="str">
        <f>HYPERLINK("http://nlpdeep.cs.uic.edu:8080/proofing/gsii/50371-labs-imaging-16-2.pdf","gsii/50371-labs-imaging-16-2.pdf")</f>
        <v>gsii/50371-labs-imaging-16-2.pdf</v>
      </c>
      <c r="E1209">
        <v>119960</v>
      </c>
      <c r="F1209">
        <v>50371</v>
      </c>
      <c r="G1209" t="s">
        <v>745</v>
      </c>
      <c r="H1209" t="s">
        <v>147</v>
      </c>
      <c r="I1209" t="s">
        <v>974</v>
      </c>
    </row>
    <row r="1210" spans="1:9" x14ac:dyDescent="0.2">
      <c r="A1210" t="s">
        <v>975</v>
      </c>
      <c r="D1210" t="str">
        <f>HYPERLINK("http://nlpdeep.cs.uic.edu:8080/proofing/t5/50371-labs-imaging-17-0.pdf","t5/50371-labs-imaging-17-0.pdf")</f>
        <v>t5/50371-labs-imaging-17-0.pdf</v>
      </c>
      <c r="E1210">
        <v>119960</v>
      </c>
      <c r="F1210">
        <v>50371</v>
      </c>
      <c r="G1210" t="s">
        <v>745</v>
      </c>
      <c r="H1210" t="s">
        <v>147</v>
      </c>
      <c r="I1210" t="s">
        <v>976</v>
      </c>
    </row>
    <row r="1211" spans="1:9" x14ac:dyDescent="0.2">
      <c r="A1211" t="s">
        <v>975</v>
      </c>
      <c r="D1211" t="str">
        <f>HYPERLINK("http://nlpdeep.cs.uic.edu:8080/proofing/gsii/50371-labs-imaging-17-0.pdf","gsii/50371-labs-imaging-17-0.pdf")</f>
        <v>gsii/50371-labs-imaging-17-0.pdf</v>
      </c>
      <c r="E1211">
        <v>119960</v>
      </c>
      <c r="F1211">
        <v>50371</v>
      </c>
      <c r="G1211" t="s">
        <v>745</v>
      </c>
      <c r="H1211" t="s">
        <v>147</v>
      </c>
      <c r="I1211" t="s">
        <v>976</v>
      </c>
    </row>
    <row r="1212" spans="1:9" x14ac:dyDescent="0.2">
      <c r="A1212" t="s">
        <v>977</v>
      </c>
      <c r="D1212" t="str">
        <f>HYPERLINK("http://nlpdeep.cs.uic.edu:8080/proofing/t5/50371-labs-imaging-17-1.pdf","t5/50371-labs-imaging-17-1.pdf")</f>
        <v>t5/50371-labs-imaging-17-1.pdf</v>
      </c>
      <c r="E1212">
        <v>119960</v>
      </c>
      <c r="F1212">
        <v>50371</v>
      </c>
      <c r="G1212" t="s">
        <v>745</v>
      </c>
      <c r="H1212" t="s">
        <v>147</v>
      </c>
      <c r="I1212" t="s">
        <v>978</v>
      </c>
    </row>
    <row r="1213" spans="1:9" x14ac:dyDescent="0.2">
      <c r="A1213" t="s">
        <v>977</v>
      </c>
      <c r="D1213" t="str">
        <f>HYPERLINK("http://nlpdeep.cs.uic.edu:8080/proofing/gsii/50371-labs-imaging-17-1.pdf","gsii/50371-labs-imaging-17-1.pdf")</f>
        <v>gsii/50371-labs-imaging-17-1.pdf</v>
      </c>
      <c r="E1213">
        <v>119960</v>
      </c>
      <c r="F1213">
        <v>50371</v>
      </c>
      <c r="G1213" t="s">
        <v>745</v>
      </c>
      <c r="H1213" t="s">
        <v>147</v>
      </c>
      <c r="I1213" t="s">
        <v>978</v>
      </c>
    </row>
    <row r="1214" spans="1:9" x14ac:dyDescent="0.2">
      <c r="A1214" t="s">
        <v>979</v>
      </c>
      <c r="D1214" t="str">
        <f>HYPERLINK("http://nlpdeep.cs.uic.edu:8080/proofing/t5/50371-labs-imaging-17-2.pdf","t5/50371-labs-imaging-17-2.pdf")</f>
        <v>t5/50371-labs-imaging-17-2.pdf</v>
      </c>
      <c r="E1214">
        <v>119960</v>
      </c>
      <c r="F1214">
        <v>50371</v>
      </c>
      <c r="G1214" t="s">
        <v>745</v>
      </c>
      <c r="H1214" t="s">
        <v>147</v>
      </c>
      <c r="I1214" t="s">
        <v>980</v>
      </c>
    </row>
    <row r="1215" spans="1:9" x14ac:dyDescent="0.2">
      <c r="A1215" t="s">
        <v>979</v>
      </c>
      <c r="D1215" t="str">
        <f>HYPERLINK("http://nlpdeep.cs.uic.edu:8080/proofing/gsii/50371-labs-imaging-17-2.pdf","gsii/50371-labs-imaging-17-2.pdf")</f>
        <v>gsii/50371-labs-imaging-17-2.pdf</v>
      </c>
      <c r="E1215">
        <v>119960</v>
      </c>
      <c r="F1215">
        <v>50371</v>
      </c>
      <c r="G1215" t="s">
        <v>745</v>
      </c>
      <c r="H1215" t="s">
        <v>147</v>
      </c>
      <c r="I1215" t="s">
        <v>980</v>
      </c>
    </row>
    <row r="1216" spans="1:9" x14ac:dyDescent="0.2">
      <c r="A1216" t="s">
        <v>981</v>
      </c>
      <c r="D1216" t="str">
        <f>HYPERLINK("http://nlpdeep.cs.uic.edu:8080/proofing/t5/50371-labs-imaging-17-3.pdf","t5/50371-labs-imaging-17-3.pdf")</f>
        <v>t5/50371-labs-imaging-17-3.pdf</v>
      </c>
      <c r="E1216">
        <v>119960</v>
      </c>
      <c r="F1216">
        <v>50371</v>
      </c>
      <c r="G1216" t="s">
        <v>745</v>
      </c>
      <c r="H1216" t="s">
        <v>147</v>
      </c>
      <c r="I1216" t="s">
        <v>982</v>
      </c>
    </row>
    <row r="1217" spans="1:9" x14ac:dyDescent="0.2">
      <c r="A1217" t="s">
        <v>981</v>
      </c>
      <c r="D1217" t="str">
        <f>HYPERLINK("http://nlpdeep.cs.uic.edu:8080/proofing/gsii/50371-labs-imaging-17-3.pdf","gsii/50371-labs-imaging-17-3.pdf")</f>
        <v>gsii/50371-labs-imaging-17-3.pdf</v>
      </c>
      <c r="E1217">
        <v>119960</v>
      </c>
      <c r="F1217">
        <v>50371</v>
      </c>
      <c r="G1217" t="s">
        <v>745</v>
      </c>
      <c r="H1217" t="s">
        <v>147</v>
      </c>
      <c r="I1217" t="s">
        <v>982</v>
      </c>
    </row>
    <row r="1218" spans="1:9" x14ac:dyDescent="0.2">
      <c r="A1218" t="s">
        <v>983</v>
      </c>
      <c r="D1218" t="str">
        <f>HYPERLINK("http://nlpdeep.cs.uic.edu:8080/proofing/t5/50371-labs-imaging-18-0.pdf","t5/50371-labs-imaging-18-0.pdf")</f>
        <v>t5/50371-labs-imaging-18-0.pdf</v>
      </c>
      <c r="E1218">
        <v>119960</v>
      </c>
      <c r="F1218">
        <v>50371</v>
      </c>
      <c r="G1218" t="s">
        <v>745</v>
      </c>
      <c r="H1218" t="s">
        <v>147</v>
      </c>
      <c r="I1218" t="s">
        <v>984</v>
      </c>
    </row>
    <row r="1219" spans="1:9" x14ac:dyDescent="0.2">
      <c r="A1219" t="s">
        <v>983</v>
      </c>
      <c r="D1219" t="str">
        <f>HYPERLINK("http://nlpdeep.cs.uic.edu:8080/proofing/gsii/50371-labs-imaging-18-0.pdf","gsii/50371-labs-imaging-18-0.pdf")</f>
        <v>gsii/50371-labs-imaging-18-0.pdf</v>
      </c>
      <c r="E1219">
        <v>119960</v>
      </c>
      <c r="F1219">
        <v>50371</v>
      </c>
      <c r="G1219" t="s">
        <v>745</v>
      </c>
      <c r="H1219" t="s">
        <v>147</v>
      </c>
      <c r="I1219" t="s">
        <v>984</v>
      </c>
    </row>
    <row r="1220" spans="1:9" x14ac:dyDescent="0.2">
      <c r="A1220" t="s">
        <v>985</v>
      </c>
      <c r="D1220" t="str">
        <f>HYPERLINK("http://nlpdeep.cs.uic.edu:8080/proofing/t5/50371-labs-imaging-18-1.pdf","t5/50371-labs-imaging-18-1.pdf")</f>
        <v>t5/50371-labs-imaging-18-1.pdf</v>
      </c>
      <c r="E1220">
        <v>119960</v>
      </c>
      <c r="F1220">
        <v>50371</v>
      </c>
      <c r="G1220" t="s">
        <v>745</v>
      </c>
      <c r="H1220" t="s">
        <v>147</v>
      </c>
      <c r="I1220" t="s">
        <v>986</v>
      </c>
    </row>
    <row r="1221" spans="1:9" x14ac:dyDescent="0.2">
      <c r="A1221" t="s">
        <v>985</v>
      </c>
      <c r="D1221" t="str">
        <f>HYPERLINK("http://nlpdeep.cs.uic.edu:8080/proofing/gsii/50371-labs-imaging-18-1.pdf","gsii/50371-labs-imaging-18-1.pdf")</f>
        <v>gsii/50371-labs-imaging-18-1.pdf</v>
      </c>
      <c r="E1221">
        <v>119960</v>
      </c>
      <c r="F1221">
        <v>50371</v>
      </c>
      <c r="G1221" t="s">
        <v>745</v>
      </c>
      <c r="H1221" t="s">
        <v>147</v>
      </c>
      <c r="I1221" t="s">
        <v>986</v>
      </c>
    </row>
    <row r="1222" spans="1:9" x14ac:dyDescent="0.2">
      <c r="A1222" t="s">
        <v>987</v>
      </c>
      <c r="D1222" t="str">
        <f>HYPERLINK("http://nlpdeep.cs.uic.edu:8080/proofing/t5/50371-labs-imaging-18-2.pdf","t5/50371-labs-imaging-18-2.pdf")</f>
        <v>t5/50371-labs-imaging-18-2.pdf</v>
      </c>
      <c r="E1222">
        <v>119960</v>
      </c>
      <c r="F1222">
        <v>50371</v>
      </c>
      <c r="G1222" t="s">
        <v>745</v>
      </c>
      <c r="H1222" t="s">
        <v>147</v>
      </c>
      <c r="I1222" t="s">
        <v>988</v>
      </c>
    </row>
    <row r="1223" spans="1:9" x14ac:dyDescent="0.2">
      <c r="A1223" t="s">
        <v>987</v>
      </c>
      <c r="D1223" t="str">
        <f>HYPERLINK("http://nlpdeep.cs.uic.edu:8080/proofing/gsii/50371-labs-imaging-18-2.pdf","gsii/50371-labs-imaging-18-2.pdf")</f>
        <v>gsii/50371-labs-imaging-18-2.pdf</v>
      </c>
      <c r="E1223">
        <v>119960</v>
      </c>
      <c r="F1223">
        <v>50371</v>
      </c>
      <c r="G1223" t="s">
        <v>745</v>
      </c>
      <c r="H1223" t="s">
        <v>147</v>
      </c>
      <c r="I1223" t="s">
        <v>988</v>
      </c>
    </row>
    <row r="1224" spans="1:9" x14ac:dyDescent="0.2">
      <c r="A1224" t="s">
        <v>989</v>
      </c>
      <c r="D1224" t="str">
        <f>HYPERLINK("http://nlpdeep.cs.uic.edu:8080/proofing/t5/50371-labs-imaging-18-3.pdf","t5/50371-labs-imaging-18-3.pdf")</f>
        <v>t5/50371-labs-imaging-18-3.pdf</v>
      </c>
      <c r="E1224">
        <v>119960</v>
      </c>
      <c r="F1224">
        <v>50371</v>
      </c>
      <c r="G1224" t="s">
        <v>745</v>
      </c>
      <c r="H1224" t="s">
        <v>147</v>
      </c>
      <c r="I1224" t="s">
        <v>990</v>
      </c>
    </row>
    <row r="1225" spans="1:9" x14ac:dyDescent="0.2">
      <c r="A1225" t="s">
        <v>989</v>
      </c>
      <c r="D1225" t="str">
        <f>HYPERLINK("http://nlpdeep.cs.uic.edu:8080/proofing/gsii/50371-labs-imaging-18-3.pdf","gsii/50371-labs-imaging-18-3.pdf")</f>
        <v>gsii/50371-labs-imaging-18-3.pdf</v>
      </c>
      <c r="E1225">
        <v>119960</v>
      </c>
      <c r="F1225">
        <v>50371</v>
      </c>
      <c r="G1225" t="s">
        <v>745</v>
      </c>
      <c r="H1225" t="s">
        <v>147</v>
      </c>
      <c r="I1225" t="s">
        <v>990</v>
      </c>
    </row>
    <row r="1226" spans="1:9" x14ac:dyDescent="0.2">
      <c r="A1226" t="s">
        <v>991</v>
      </c>
      <c r="D1226" t="str">
        <f>HYPERLINK("http://nlpdeep.cs.uic.edu:8080/proofing/t5/50371-labs-imaging-18-4.pdf","t5/50371-labs-imaging-18-4.pdf")</f>
        <v>t5/50371-labs-imaging-18-4.pdf</v>
      </c>
      <c r="E1226">
        <v>119960</v>
      </c>
      <c r="F1226">
        <v>50371</v>
      </c>
      <c r="G1226" t="s">
        <v>745</v>
      </c>
      <c r="H1226" t="s">
        <v>147</v>
      </c>
      <c r="I1226" t="s">
        <v>992</v>
      </c>
    </row>
    <row r="1227" spans="1:9" x14ac:dyDescent="0.2">
      <c r="A1227" t="s">
        <v>991</v>
      </c>
      <c r="D1227" t="str">
        <f>HYPERLINK("http://nlpdeep.cs.uic.edu:8080/proofing/gsii/50371-labs-imaging-18-4.pdf","gsii/50371-labs-imaging-18-4.pdf")</f>
        <v>gsii/50371-labs-imaging-18-4.pdf</v>
      </c>
      <c r="E1227">
        <v>119960</v>
      </c>
      <c r="F1227">
        <v>50371</v>
      </c>
      <c r="G1227" t="s">
        <v>745</v>
      </c>
      <c r="H1227" t="s">
        <v>147</v>
      </c>
      <c r="I1227" t="s">
        <v>992</v>
      </c>
    </row>
    <row r="1228" spans="1:9" x14ac:dyDescent="0.2">
      <c r="A1228" t="s">
        <v>993</v>
      </c>
      <c r="D1228" t="str">
        <f>HYPERLINK("http://nlpdeep.cs.uic.edu:8080/proofing/t5/50371-labs-imaging-18-5.pdf","t5/50371-labs-imaging-18-5.pdf")</f>
        <v>t5/50371-labs-imaging-18-5.pdf</v>
      </c>
      <c r="E1228">
        <v>119960</v>
      </c>
      <c r="F1228">
        <v>50371</v>
      </c>
      <c r="G1228" t="s">
        <v>745</v>
      </c>
      <c r="H1228" t="s">
        <v>147</v>
      </c>
      <c r="I1228" t="s">
        <v>994</v>
      </c>
    </row>
    <row r="1229" spans="1:9" x14ac:dyDescent="0.2">
      <c r="A1229" t="s">
        <v>993</v>
      </c>
      <c r="D1229" t="str">
        <f>HYPERLINK("http://nlpdeep.cs.uic.edu:8080/proofing/gsii/50371-labs-imaging-18-5.pdf","gsii/50371-labs-imaging-18-5.pdf")</f>
        <v>gsii/50371-labs-imaging-18-5.pdf</v>
      </c>
      <c r="E1229">
        <v>119960</v>
      </c>
      <c r="F1229">
        <v>50371</v>
      </c>
      <c r="G1229" t="s">
        <v>745</v>
      </c>
      <c r="H1229" t="s">
        <v>147</v>
      </c>
      <c r="I1229" t="s">
        <v>994</v>
      </c>
    </row>
    <row r="1230" spans="1:9" x14ac:dyDescent="0.2">
      <c r="A1230" t="s">
        <v>995</v>
      </c>
      <c r="D1230" t="str">
        <f>HYPERLINK("http://nlpdeep.cs.uic.edu:8080/proofing/t5/50371-labs-imaging-19-0.pdf","t5/50371-labs-imaging-19-0.pdf")</f>
        <v>t5/50371-labs-imaging-19-0.pdf</v>
      </c>
      <c r="E1230">
        <v>119960</v>
      </c>
      <c r="F1230">
        <v>50371</v>
      </c>
      <c r="G1230" t="s">
        <v>745</v>
      </c>
      <c r="H1230" t="s">
        <v>147</v>
      </c>
    </row>
    <row r="1231" spans="1:9" x14ac:dyDescent="0.2">
      <c r="A1231" t="s">
        <v>995</v>
      </c>
      <c r="D1231" t="str">
        <f>HYPERLINK("http://nlpdeep.cs.uic.edu:8080/proofing/gsii/50371-labs-imaging-19-0.pdf","gsii/50371-labs-imaging-19-0.pdf")</f>
        <v>gsii/50371-labs-imaging-19-0.pdf</v>
      </c>
      <c r="E1231">
        <v>119960</v>
      </c>
      <c r="F1231">
        <v>50371</v>
      </c>
      <c r="G1231" t="s">
        <v>745</v>
      </c>
      <c r="H1231" t="s">
        <v>147</v>
      </c>
    </row>
    <row r="1232" spans="1:9" x14ac:dyDescent="0.2">
      <c r="A1232" t="s">
        <v>996</v>
      </c>
      <c r="D1232" t="str">
        <f>HYPERLINK("http://nlpdeep.cs.uic.edu:8080/proofing/t5/50371-labs-imaging-20-0.pdf","t5/50371-labs-imaging-20-0.pdf")</f>
        <v>t5/50371-labs-imaging-20-0.pdf</v>
      </c>
      <c r="E1232">
        <v>119960</v>
      </c>
      <c r="F1232">
        <v>50371</v>
      </c>
      <c r="G1232" t="s">
        <v>745</v>
      </c>
      <c r="H1232" t="s">
        <v>147</v>
      </c>
      <c r="I1232" t="s">
        <v>997</v>
      </c>
    </row>
    <row r="1233" spans="1:9" x14ac:dyDescent="0.2">
      <c r="A1233" t="s">
        <v>996</v>
      </c>
      <c r="D1233" t="str">
        <f>HYPERLINK("http://nlpdeep.cs.uic.edu:8080/proofing/gsii/50371-labs-imaging-20-0.pdf","gsii/50371-labs-imaging-20-0.pdf")</f>
        <v>gsii/50371-labs-imaging-20-0.pdf</v>
      </c>
      <c r="E1233">
        <v>119960</v>
      </c>
      <c r="F1233">
        <v>50371</v>
      </c>
      <c r="G1233" t="s">
        <v>745</v>
      </c>
      <c r="H1233" t="s">
        <v>147</v>
      </c>
      <c r="I1233" t="s">
        <v>997</v>
      </c>
    </row>
    <row r="1234" spans="1:9" x14ac:dyDescent="0.2">
      <c r="A1234" t="s">
        <v>998</v>
      </c>
      <c r="D1234" t="str">
        <f>HYPERLINK("http://nlpdeep.cs.uic.edu:8080/proofing/t5/50371-hospital-course-0-0.pdf","t5/50371-hospital-course-0-0.pdf")</f>
        <v>t5/50371-hospital-course-0-0.pdf</v>
      </c>
      <c r="E1234">
        <v>119960</v>
      </c>
      <c r="F1234">
        <v>50371</v>
      </c>
      <c r="G1234" t="s">
        <v>745</v>
      </c>
      <c r="H1234" t="s">
        <v>999</v>
      </c>
      <c r="I1234" t="s">
        <v>1000</v>
      </c>
    </row>
    <row r="1235" spans="1:9" x14ac:dyDescent="0.2">
      <c r="A1235" t="s">
        <v>998</v>
      </c>
      <c r="D1235" t="str">
        <f>HYPERLINK("http://nlpdeep.cs.uic.edu:8080/proofing/gsii/50371-hospital-course-0-0.pdf","gsii/50371-hospital-course-0-0.pdf")</f>
        <v>gsii/50371-hospital-course-0-0.pdf</v>
      </c>
      <c r="E1235">
        <v>119960</v>
      </c>
      <c r="F1235">
        <v>50371</v>
      </c>
      <c r="G1235" t="s">
        <v>745</v>
      </c>
      <c r="H1235" t="s">
        <v>999</v>
      </c>
      <c r="I1235" t="s">
        <v>1000</v>
      </c>
    </row>
    <row r="1236" spans="1:9" x14ac:dyDescent="0.2">
      <c r="A1236" t="s">
        <v>1001</v>
      </c>
      <c r="D1236" t="str">
        <f>HYPERLINK("http://nlpdeep.cs.uic.edu:8080/proofing/t5/50371-hospital-course-1-0.pdf","t5/50371-hospital-course-1-0.pdf")</f>
        <v>t5/50371-hospital-course-1-0.pdf</v>
      </c>
      <c r="E1236">
        <v>119960</v>
      </c>
      <c r="F1236">
        <v>50371</v>
      </c>
      <c r="G1236" t="s">
        <v>745</v>
      </c>
      <c r="H1236" t="s">
        <v>999</v>
      </c>
      <c r="I1236" t="s">
        <v>1002</v>
      </c>
    </row>
    <row r="1237" spans="1:9" x14ac:dyDescent="0.2">
      <c r="A1237" t="s">
        <v>1001</v>
      </c>
      <c r="D1237" t="str">
        <f>HYPERLINK("http://nlpdeep.cs.uic.edu:8080/proofing/gsii/50371-hospital-course-1-0.pdf","gsii/50371-hospital-course-1-0.pdf")</f>
        <v>gsii/50371-hospital-course-1-0.pdf</v>
      </c>
      <c r="E1237">
        <v>119960</v>
      </c>
      <c r="F1237">
        <v>50371</v>
      </c>
      <c r="G1237" t="s">
        <v>745</v>
      </c>
      <c r="H1237" t="s">
        <v>999</v>
      </c>
      <c r="I1237" t="s">
        <v>1002</v>
      </c>
    </row>
    <row r="1238" spans="1:9" x14ac:dyDescent="0.2">
      <c r="A1238" t="s">
        <v>1003</v>
      </c>
      <c r="D1238" t="str">
        <f>HYPERLINK("http://nlpdeep.cs.uic.edu:8080/proofing/t5/50371-hospital-course-1-1.pdf","t5/50371-hospital-course-1-1.pdf")</f>
        <v>t5/50371-hospital-course-1-1.pdf</v>
      </c>
      <c r="E1238">
        <v>119960</v>
      </c>
      <c r="F1238">
        <v>50371</v>
      </c>
      <c r="G1238" t="s">
        <v>745</v>
      </c>
      <c r="H1238" t="s">
        <v>999</v>
      </c>
      <c r="I1238" t="s">
        <v>1004</v>
      </c>
    </row>
    <row r="1239" spans="1:9" x14ac:dyDescent="0.2">
      <c r="A1239" t="s">
        <v>1003</v>
      </c>
      <c r="D1239" t="str">
        <f>HYPERLINK("http://nlpdeep.cs.uic.edu:8080/proofing/gsii/50371-hospital-course-1-1.pdf","gsii/50371-hospital-course-1-1.pdf")</f>
        <v>gsii/50371-hospital-course-1-1.pdf</v>
      </c>
      <c r="E1239">
        <v>119960</v>
      </c>
      <c r="F1239">
        <v>50371</v>
      </c>
      <c r="G1239" t="s">
        <v>745</v>
      </c>
      <c r="H1239" t="s">
        <v>999</v>
      </c>
      <c r="I1239" t="s">
        <v>1004</v>
      </c>
    </row>
    <row r="1240" spans="1:9" x14ac:dyDescent="0.2">
      <c r="A1240" t="s">
        <v>1005</v>
      </c>
      <c r="D1240" t="str">
        <f>HYPERLINK("http://nlpdeep.cs.uic.edu:8080/proofing/t5/50371-hospital-course-1-2.pdf","t5/50371-hospital-course-1-2.pdf")</f>
        <v>t5/50371-hospital-course-1-2.pdf</v>
      </c>
      <c r="E1240">
        <v>119960</v>
      </c>
      <c r="F1240">
        <v>50371</v>
      </c>
      <c r="G1240" t="s">
        <v>745</v>
      </c>
      <c r="H1240" t="s">
        <v>999</v>
      </c>
      <c r="I1240" t="s">
        <v>1006</v>
      </c>
    </row>
    <row r="1241" spans="1:9" x14ac:dyDescent="0.2">
      <c r="A1241" t="s">
        <v>1005</v>
      </c>
      <c r="D1241" t="str">
        <f>HYPERLINK("http://nlpdeep.cs.uic.edu:8080/proofing/gsii/50371-hospital-course-1-2.pdf","gsii/50371-hospital-course-1-2.pdf")</f>
        <v>gsii/50371-hospital-course-1-2.pdf</v>
      </c>
      <c r="E1241">
        <v>119960</v>
      </c>
      <c r="F1241">
        <v>50371</v>
      </c>
      <c r="G1241" t="s">
        <v>745</v>
      </c>
      <c r="H1241" t="s">
        <v>999</v>
      </c>
      <c r="I1241" t="s">
        <v>1006</v>
      </c>
    </row>
    <row r="1242" spans="1:9" x14ac:dyDescent="0.2">
      <c r="A1242" t="s">
        <v>1007</v>
      </c>
      <c r="D1242" t="str">
        <f>HYPERLINK("http://nlpdeep.cs.uic.edu:8080/proofing/t5/50371-hospital-course-1-3.pdf","t5/50371-hospital-course-1-3.pdf")</f>
        <v>t5/50371-hospital-course-1-3.pdf</v>
      </c>
      <c r="E1242">
        <v>119960</v>
      </c>
      <c r="F1242">
        <v>50371</v>
      </c>
      <c r="G1242" t="s">
        <v>745</v>
      </c>
      <c r="H1242" t="s">
        <v>999</v>
      </c>
      <c r="I1242" t="s">
        <v>1008</v>
      </c>
    </row>
    <row r="1243" spans="1:9" x14ac:dyDescent="0.2">
      <c r="A1243" t="s">
        <v>1007</v>
      </c>
      <c r="D1243" t="str">
        <f>HYPERLINK("http://nlpdeep.cs.uic.edu:8080/proofing/gsii/50371-hospital-course-1-3.pdf","gsii/50371-hospital-course-1-3.pdf")</f>
        <v>gsii/50371-hospital-course-1-3.pdf</v>
      </c>
      <c r="E1243">
        <v>119960</v>
      </c>
      <c r="F1243">
        <v>50371</v>
      </c>
      <c r="G1243" t="s">
        <v>745</v>
      </c>
      <c r="H1243" t="s">
        <v>999</v>
      </c>
      <c r="I1243" t="s">
        <v>1008</v>
      </c>
    </row>
    <row r="1244" spans="1:9" x14ac:dyDescent="0.2">
      <c r="A1244" t="s">
        <v>1009</v>
      </c>
      <c r="D1244" t="str">
        <f>HYPERLINK("http://nlpdeep.cs.uic.edu:8080/proofing/t5/50371-hospital-course-1-4.pdf","t5/50371-hospital-course-1-4.pdf")</f>
        <v>t5/50371-hospital-course-1-4.pdf</v>
      </c>
      <c r="E1244">
        <v>119960</v>
      </c>
      <c r="F1244">
        <v>50371</v>
      </c>
      <c r="G1244" t="s">
        <v>745</v>
      </c>
      <c r="H1244" t="s">
        <v>999</v>
      </c>
      <c r="I1244" t="s">
        <v>1010</v>
      </c>
    </row>
    <row r="1245" spans="1:9" x14ac:dyDescent="0.2">
      <c r="A1245" t="s">
        <v>1009</v>
      </c>
      <c r="D1245" t="str">
        <f>HYPERLINK("http://nlpdeep.cs.uic.edu:8080/proofing/gsii/50371-hospital-course-1-4.pdf","gsii/50371-hospital-course-1-4.pdf")</f>
        <v>gsii/50371-hospital-course-1-4.pdf</v>
      </c>
      <c r="E1245">
        <v>119960</v>
      </c>
      <c r="F1245">
        <v>50371</v>
      </c>
      <c r="G1245" t="s">
        <v>745</v>
      </c>
      <c r="H1245" t="s">
        <v>999</v>
      </c>
      <c r="I1245" t="s">
        <v>1010</v>
      </c>
    </row>
    <row r="1246" spans="1:9" x14ac:dyDescent="0.2">
      <c r="A1246" t="s">
        <v>1011</v>
      </c>
      <c r="D1246" t="str">
        <f>HYPERLINK("http://nlpdeep.cs.uic.edu:8080/proofing/t5/50371-hospital-course-1-5.pdf","t5/50371-hospital-course-1-5.pdf")</f>
        <v>t5/50371-hospital-course-1-5.pdf</v>
      </c>
      <c r="E1246">
        <v>119960</v>
      </c>
      <c r="F1246">
        <v>50371</v>
      </c>
      <c r="G1246" t="s">
        <v>745</v>
      </c>
      <c r="H1246" t="s">
        <v>999</v>
      </c>
      <c r="I1246" t="s">
        <v>1012</v>
      </c>
    </row>
    <row r="1247" spans="1:9" x14ac:dyDescent="0.2">
      <c r="A1247" t="s">
        <v>1011</v>
      </c>
      <c r="D1247" t="str">
        <f>HYPERLINK("http://nlpdeep.cs.uic.edu:8080/proofing/gsii/50371-hospital-course-1-5.pdf","gsii/50371-hospital-course-1-5.pdf")</f>
        <v>gsii/50371-hospital-course-1-5.pdf</v>
      </c>
      <c r="E1247">
        <v>119960</v>
      </c>
      <c r="F1247">
        <v>50371</v>
      </c>
      <c r="G1247" t="s">
        <v>745</v>
      </c>
      <c r="H1247" t="s">
        <v>999</v>
      </c>
      <c r="I1247" t="s">
        <v>1012</v>
      </c>
    </row>
    <row r="1248" spans="1:9" x14ac:dyDescent="0.2">
      <c r="A1248" t="s">
        <v>1013</v>
      </c>
      <c r="D1248" t="str">
        <f>HYPERLINK("http://nlpdeep.cs.uic.edu:8080/proofing/t5/50371-hospital-course-1-6.pdf","t5/50371-hospital-course-1-6.pdf")</f>
        <v>t5/50371-hospital-course-1-6.pdf</v>
      </c>
      <c r="E1248">
        <v>119960</v>
      </c>
      <c r="F1248">
        <v>50371</v>
      </c>
      <c r="G1248" t="s">
        <v>745</v>
      </c>
      <c r="H1248" t="s">
        <v>999</v>
      </c>
      <c r="I1248" t="s">
        <v>1014</v>
      </c>
    </row>
    <row r="1249" spans="1:9" x14ac:dyDescent="0.2">
      <c r="A1249" t="s">
        <v>1013</v>
      </c>
      <c r="D1249" t="str">
        <f>HYPERLINK("http://nlpdeep.cs.uic.edu:8080/proofing/gsii/50371-hospital-course-1-6.pdf","gsii/50371-hospital-course-1-6.pdf")</f>
        <v>gsii/50371-hospital-course-1-6.pdf</v>
      </c>
      <c r="E1249">
        <v>119960</v>
      </c>
      <c r="F1249">
        <v>50371</v>
      </c>
      <c r="G1249" t="s">
        <v>745</v>
      </c>
      <c r="H1249" t="s">
        <v>999</v>
      </c>
      <c r="I1249" t="s">
        <v>1014</v>
      </c>
    </row>
    <row r="1250" spans="1:9" x14ac:dyDescent="0.2">
      <c r="A1250" t="s">
        <v>1015</v>
      </c>
      <c r="D1250" t="str">
        <f>HYPERLINK("http://nlpdeep.cs.uic.edu:8080/proofing/t5/50371-hospital-course-2-0.pdf","t5/50371-hospital-course-2-0.pdf")</f>
        <v>t5/50371-hospital-course-2-0.pdf</v>
      </c>
      <c r="E1250">
        <v>119960</v>
      </c>
      <c r="F1250">
        <v>50371</v>
      </c>
      <c r="G1250" t="s">
        <v>745</v>
      </c>
      <c r="H1250" t="s">
        <v>999</v>
      </c>
      <c r="I1250" t="s">
        <v>1016</v>
      </c>
    </row>
    <row r="1251" spans="1:9" x14ac:dyDescent="0.2">
      <c r="A1251" t="s">
        <v>1015</v>
      </c>
      <c r="D1251" t="str">
        <f>HYPERLINK("http://nlpdeep.cs.uic.edu:8080/proofing/gsii/50371-hospital-course-2-0.pdf","gsii/50371-hospital-course-2-0.pdf")</f>
        <v>gsii/50371-hospital-course-2-0.pdf</v>
      </c>
      <c r="E1251">
        <v>119960</v>
      </c>
      <c r="F1251">
        <v>50371</v>
      </c>
      <c r="G1251" t="s">
        <v>745</v>
      </c>
      <c r="H1251" t="s">
        <v>999</v>
      </c>
      <c r="I1251" t="s">
        <v>1016</v>
      </c>
    </row>
    <row r="1252" spans="1:9" x14ac:dyDescent="0.2">
      <c r="A1252" t="s">
        <v>1017</v>
      </c>
      <c r="D1252" t="str">
        <f>HYPERLINK("http://nlpdeep.cs.uic.edu:8080/proofing/t5/50371-hospital-course-2-1.pdf","t5/50371-hospital-course-2-1.pdf")</f>
        <v>t5/50371-hospital-course-2-1.pdf</v>
      </c>
      <c r="E1252">
        <v>119960</v>
      </c>
      <c r="F1252">
        <v>50371</v>
      </c>
      <c r="G1252" t="s">
        <v>745</v>
      </c>
      <c r="H1252" t="s">
        <v>999</v>
      </c>
      <c r="I1252" t="s">
        <v>1018</v>
      </c>
    </row>
    <row r="1253" spans="1:9" x14ac:dyDescent="0.2">
      <c r="A1253" t="s">
        <v>1017</v>
      </c>
      <c r="D1253" t="str">
        <f>HYPERLINK("http://nlpdeep.cs.uic.edu:8080/proofing/gsii/50371-hospital-course-2-1.pdf","gsii/50371-hospital-course-2-1.pdf")</f>
        <v>gsii/50371-hospital-course-2-1.pdf</v>
      </c>
      <c r="E1253">
        <v>119960</v>
      </c>
      <c r="F1253">
        <v>50371</v>
      </c>
      <c r="G1253" t="s">
        <v>745</v>
      </c>
      <c r="H1253" t="s">
        <v>999</v>
      </c>
      <c r="I1253" t="s">
        <v>1018</v>
      </c>
    </row>
    <row r="1254" spans="1:9" x14ac:dyDescent="0.2">
      <c r="A1254" t="s">
        <v>1019</v>
      </c>
      <c r="D1254" t="str">
        <f>HYPERLINK("http://nlpdeep.cs.uic.edu:8080/proofing/t5/50371-hospital-course-2-2.pdf","t5/50371-hospital-course-2-2.pdf")</f>
        <v>t5/50371-hospital-course-2-2.pdf</v>
      </c>
      <c r="E1254">
        <v>119960</v>
      </c>
      <c r="F1254">
        <v>50371</v>
      </c>
      <c r="G1254" t="s">
        <v>745</v>
      </c>
      <c r="H1254" t="s">
        <v>999</v>
      </c>
      <c r="I1254" t="s">
        <v>1020</v>
      </c>
    </row>
    <row r="1255" spans="1:9" x14ac:dyDescent="0.2">
      <c r="A1255" t="s">
        <v>1019</v>
      </c>
      <c r="D1255" t="str">
        <f>HYPERLINK("http://nlpdeep.cs.uic.edu:8080/proofing/gsii/50371-hospital-course-2-2.pdf","gsii/50371-hospital-course-2-2.pdf")</f>
        <v>gsii/50371-hospital-course-2-2.pdf</v>
      </c>
      <c r="E1255">
        <v>119960</v>
      </c>
      <c r="F1255">
        <v>50371</v>
      </c>
      <c r="G1255" t="s">
        <v>745</v>
      </c>
      <c r="H1255" t="s">
        <v>999</v>
      </c>
      <c r="I1255" t="s">
        <v>1020</v>
      </c>
    </row>
    <row r="1256" spans="1:9" x14ac:dyDescent="0.2">
      <c r="A1256" t="s">
        <v>1021</v>
      </c>
      <c r="D1256" t="str">
        <f>HYPERLINK("http://nlpdeep.cs.uic.edu:8080/proofing/t5/50371-hospital-course-2-3.pdf","t5/50371-hospital-course-2-3.pdf")</f>
        <v>t5/50371-hospital-course-2-3.pdf</v>
      </c>
      <c r="E1256">
        <v>119960</v>
      </c>
      <c r="F1256">
        <v>50371</v>
      </c>
      <c r="G1256" t="s">
        <v>745</v>
      </c>
      <c r="H1256" t="s">
        <v>999</v>
      </c>
      <c r="I1256" t="s">
        <v>1022</v>
      </c>
    </row>
    <row r="1257" spans="1:9" x14ac:dyDescent="0.2">
      <c r="A1257" t="s">
        <v>1021</v>
      </c>
      <c r="D1257" t="str">
        <f>HYPERLINK("http://nlpdeep.cs.uic.edu:8080/proofing/gsii/50371-hospital-course-2-3.pdf","gsii/50371-hospital-course-2-3.pdf")</f>
        <v>gsii/50371-hospital-course-2-3.pdf</v>
      </c>
      <c r="E1257">
        <v>119960</v>
      </c>
      <c r="F1257">
        <v>50371</v>
      </c>
      <c r="G1257" t="s">
        <v>745</v>
      </c>
      <c r="H1257" t="s">
        <v>999</v>
      </c>
      <c r="I1257" t="s">
        <v>1022</v>
      </c>
    </row>
    <row r="1258" spans="1:9" x14ac:dyDescent="0.2">
      <c r="A1258" t="s">
        <v>1023</v>
      </c>
      <c r="D1258" t="str">
        <f>HYPERLINK("http://nlpdeep.cs.uic.edu:8080/proofing/t5/50371-hospital-course-3-0.pdf","t5/50371-hospital-course-3-0.pdf")</f>
        <v>t5/50371-hospital-course-3-0.pdf</v>
      </c>
      <c r="E1258">
        <v>119960</v>
      </c>
      <c r="F1258">
        <v>50371</v>
      </c>
      <c r="G1258" t="s">
        <v>745</v>
      </c>
      <c r="H1258" t="s">
        <v>999</v>
      </c>
      <c r="I1258" t="s">
        <v>1024</v>
      </c>
    </row>
    <row r="1259" spans="1:9" x14ac:dyDescent="0.2">
      <c r="A1259" t="s">
        <v>1023</v>
      </c>
      <c r="D1259" t="str">
        <f>HYPERLINK("http://nlpdeep.cs.uic.edu:8080/proofing/gsii/50371-hospital-course-3-0.pdf","gsii/50371-hospital-course-3-0.pdf")</f>
        <v>gsii/50371-hospital-course-3-0.pdf</v>
      </c>
      <c r="E1259">
        <v>119960</v>
      </c>
      <c r="F1259">
        <v>50371</v>
      </c>
      <c r="G1259" t="s">
        <v>745</v>
      </c>
      <c r="H1259" t="s">
        <v>999</v>
      </c>
      <c r="I1259" t="s">
        <v>1024</v>
      </c>
    </row>
    <row r="1260" spans="1:9" x14ac:dyDescent="0.2">
      <c r="A1260" t="s">
        <v>1025</v>
      </c>
      <c r="D1260" t="str">
        <f>HYPERLINK("http://nlpdeep.cs.uic.edu:8080/proofing/t5/50371-hospital-course-3-1.pdf","t5/50371-hospital-course-3-1.pdf")</f>
        <v>t5/50371-hospital-course-3-1.pdf</v>
      </c>
      <c r="E1260">
        <v>119960</v>
      </c>
      <c r="F1260">
        <v>50371</v>
      </c>
      <c r="G1260" t="s">
        <v>745</v>
      </c>
      <c r="H1260" t="s">
        <v>999</v>
      </c>
      <c r="I1260" t="s">
        <v>1026</v>
      </c>
    </row>
    <row r="1261" spans="1:9" x14ac:dyDescent="0.2">
      <c r="A1261" t="s">
        <v>1025</v>
      </c>
      <c r="D1261" t="str">
        <f>HYPERLINK("http://nlpdeep.cs.uic.edu:8080/proofing/gsii/50371-hospital-course-3-1.pdf","gsii/50371-hospital-course-3-1.pdf")</f>
        <v>gsii/50371-hospital-course-3-1.pdf</v>
      </c>
      <c r="E1261">
        <v>119960</v>
      </c>
      <c r="F1261">
        <v>50371</v>
      </c>
      <c r="G1261" t="s">
        <v>745</v>
      </c>
      <c r="H1261" t="s">
        <v>999</v>
      </c>
      <c r="I1261" t="s">
        <v>1026</v>
      </c>
    </row>
    <row r="1262" spans="1:9" x14ac:dyDescent="0.2">
      <c r="A1262" t="s">
        <v>1027</v>
      </c>
      <c r="D1262" t="str">
        <f>HYPERLINK("http://nlpdeep.cs.uic.edu:8080/proofing/t5/50371-hospital-course-3-2.pdf","t5/50371-hospital-course-3-2.pdf")</f>
        <v>t5/50371-hospital-course-3-2.pdf</v>
      </c>
      <c r="E1262">
        <v>119960</v>
      </c>
      <c r="F1262">
        <v>50371</v>
      </c>
      <c r="G1262" t="s">
        <v>745</v>
      </c>
      <c r="H1262" t="s">
        <v>999</v>
      </c>
      <c r="I1262" t="s">
        <v>1028</v>
      </c>
    </row>
    <row r="1263" spans="1:9" x14ac:dyDescent="0.2">
      <c r="A1263" t="s">
        <v>1027</v>
      </c>
      <c r="D1263" t="str">
        <f>HYPERLINK("http://nlpdeep.cs.uic.edu:8080/proofing/gsii/50371-hospital-course-3-2.pdf","gsii/50371-hospital-course-3-2.pdf")</f>
        <v>gsii/50371-hospital-course-3-2.pdf</v>
      </c>
      <c r="E1263">
        <v>119960</v>
      </c>
      <c r="F1263">
        <v>50371</v>
      </c>
      <c r="G1263" t="s">
        <v>745</v>
      </c>
      <c r="H1263" t="s">
        <v>999</v>
      </c>
      <c r="I1263" t="s">
        <v>1028</v>
      </c>
    </row>
    <row r="1264" spans="1:9" x14ac:dyDescent="0.2">
      <c r="A1264" t="s">
        <v>1029</v>
      </c>
      <c r="D1264" t="str">
        <f>HYPERLINK("http://nlpdeep.cs.uic.edu:8080/proofing/t5/50371-hospital-course-3-3.pdf","t5/50371-hospital-course-3-3.pdf")</f>
        <v>t5/50371-hospital-course-3-3.pdf</v>
      </c>
      <c r="E1264">
        <v>119960</v>
      </c>
      <c r="F1264">
        <v>50371</v>
      </c>
      <c r="G1264" t="s">
        <v>745</v>
      </c>
      <c r="H1264" t="s">
        <v>999</v>
      </c>
      <c r="I1264" t="s">
        <v>1030</v>
      </c>
    </row>
    <row r="1265" spans="1:9" x14ac:dyDescent="0.2">
      <c r="A1265" t="s">
        <v>1029</v>
      </c>
      <c r="D1265" t="str">
        <f>HYPERLINK("http://nlpdeep.cs.uic.edu:8080/proofing/gsii/50371-hospital-course-3-3.pdf","gsii/50371-hospital-course-3-3.pdf")</f>
        <v>gsii/50371-hospital-course-3-3.pdf</v>
      </c>
      <c r="E1265">
        <v>119960</v>
      </c>
      <c r="F1265">
        <v>50371</v>
      </c>
      <c r="G1265" t="s">
        <v>745</v>
      </c>
      <c r="H1265" t="s">
        <v>999</v>
      </c>
      <c r="I1265" t="s">
        <v>1030</v>
      </c>
    </row>
    <row r="1266" spans="1:9" x14ac:dyDescent="0.2">
      <c r="A1266" t="s">
        <v>1031</v>
      </c>
      <c r="D1266" t="str">
        <f>HYPERLINK("http://nlpdeep.cs.uic.edu:8080/proofing/t5/50371-hospital-course-3-4.pdf","t5/50371-hospital-course-3-4.pdf")</f>
        <v>t5/50371-hospital-course-3-4.pdf</v>
      </c>
      <c r="E1266">
        <v>119960</v>
      </c>
      <c r="F1266">
        <v>50371</v>
      </c>
      <c r="G1266" t="s">
        <v>745</v>
      </c>
      <c r="H1266" t="s">
        <v>999</v>
      </c>
      <c r="I1266" t="s">
        <v>1032</v>
      </c>
    </row>
    <row r="1267" spans="1:9" x14ac:dyDescent="0.2">
      <c r="A1267" t="s">
        <v>1031</v>
      </c>
      <c r="D1267" t="str">
        <f>HYPERLINK("http://nlpdeep.cs.uic.edu:8080/proofing/gsii/50371-hospital-course-3-4.pdf","gsii/50371-hospital-course-3-4.pdf")</f>
        <v>gsii/50371-hospital-course-3-4.pdf</v>
      </c>
      <c r="E1267">
        <v>119960</v>
      </c>
      <c r="F1267">
        <v>50371</v>
      </c>
      <c r="G1267" t="s">
        <v>745</v>
      </c>
      <c r="H1267" t="s">
        <v>999</v>
      </c>
      <c r="I1267" t="s">
        <v>1032</v>
      </c>
    </row>
    <row r="1268" spans="1:9" x14ac:dyDescent="0.2">
      <c r="A1268" t="s">
        <v>1033</v>
      </c>
      <c r="D1268" t="str">
        <f>HYPERLINK("http://nlpdeep.cs.uic.edu:8080/proofing/t5/50371-hospital-course-3-5.pdf","t5/50371-hospital-course-3-5.pdf")</f>
        <v>t5/50371-hospital-course-3-5.pdf</v>
      </c>
      <c r="E1268">
        <v>119960</v>
      </c>
      <c r="F1268">
        <v>50371</v>
      </c>
      <c r="G1268" t="s">
        <v>745</v>
      </c>
      <c r="H1268" t="s">
        <v>999</v>
      </c>
      <c r="I1268" t="s">
        <v>1034</v>
      </c>
    </row>
    <row r="1269" spans="1:9" x14ac:dyDescent="0.2">
      <c r="A1269" t="s">
        <v>1033</v>
      </c>
      <c r="D1269" t="str">
        <f>HYPERLINK("http://nlpdeep.cs.uic.edu:8080/proofing/gsii/50371-hospital-course-3-5.pdf","gsii/50371-hospital-course-3-5.pdf")</f>
        <v>gsii/50371-hospital-course-3-5.pdf</v>
      </c>
      <c r="E1269">
        <v>119960</v>
      </c>
      <c r="F1269">
        <v>50371</v>
      </c>
      <c r="G1269" t="s">
        <v>745</v>
      </c>
      <c r="H1269" t="s">
        <v>999</v>
      </c>
      <c r="I1269" t="s">
        <v>1034</v>
      </c>
    </row>
    <row r="1270" spans="1:9" x14ac:dyDescent="0.2">
      <c r="A1270" t="s">
        <v>1035</v>
      </c>
      <c r="D1270" t="str">
        <f>HYPERLINK("http://nlpdeep.cs.uic.edu:8080/proofing/t5/50371-hospital-course-4-0.pdf","t5/50371-hospital-course-4-0.pdf")</f>
        <v>t5/50371-hospital-course-4-0.pdf</v>
      </c>
      <c r="E1270">
        <v>119960</v>
      </c>
      <c r="F1270">
        <v>50371</v>
      </c>
      <c r="G1270" t="s">
        <v>745</v>
      </c>
      <c r="H1270" t="s">
        <v>999</v>
      </c>
      <c r="I1270" t="s">
        <v>1036</v>
      </c>
    </row>
    <row r="1271" spans="1:9" x14ac:dyDescent="0.2">
      <c r="A1271" t="s">
        <v>1035</v>
      </c>
      <c r="D1271" t="str">
        <f>HYPERLINK("http://nlpdeep.cs.uic.edu:8080/proofing/gsii/50371-hospital-course-4-0.pdf","gsii/50371-hospital-course-4-0.pdf")</f>
        <v>gsii/50371-hospital-course-4-0.pdf</v>
      </c>
      <c r="E1271">
        <v>119960</v>
      </c>
      <c r="F1271">
        <v>50371</v>
      </c>
      <c r="G1271" t="s">
        <v>745</v>
      </c>
      <c r="H1271" t="s">
        <v>999</v>
      </c>
      <c r="I1271" t="s">
        <v>1036</v>
      </c>
    </row>
    <row r="1272" spans="1:9" x14ac:dyDescent="0.2">
      <c r="A1272" t="s">
        <v>1037</v>
      </c>
      <c r="D1272" t="str">
        <f>HYPERLINK("http://nlpdeep.cs.uic.edu:8080/proofing/t5/50371-hospital-course-4-1.pdf","t5/50371-hospital-course-4-1.pdf")</f>
        <v>t5/50371-hospital-course-4-1.pdf</v>
      </c>
      <c r="E1272">
        <v>119960</v>
      </c>
      <c r="F1272">
        <v>50371</v>
      </c>
      <c r="G1272" t="s">
        <v>745</v>
      </c>
      <c r="H1272" t="s">
        <v>999</v>
      </c>
      <c r="I1272" t="s">
        <v>1038</v>
      </c>
    </row>
    <row r="1273" spans="1:9" x14ac:dyDescent="0.2">
      <c r="A1273" t="s">
        <v>1037</v>
      </c>
      <c r="D1273" t="str">
        <f>HYPERLINK("http://nlpdeep.cs.uic.edu:8080/proofing/gsii/50371-hospital-course-4-1.pdf","gsii/50371-hospital-course-4-1.pdf")</f>
        <v>gsii/50371-hospital-course-4-1.pdf</v>
      </c>
      <c r="E1273">
        <v>119960</v>
      </c>
      <c r="F1273">
        <v>50371</v>
      </c>
      <c r="G1273" t="s">
        <v>745</v>
      </c>
      <c r="H1273" t="s">
        <v>999</v>
      </c>
      <c r="I1273" t="s">
        <v>1038</v>
      </c>
    </row>
    <row r="1274" spans="1:9" x14ac:dyDescent="0.2">
      <c r="A1274" t="s">
        <v>1039</v>
      </c>
      <c r="D1274" t="str">
        <f>HYPERLINK("http://nlpdeep.cs.uic.edu:8080/proofing/t5/50371-hospital-course-4-2.pdf","t5/50371-hospital-course-4-2.pdf")</f>
        <v>t5/50371-hospital-course-4-2.pdf</v>
      </c>
      <c r="E1274">
        <v>119960</v>
      </c>
      <c r="F1274">
        <v>50371</v>
      </c>
      <c r="G1274" t="s">
        <v>745</v>
      </c>
      <c r="H1274" t="s">
        <v>999</v>
      </c>
      <c r="I1274" t="s">
        <v>1040</v>
      </c>
    </row>
    <row r="1275" spans="1:9" x14ac:dyDescent="0.2">
      <c r="A1275" t="s">
        <v>1039</v>
      </c>
      <c r="D1275" t="str">
        <f>HYPERLINK("http://nlpdeep.cs.uic.edu:8080/proofing/gsii/50371-hospital-course-4-2.pdf","gsii/50371-hospital-course-4-2.pdf")</f>
        <v>gsii/50371-hospital-course-4-2.pdf</v>
      </c>
      <c r="E1275">
        <v>119960</v>
      </c>
      <c r="F1275">
        <v>50371</v>
      </c>
      <c r="G1275" t="s">
        <v>745</v>
      </c>
      <c r="H1275" t="s">
        <v>999</v>
      </c>
      <c r="I1275" t="s">
        <v>1040</v>
      </c>
    </row>
    <row r="1276" spans="1:9" x14ac:dyDescent="0.2">
      <c r="A1276" t="s">
        <v>1041</v>
      </c>
      <c r="D1276" t="str">
        <f>HYPERLINK("http://nlpdeep.cs.uic.edu:8080/proofing/t5/50371-hospital-course-4-3.pdf","t5/50371-hospital-course-4-3.pdf")</f>
        <v>t5/50371-hospital-course-4-3.pdf</v>
      </c>
      <c r="E1276">
        <v>119960</v>
      </c>
      <c r="F1276">
        <v>50371</v>
      </c>
      <c r="G1276" t="s">
        <v>745</v>
      </c>
      <c r="H1276" t="s">
        <v>999</v>
      </c>
      <c r="I1276" t="s">
        <v>1042</v>
      </c>
    </row>
    <row r="1277" spans="1:9" x14ac:dyDescent="0.2">
      <c r="A1277" t="s">
        <v>1041</v>
      </c>
      <c r="D1277" t="str">
        <f>HYPERLINK("http://nlpdeep.cs.uic.edu:8080/proofing/gsii/50371-hospital-course-4-3.pdf","gsii/50371-hospital-course-4-3.pdf")</f>
        <v>gsii/50371-hospital-course-4-3.pdf</v>
      </c>
      <c r="E1277">
        <v>119960</v>
      </c>
      <c r="F1277">
        <v>50371</v>
      </c>
      <c r="G1277" t="s">
        <v>745</v>
      </c>
      <c r="H1277" t="s">
        <v>999</v>
      </c>
      <c r="I1277" t="s">
        <v>1042</v>
      </c>
    </row>
    <row r="1278" spans="1:9" x14ac:dyDescent="0.2">
      <c r="A1278" t="s">
        <v>1043</v>
      </c>
      <c r="D1278" t="str">
        <f>HYPERLINK("http://nlpdeep.cs.uic.edu:8080/proofing/t5/50371-hospital-course-5-0.pdf","t5/50371-hospital-course-5-0.pdf")</f>
        <v>t5/50371-hospital-course-5-0.pdf</v>
      </c>
      <c r="E1278">
        <v>119960</v>
      </c>
      <c r="F1278">
        <v>50371</v>
      </c>
      <c r="G1278" t="s">
        <v>745</v>
      </c>
      <c r="H1278" t="s">
        <v>999</v>
      </c>
      <c r="I1278" t="s">
        <v>1044</v>
      </c>
    </row>
    <row r="1279" spans="1:9" x14ac:dyDescent="0.2">
      <c r="A1279" t="s">
        <v>1043</v>
      </c>
      <c r="D1279" t="str">
        <f>HYPERLINK("http://nlpdeep.cs.uic.edu:8080/proofing/gsii/50371-hospital-course-5-0.pdf","gsii/50371-hospital-course-5-0.pdf")</f>
        <v>gsii/50371-hospital-course-5-0.pdf</v>
      </c>
      <c r="E1279">
        <v>119960</v>
      </c>
      <c r="F1279">
        <v>50371</v>
      </c>
      <c r="G1279" t="s">
        <v>745</v>
      </c>
      <c r="H1279" t="s">
        <v>999</v>
      </c>
      <c r="I1279" t="s">
        <v>1044</v>
      </c>
    </row>
    <row r="1280" spans="1:9" x14ac:dyDescent="0.2">
      <c r="A1280" t="s">
        <v>1045</v>
      </c>
      <c r="D1280" t="str">
        <f>HYPERLINK("http://nlpdeep.cs.uic.edu:8080/proofing/t5/50371-hospital-course-5-1.pdf","t5/50371-hospital-course-5-1.pdf")</f>
        <v>t5/50371-hospital-course-5-1.pdf</v>
      </c>
      <c r="E1280">
        <v>119960</v>
      </c>
      <c r="F1280">
        <v>50371</v>
      </c>
      <c r="G1280" t="s">
        <v>745</v>
      </c>
      <c r="H1280" t="s">
        <v>999</v>
      </c>
      <c r="I1280" t="s">
        <v>1046</v>
      </c>
    </row>
    <row r="1281" spans="1:9" x14ac:dyDescent="0.2">
      <c r="A1281" t="s">
        <v>1045</v>
      </c>
      <c r="D1281" t="str">
        <f>HYPERLINK("http://nlpdeep.cs.uic.edu:8080/proofing/gsii/50371-hospital-course-5-1.pdf","gsii/50371-hospital-course-5-1.pdf")</f>
        <v>gsii/50371-hospital-course-5-1.pdf</v>
      </c>
      <c r="E1281">
        <v>119960</v>
      </c>
      <c r="F1281">
        <v>50371</v>
      </c>
      <c r="G1281" t="s">
        <v>745</v>
      </c>
      <c r="H1281" t="s">
        <v>999</v>
      </c>
      <c r="I1281" t="s">
        <v>1046</v>
      </c>
    </row>
    <row r="1282" spans="1:9" x14ac:dyDescent="0.2">
      <c r="A1282" t="s">
        <v>1047</v>
      </c>
      <c r="D1282" t="str">
        <f>HYPERLINK("http://nlpdeep.cs.uic.edu:8080/proofing/t5/50371-hospital-course-5-2.pdf","t5/50371-hospital-course-5-2.pdf")</f>
        <v>t5/50371-hospital-course-5-2.pdf</v>
      </c>
      <c r="E1282">
        <v>119960</v>
      </c>
      <c r="F1282">
        <v>50371</v>
      </c>
      <c r="G1282" t="s">
        <v>745</v>
      </c>
      <c r="H1282" t="s">
        <v>999</v>
      </c>
    </row>
    <row r="1283" spans="1:9" x14ac:dyDescent="0.2">
      <c r="A1283" t="s">
        <v>1047</v>
      </c>
      <c r="D1283" t="str">
        <f>HYPERLINK("http://nlpdeep.cs.uic.edu:8080/proofing/gsii/50371-hospital-course-5-2.pdf","gsii/50371-hospital-course-5-2.pdf")</f>
        <v>gsii/50371-hospital-course-5-2.pdf</v>
      </c>
      <c r="E1283">
        <v>119960</v>
      </c>
      <c r="F1283">
        <v>50371</v>
      </c>
      <c r="G1283" t="s">
        <v>745</v>
      </c>
      <c r="H1283" t="s">
        <v>999</v>
      </c>
    </row>
    <row r="1284" spans="1:9" x14ac:dyDescent="0.2">
      <c r="A1284" t="s">
        <v>1048</v>
      </c>
      <c r="D1284" t="str">
        <f>HYPERLINK("http://nlpdeep.cs.uic.edu:8080/proofing/t5/50371-hospital-course-6-0.pdf","t5/50371-hospital-course-6-0.pdf")</f>
        <v>t5/50371-hospital-course-6-0.pdf</v>
      </c>
      <c r="E1284">
        <v>119960</v>
      </c>
      <c r="F1284">
        <v>50371</v>
      </c>
      <c r="G1284" t="s">
        <v>745</v>
      </c>
      <c r="H1284" t="s">
        <v>999</v>
      </c>
      <c r="I1284" t="s">
        <v>1049</v>
      </c>
    </row>
    <row r="1285" spans="1:9" x14ac:dyDescent="0.2">
      <c r="A1285" t="s">
        <v>1048</v>
      </c>
      <c r="D1285" t="str">
        <f>HYPERLINK("http://nlpdeep.cs.uic.edu:8080/proofing/gsii/50371-hospital-course-6-0.pdf","gsii/50371-hospital-course-6-0.pdf")</f>
        <v>gsii/50371-hospital-course-6-0.pdf</v>
      </c>
      <c r="E1285">
        <v>119960</v>
      </c>
      <c r="F1285">
        <v>50371</v>
      </c>
      <c r="G1285" t="s">
        <v>745</v>
      </c>
      <c r="H1285" t="s">
        <v>999</v>
      </c>
      <c r="I1285" t="s">
        <v>1049</v>
      </c>
    </row>
    <row r="1286" spans="1:9" x14ac:dyDescent="0.2">
      <c r="A1286" t="s">
        <v>1050</v>
      </c>
      <c r="D1286" t="str">
        <f>HYPERLINK("http://nlpdeep.cs.uic.edu:8080/proofing/t5/50371-hospital-course-6-1.pdf","t5/50371-hospital-course-6-1.pdf")</f>
        <v>t5/50371-hospital-course-6-1.pdf</v>
      </c>
      <c r="E1286">
        <v>119960</v>
      </c>
      <c r="F1286">
        <v>50371</v>
      </c>
      <c r="G1286" t="s">
        <v>745</v>
      </c>
      <c r="H1286" t="s">
        <v>999</v>
      </c>
      <c r="I1286" t="s">
        <v>1051</v>
      </c>
    </row>
    <row r="1287" spans="1:9" x14ac:dyDescent="0.2">
      <c r="A1287" t="s">
        <v>1050</v>
      </c>
      <c r="D1287" t="str">
        <f>HYPERLINK("http://nlpdeep.cs.uic.edu:8080/proofing/gsii/50371-hospital-course-6-1.pdf","gsii/50371-hospital-course-6-1.pdf")</f>
        <v>gsii/50371-hospital-course-6-1.pdf</v>
      </c>
      <c r="E1287">
        <v>119960</v>
      </c>
      <c r="F1287">
        <v>50371</v>
      </c>
      <c r="G1287" t="s">
        <v>745</v>
      </c>
      <c r="H1287" t="s">
        <v>999</v>
      </c>
      <c r="I1287" t="s">
        <v>1051</v>
      </c>
    </row>
    <row r="1288" spans="1:9" x14ac:dyDescent="0.2">
      <c r="A1288" t="s">
        <v>1052</v>
      </c>
      <c r="D1288" t="str">
        <f>HYPERLINK("http://nlpdeep.cs.uic.edu:8080/proofing/t5/50371-hospital-course-6-2.pdf","t5/50371-hospital-course-6-2.pdf")</f>
        <v>t5/50371-hospital-course-6-2.pdf</v>
      </c>
      <c r="E1288">
        <v>119960</v>
      </c>
      <c r="F1288">
        <v>50371</v>
      </c>
      <c r="G1288" t="s">
        <v>745</v>
      </c>
      <c r="H1288" t="s">
        <v>999</v>
      </c>
      <c r="I1288" t="s">
        <v>1053</v>
      </c>
    </row>
    <row r="1289" spans="1:9" x14ac:dyDescent="0.2">
      <c r="A1289" t="s">
        <v>1052</v>
      </c>
      <c r="D1289" t="str">
        <f>HYPERLINK("http://nlpdeep.cs.uic.edu:8080/proofing/gsii/50371-hospital-course-6-2.pdf","gsii/50371-hospital-course-6-2.pdf")</f>
        <v>gsii/50371-hospital-course-6-2.pdf</v>
      </c>
      <c r="E1289">
        <v>119960</v>
      </c>
      <c r="F1289">
        <v>50371</v>
      </c>
      <c r="G1289" t="s">
        <v>745</v>
      </c>
      <c r="H1289" t="s">
        <v>999</v>
      </c>
      <c r="I1289" t="s">
        <v>1053</v>
      </c>
    </row>
    <row r="1290" spans="1:9" x14ac:dyDescent="0.2">
      <c r="A1290" t="s">
        <v>1054</v>
      </c>
      <c r="D1290" t="str">
        <f>HYPERLINK("http://nlpdeep.cs.uic.edu:8080/proofing/t5/50371-hospital-course-6-3.pdf","t5/50371-hospital-course-6-3.pdf")</f>
        <v>t5/50371-hospital-course-6-3.pdf</v>
      </c>
      <c r="E1290">
        <v>119960</v>
      </c>
      <c r="F1290">
        <v>50371</v>
      </c>
      <c r="G1290" t="s">
        <v>745</v>
      </c>
      <c r="H1290" t="s">
        <v>999</v>
      </c>
      <c r="I1290" t="s">
        <v>1055</v>
      </c>
    </row>
    <row r="1291" spans="1:9" x14ac:dyDescent="0.2">
      <c r="A1291" t="s">
        <v>1054</v>
      </c>
      <c r="D1291" t="str">
        <f>HYPERLINK("http://nlpdeep.cs.uic.edu:8080/proofing/gsii/50371-hospital-course-6-3.pdf","gsii/50371-hospital-course-6-3.pdf")</f>
        <v>gsii/50371-hospital-course-6-3.pdf</v>
      </c>
      <c r="E1291">
        <v>119960</v>
      </c>
      <c r="F1291">
        <v>50371</v>
      </c>
      <c r="G1291" t="s">
        <v>745</v>
      </c>
      <c r="H1291" t="s">
        <v>999</v>
      </c>
      <c r="I1291" t="s">
        <v>1055</v>
      </c>
    </row>
    <row r="1292" spans="1:9" x14ac:dyDescent="0.2">
      <c r="A1292" t="s">
        <v>1056</v>
      </c>
      <c r="D1292" t="str">
        <f>HYPERLINK("http://nlpdeep.cs.uic.edu:8080/proofing/t5/50371-hospital-course-6-4.pdf","t5/50371-hospital-course-6-4.pdf")</f>
        <v>t5/50371-hospital-course-6-4.pdf</v>
      </c>
      <c r="E1292">
        <v>119960</v>
      </c>
      <c r="F1292">
        <v>50371</v>
      </c>
      <c r="G1292" t="s">
        <v>745</v>
      </c>
      <c r="H1292" t="s">
        <v>999</v>
      </c>
      <c r="I1292" t="s">
        <v>1057</v>
      </c>
    </row>
    <row r="1293" spans="1:9" x14ac:dyDescent="0.2">
      <c r="A1293" t="s">
        <v>1056</v>
      </c>
      <c r="D1293" t="str">
        <f>HYPERLINK("http://nlpdeep.cs.uic.edu:8080/proofing/gsii/50371-hospital-course-6-4.pdf","gsii/50371-hospital-course-6-4.pdf")</f>
        <v>gsii/50371-hospital-course-6-4.pdf</v>
      </c>
      <c r="E1293">
        <v>119960</v>
      </c>
      <c r="F1293">
        <v>50371</v>
      </c>
      <c r="G1293" t="s">
        <v>745</v>
      </c>
      <c r="H1293" t="s">
        <v>999</v>
      </c>
      <c r="I1293" t="s">
        <v>1057</v>
      </c>
    </row>
    <row r="1294" spans="1:9" x14ac:dyDescent="0.2">
      <c r="A1294" t="s">
        <v>1058</v>
      </c>
      <c r="D1294" t="str">
        <f>HYPERLINK("http://nlpdeep.cs.uic.edu:8080/proofing/t5/50371-hospital-course-7-0.pdf","t5/50371-hospital-course-7-0.pdf")</f>
        <v>t5/50371-hospital-course-7-0.pdf</v>
      </c>
      <c r="E1294">
        <v>119960</v>
      </c>
      <c r="F1294">
        <v>50371</v>
      </c>
      <c r="G1294" t="s">
        <v>745</v>
      </c>
      <c r="H1294" t="s">
        <v>999</v>
      </c>
    </row>
    <row r="1295" spans="1:9" x14ac:dyDescent="0.2">
      <c r="A1295" t="s">
        <v>1058</v>
      </c>
      <c r="D1295" t="str">
        <f>HYPERLINK("http://nlpdeep.cs.uic.edu:8080/proofing/gsii/50371-hospital-course-7-0.pdf","gsii/50371-hospital-course-7-0.pdf")</f>
        <v>gsii/50371-hospital-course-7-0.pdf</v>
      </c>
      <c r="E1295">
        <v>119960</v>
      </c>
      <c r="F1295">
        <v>50371</v>
      </c>
      <c r="G1295" t="s">
        <v>745</v>
      </c>
      <c r="H1295" t="s">
        <v>999</v>
      </c>
    </row>
    <row r="1296" spans="1:9" x14ac:dyDescent="0.2">
      <c r="A1296" t="s">
        <v>1059</v>
      </c>
      <c r="D1296" t="str">
        <f>HYPERLINK("http://nlpdeep.cs.uic.edu:8080/proofing/t5/50371-hospital-course-8-0.pdf","t5/50371-hospital-course-8-0.pdf")</f>
        <v>t5/50371-hospital-course-8-0.pdf</v>
      </c>
      <c r="E1296">
        <v>119960</v>
      </c>
      <c r="F1296">
        <v>50371</v>
      </c>
      <c r="G1296" t="s">
        <v>745</v>
      </c>
      <c r="H1296" t="s">
        <v>999</v>
      </c>
      <c r="I1296" t="s">
        <v>1060</v>
      </c>
    </row>
    <row r="1297" spans="1:9" x14ac:dyDescent="0.2">
      <c r="A1297" t="s">
        <v>1059</v>
      </c>
      <c r="D1297" t="str">
        <f>HYPERLINK("http://nlpdeep.cs.uic.edu:8080/proofing/gsii/50371-hospital-course-8-0.pdf","gsii/50371-hospital-course-8-0.pdf")</f>
        <v>gsii/50371-hospital-course-8-0.pdf</v>
      </c>
      <c r="E1297">
        <v>119960</v>
      </c>
      <c r="F1297">
        <v>50371</v>
      </c>
      <c r="G1297" t="s">
        <v>745</v>
      </c>
      <c r="H1297" t="s">
        <v>999</v>
      </c>
      <c r="I1297" t="s">
        <v>1060</v>
      </c>
    </row>
    <row r="1298" spans="1:9" x14ac:dyDescent="0.2">
      <c r="A1298" t="s">
        <v>1061</v>
      </c>
      <c r="D1298" t="str">
        <f>HYPERLINK("http://nlpdeep.cs.uic.edu:8080/proofing/t5/50371-hospital-course-8-1.pdf","t5/50371-hospital-course-8-1.pdf")</f>
        <v>t5/50371-hospital-course-8-1.pdf</v>
      </c>
      <c r="E1298">
        <v>119960</v>
      </c>
      <c r="F1298">
        <v>50371</v>
      </c>
      <c r="G1298" t="s">
        <v>745</v>
      </c>
      <c r="H1298" t="s">
        <v>999</v>
      </c>
      <c r="I1298" t="s">
        <v>1062</v>
      </c>
    </row>
    <row r="1299" spans="1:9" x14ac:dyDescent="0.2">
      <c r="A1299" t="s">
        <v>1061</v>
      </c>
      <c r="D1299" t="str">
        <f>HYPERLINK("http://nlpdeep.cs.uic.edu:8080/proofing/gsii/50371-hospital-course-8-1.pdf","gsii/50371-hospital-course-8-1.pdf")</f>
        <v>gsii/50371-hospital-course-8-1.pdf</v>
      </c>
      <c r="E1299">
        <v>119960</v>
      </c>
      <c r="F1299">
        <v>50371</v>
      </c>
      <c r="G1299" t="s">
        <v>745</v>
      </c>
      <c r="H1299" t="s">
        <v>999</v>
      </c>
      <c r="I1299" t="s">
        <v>1062</v>
      </c>
    </row>
    <row r="1300" spans="1:9" x14ac:dyDescent="0.2">
      <c r="A1300" t="s">
        <v>1063</v>
      </c>
      <c r="D1300" t="str">
        <f>HYPERLINK("http://nlpdeep.cs.uic.edu:8080/proofing/t5/50371-hospital-course-8-2.pdf","t5/50371-hospital-course-8-2.pdf")</f>
        <v>t5/50371-hospital-course-8-2.pdf</v>
      </c>
      <c r="E1300">
        <v>119960</v>
      </c>
      <c r="F1300">
        <v>50371</v>
      </c>
      <c r="G1300" t="s">
        <v>745</v>
      </c>
      <c r="H1300" t="s">
        <v>999</v>
      </c>
      <c r="I1300" t="s">
        <v>1064</v>
      </c>
    </row>
    <row r="1301" spans="1:9" x14ac:dyDescent="0.2">
      <c r="A1301" t="s">
        <v>1063</v>
      </c>
      <c r="D1301" t="str">
        <f>HYPERLINK("http://nlpdeep.cs.uic.edu:8080/proofing/gsii/50371-hospital-course-8-2.pdf","gsii/50371-hospital-course-8-2.pdf")</f>
        <v>gsii/50371-hospital-course-8-2.pdf</v>
      </c>
      <c r="E1301">
        <v>119960</v>
      </c>
      <c r="F1301">
        <v>50371</v>
      </c>
      <c r="G1301" t="s">
        <v>745</v>
      </c>
      <c r="H1301" t="s">
        <v>999</v>
      </c>
      <c r="I1301" t="s">
        <v>1064</v>
      </c>
    </row>
    <row r="1302" spans="1:9" x14ac:dyDescent="0.2">
      <c r="A1302" t="s">
        <v>1065</v>
      </c>
      <c r="D1302" t="str">
        <f>HYPERLINK("http://nlpdeep.cs.uic.edu:8080/proofing/t5/50371-hospital-course-8-3.pdf","t5/50371-hospital-course-8-3.pdf")</f>
        <v>t5/50371-hospital-course-8-3.pdf</v>
      </c>
      <c r="E1302">
        <v>119960</v>
      </c>
      <c r="F1302">
        <v>50371</v>
      </c>
      <c r="G1302" t="s">
        <v>745</v>
      </c>
      <c r="H1302" t="s">
        <v>999</v>
      </c>
      <c r="I1302" t="s">
        <v>1066</v>
      </c>
    </row>
    <row r="1303" spans="1:9" x14ac:dyDescent="0.2">
      <c r="A1303" t="s">
        <v>1065</v>
      </c>
      <c r="D1303" t="str">
        <f>HYPERLINK("http://nlpdeep.cs.uic.edu:8080/proofing/gsii/50371-hospital-course-8-3.pdf","gsii/50371-hospital-course-8-3.pdf")</f>
        <v>gsii/50371-hospital-course-8-3.pdf</v>
      </c>
      <c r="E1303">
        <v>119960</v>
      </c>
      <c r="F1303">
        <v>50371</v>
      </c>
      <c r="G1303" t="s">
        <v>745</v>
      </c>
      <c r="H1303" t="s">
        <v>999</v>
      </c>
      <c r="I1303" t="s">
        <v>1066</v>
      </c>
    </row>
    <row r="1304" spans="1:9" x14ac:dyDescent="0.2">
      <c r="A1304" t="s">
        <v>1067</v>
      </c>
      <c r="D1304" t="str">
        <f>HYPERLINK("http://nlpdeep.cs.uic.edu:8080/proofing/t5/50371-hospital-course-8-4.pdf","t5/50371-hospital-course-8-4.pdf")</f>
        <v>t5/50371-hospital-course-8-4.pdf</v>
      </c>
      <c r="E1304">
        <v>119960</v>
      </c>
      <c r="F1304">
        <v>50371</v>
      </c>
      <c r="G1304" t="s">
        <v>745</v>
      </c>
      <c r="H1304" t="s">
        <v>999</v>
      </c>
      <c r="I1304" t="s">
        <v>1068</v>
      </c>
    </row>
    <row r="1305" spans="1:9" x14ac:dyDescent="0.2">
      <c r="A1305" t="s">
        <v>1067</v>
      </c>
      <c r="D1305" t="str">
        <f>HYPERLINK("http://nlpdeep.cs.uic.edu:8080/proofing/gsii/50371-hospital-course-8-4.pdf","gsii/50371-hospital-course-8-4.pdf")</f>
        <v>gsii/50371-hospital-course-8-4.pdf</v>
      </c>
      <c r="E1305">
        <v>119960</v>
      </c>
      <c r="F1305">
        <v>50371</v>
      </c>
      <c r="G1305" t="s">
        <v>745</v>
      </c>
      <c r="H1305" t="s">
        <v>999</v>
      </c>
      <c r="I1305" t="s">
        <v>1068</v>
      </c>
    </row>
    <row r="1306" spans="1:9" x14ac:dyDescent="0.2">
      <c r="A1306" t="s">
        <v>1069</v>
      </c>
      <c r="D1306" t="str">
        <f>HYPERLINK("http://nlpdeep.cs.uic.edu:8080/proofing/t5/50371-hospital-course-9-0.pdf","t5/50371-hospital-course-9-0.pdf")</f>
        <v>t5/50371-hospital-course-9-0.pdf</v>
      </c>
      <c r="E1306">
        <v>119960</v>
      </c>
      <c r="F1306">
        <v>50371</v>
      </c>
      <c r="G1306" t="s">
        <v>745</v>
      </c>
      <c r="H1306" t="s">
        <v>999</v>
      </c>
      <c r="I1306" t="s">
        <v>1070</v>
      </c>
    </row>
    <row r="1307" spans="1:9" x14ac:dyDescent="0.2">
      <c r="A1307" t="s">
        <v>1069</v>
      </c>
      <c r="D1307" t="str">
        <f>HYPERLINK("http://nlpdeep.cs.uic.edu:8080/proofing/gsii/50371-hospital-course-9-0.pdf","gsii/50371-hospital-course-9-0.pdf")</f>
        <v>gsii/50371-hospital-course-9-0.pdf</v>
      </c>
      <c r="E1307">
        <v>119960</v>
      </c>
      <c r="F1307">
        <v>50371</v>
      </c>
      <c r="G1307" t="s">
        <v>745</v>
      </c>
      <c r="H1307" t="s">
        <v>999</v>
      </c>
      <c r="I1307" t="s">
        <v>1070</v>
      </c>
    </row>
    <row r="1308" spans="1:9" x14ac:dyDescent="0.2">
      <c r="A1308" t="s">
        <v>1071</v>
      </c>
      <c r="D1308" t="str">
        <f>HYPERLINK("http://nlpdeep.cs.uic.edu:8080/proofing/t5/50371-hospital-course-9-1.pdf","t5/50371-hospital-course-9-1.pdf")</f>
        <v>t5/50371-hospital-course-9-1.pdf</v>
      </c>
      <c r="E1308">
        <v>119960</v>
      </c>
      <c r="F1308">
        <v>50371</v>
      </c>
      <c r="G1308" t="s">
        <v>745</v>
      </c>
      <c r="H1308" t="s">
        <v>999</v>
      </c>
      <c r="I1308" t="s">
        <v>1072</v>
      </c>
    </row>
    <row r="1309" spans="1:9" x14ac:dyDescent="0.2">
      <c r="A1309" t="s">
        <v>1071</v>
      </c>
      <c r="D1309" t="str">
        <f>HYPERLINK("http://nlpdeep.cs.uic.edu:8080/proofing/gsii/50371-hospital-course-9-1.pdf","gsii/50371-hospital-course-9-1.pdf")</f>
        <v>gsii/50371-hospital-course-9-1.pdf</v>
      </c>
      <c r="E1309">
        <v>119960</v>
      </c>
      <c r="F1309">
        <v>50371</v>
      </c>
      <c r="G1309" t="s">
        <v>745</v>
      </c>
      <c r="H1309" t="s">
        <v>999</v>
      </c>
      <c r="I1309" t="s">
        <v>1072</v>
      </c>
    </row>
    <row r="1310" spans="1:9" x14ac:dyDescent="0.2">
      <c r="A1310" t="s">
        <v>1073</v>
      </c>
      <c r="D1310" t="str">
        <f>HYPERLINK("http://nlpdeep.cs.uic.edu:8080/proofing/t5/50371-hospital-course-9-2.pdf","t5/50371-hospital-course-9-2.pdf")</f>
        <v>t5/50371-hospital-course-9-2.pdf</v>
      </c>
      <c r="E1310">
        <v>119960</v>
      </c>
      <c r="F1310">
        <v>50371</v>
      </c>
      <c r="G1310" t="s">
        <v>745</v>
      </c>
      <c r="H1310" t="s">
        <v>999</v>
      </c>
      <c r="I1310" t="s">
        <v>1074</v>
      </c>
    </row>
    <row r="1311" spans="1:9" x14ac:dyDescent="0.2">
      <c r="A1311" t="s">
        <v>1073</v>
      </c>
      <c r="D1311" t="str">
        <f>HYPERLINK("http://nlpdeep.cs.uic.edu:8080/proofing/gsii/50371-hospital-course-9-2.pdf","gsii/50371-hospital-course-9-2.pdf")</f>
        <v>gsii/50371-hospital-course-9-2.pdf</v>
      </c>
      <c r="E1311">
        <v>119960</v>
      </c>
      <c r="F1311">
        <v>50371</v>
      </c>
      <c r="G1311" t="s">
        <v>745</v>
      </c>
      <c r="H1311" t="s">
        <v>999</v>
      </c>
      <c r="I1311" t="s">
        <v>1074</v>
      </c>
    </row>
    <row r="1312" spans="1:9" x14ac:dyDescent="0.2">
      <c r="A1312" t="s">
        <v>1075</v>
      </c>
      <c r="D1312" t="str">
        <f>HYPERLINK("http://nlpdeep.cs.uic.edu:8080/proofing/t5/50371-hospital-course-9-3.pdf","t5/50371-hospital-course-9-3.pdf")</f>
        <v>t5/50371-hospital-course-9-3.pdf</v>
      </c>
      <c r="E1312">
        <v>119960</v>
      </c>
      <c r="F1312">
        <v>50371</v>
      </c>
      <c r="G1312" t="s">
        <v>745</v>
      </c>
      <c r="H1312" t="s">
        <v>999</v>
      </c>
      <c r="I1312" t="s">
        <v>1076</v>
      </c>
    </row>
    <row r="1313" spans="1:9" x14ac:dyDescent="0.2">
      <c r="A1313" t="s">
        <v>1075</v>
      </c>
      <c r="D1313" t="str">
        <f>HYPERLINK("http://nlpdeep.cs.uic.edu:8080/proofing/gsii/50371-hospital-course-9-3.pdf","gsii/50371-hospital-course-9-3.pdf")</f>
        <v>gsii/50371-hospital-course-9-3.pdf</v>
      </c>
      <c r="E1313">
        <v>119960</v>
      </c>
      <c r="F1313">
        <v>50371</v>
      </c>
      <c r="G1313" t="s">
        <v>745</v>
      </c>
      <c r="H1313" t="s">
        <v>999</v>
      </c>
      <c r="I1313" t="s">
        <v>1076</v>
      </c>
    </row>
    <row r="1314" spans="1:9" x14ac:dyDescent="0.2">
      <c r="A1314" t="s">
        <v>1077</v>
      </c>
      <c r="D1314" t="str">
        <f>HYPERLINK("http://nlpdeep.cs.uic.edu:8080/proofing/t5/50371-hospital-course-9-4.pdf","t5/50371-hospital-course-9-4.pdf")</f>
        <v>t5/50371-hospital-course-9-4.pdf</v>
      </c>
      <c r="E1314">
        <v>119960</v>
      </c>
      <c r="F1314">
        <v>50371</v>
      </c>
      <c r="G1314" t="s">
        <v>745</v>
      </c>
      <c r="H1314" t="s">
        <v>999</v>
      </c>
      <c r="I1314" t="s">
        <v>1078</v>
      </c>
    </row>
    <row r="1315" spans="1:9" x14ac:dyDescent="0.2">
      <c r="A1315" t="s">
        <v>1077</v>
      </c>
      <c r="D1315" t="str">
        <f>HYPERLINK("http://nlpdeep.cs.uic.edu:8080/proofing/gsii/50371-hospital-course-9-4.pdf","gsii/50371-hospital-course-9-4.pdf")</f>
        <v>gsii/50371-hospital-course-9-4.pdf</v>
      </c>
      <c r="E1315">
        <v>119960</v>
      </c>
      <c r="F1315">
        <v>50371</v>
      </c>
      <c r="G1315" t="s">
        <v>745</v>
      </c>
      <c r="H1315" t="s">
        <v>999</v>
      </c>
      <c r="I1315" t="s">
        <v>1078</v>
      </c>
    </row>
    <row r="1316" spans="1:9" x14ac:dyDescent="0.2">
      <c r="A1316" t="s">
        <v>1079</v>
      </c>
      <c r="D1316" t="str">
        <f>HYPERLINK("http://nlpdeep.cs.uic.edu:8080/proofing/t5/50371-hospital-course-9-5.pdf","t5/50371-hospital-course-9-5.pdf")</f>
        <v>t5/50371-hospital-course-9-5.pdf</v>
      </c>
      <c r="E1316">
        <v>119960</v>
      </c>
      <c r="F1316">
        <v>50371</v>
      </c>
      <c r="G1316" t="s">
        <v>745</v>
      </c>
      <c r="H1316" t="s">
        <v>999</v>
      </c>
      <c r="I1316" t="s">
        <v>1080</v>
      </c>
    </row>
    <row r="1317" spans="1:9" x14ac:dyDescent="0.2">
      <c r="A1317" t="s">
        <v>1079</v>
      </c>
      <c r="D1317" t="str">
        <f>HYPERLINK("http://nlpdeep.cs.uic.edu:8080/proofing/gsii/50371-hospital-course-9-5.pdf","gsii/50371-hospital-course-9-5.pdf")</f>
        <v>gsii/50371-hospital-course-9-5.pdf</v>
      </c>
      <c r="E1317">
        <v>119960</v>
      </c>
      <c r="F1317">
        <v>50371</v>
      </c>
      <c r="G1317" t="s">
        <v>745</v>
      </c>
      <c r="H1317" t="s">
        <v>999</v>
      </c>
      <c r="I1317" t="s">
        <v>1080</v>
      </c>
    </row>
    <row r="1318" spans="1:9" x14ac:dyDescent="0.2">
      <c r="A1318" t="s">
        <v>1081</v>
      </c>
      <c r="D1318" t="str">
        <f>HYPERLINK("http://nlpdeep.cs.uic.edu:8080/proofing/t5/50371-hospital-course-10-0.pdf","t5/50371-hospital-course-10-0.pdf")</f>
        <v>t5/50371-hospital-course-10-0.pdf</v>
      </c>
      <c r="E1318">
        <v>119960</v>
      </c>
      <c r="F1318">
        <v>50371</v>
      </c>
      <c r="G1318" t="s">
        <v>745</v>
      </c>
      <c r="H1318" t="s">
        <v>999</v>
      </c>
      <c r="I1318" t="s">
        <v>1082</v>
      </c>
    </row>
    <row r="1319" spans="1:9" x14ac:dyDescent="0.2">
      <c r="A1319" t="s">
        <v>1081</v>
      </c>
      <c r="D1319" t="str">
        <f>HYPERLINK("http://nlpdeep.cs.uic.edu:8080/proofing/gsii/50371-hospital-course-10-0.pdf","gsii/50371-hospital-course-10-0.pdf")</f>
        <v>gsii/50371-hospital-course-10-0.pdf</v>
      </c>
      <c r="E1319">
        <v>119960</v>
      </c>
      <c r="F1319">
        <v>50371</v>
      </c>
      <c r="G1319" t="s">
        <v>745</v>
      </c>
      <c r="H1319" t="s">
        <v>999</v>
      </c>
      <c r="I1319" t="s">
        <v>1082</v>
      </c>
    </row>
    <row r="1320" spans="1:9" x14ac:dyDescent="0.2">
      <c r="A1320" t="s">
        <v>1083</v>
      </c>
      <c r="D1320" t="str">
        <f>HYPERLINK("http://nlpdeep.cs.uic.edu:8080/proofing/t5/50371-hospital-course-10-1.pdf","t5/50371-hospital-course-10-1.pdf")</f>
        <v>t5/50371-hospital-course-10-1.pdf</v>
      </c>
      <c r="E1320">
        <v>119960</v>
      </c>
      <c r="F1320">
        <v>50371</v>
      </c>
      <c r="G1320" t="s">
        <v>745</v>
      </c>
      <c r="H1320" t="s">
        <v>999</v>
      </c>
      <c r="I1320" t="s">
        <v>1084</v>
      </c>
    </row>
    <row r="1321" spans="1:9" x14ac:dyDescent="0.2">
      <c r="A1321" t="s">
        <v>1083</v>
      </c>
      <c r="D1321" t="str">
        <f>HYPERLINK("http://nlpdeep.cs.uic.edu:8080/proofing/gsii/50371-hospital-course-10-1.pdf","gsii/50371-hospital-course-10-1.pdf")</f>
        <v>gsii/50371-hospital-course-10-1.pdf</v>
      </c>
      <c r="E1321">
        <v>119960</v>
      </c>
      <c r="F1321">
        <v>50371</v>
      </c>
      <c r="G1321" t="s">
        <v>745</v>
      </c>
      <c r="H1321" t="s">
        <v>999</v>
      </c>
      <c r="I1321" t="s">
        <v>1084</v>
      </c>
    </row>
    <row r="1322" spans="1:9" x14ac:dyDescent="0.2">
      <c r="A1322" t="s">
        <v>1085</v>
      </c>
      <c r="D1322" t="str">
        <f>HYPERLINK("http://nlpdeep.cs.uic.edu:8080/proofing/t5/50371-hospital-course-10-2.pdf","t5/50371-hospital-course-10-2.pdf")</f>
        <v>t5/50371-hospital-course-10-2.pdf</v>
      </c>
      <c r="E1322">
        <v>119960</v>
      </c>
      <c r="F1322">
        <v>50371</v>
      </c>
      <c r="G1322" t="s">
        <v>745</v>
      </c>
      <c r="H1322" t="s">
        <v>999</v>
      </c>
      <c r="I1322" t="s">
        <v>1086</v>
      </c>
    </row>
    <row r="1323" spans="1:9" x14ac:dyDescent="0.2">
      <c r="A1323" t="s">
        <v>1085</v>
      </c>
      <c r="D1323" t="str">
        <f>HYPERLINK("http://nlpdeep.cs.uic.edu:8080/proofing/gsii/50371-hospital-course-10-2.pdf","gsii/50371-hospital-course-10-2.pdf")</f>
        <v>gsii/50371-hospital-course-10-2.pdf</v>
      </c>
      <c r="E1323">
        <v>119960</v>
      </c>
      <c r="F1323">
        <v>50371</v>
      </c>
      <c r="G1323" t="s">
        <v>745</v>
      </c>
      <c r="H1323" t="s">
        <v>999</v>
      </c>
      <c r="I1323" t="s">
        <v>1086</v>
      </c>
    </row>
    <row r="1324" spans="1:9" x14ac:dyDescent="0.2">
      <c r="A1324" t="s">
        <v>1087</v>
      </c>
      <c r="D1324" t="str">
        <f>HYPERLINK("http://nlpdeep.cs.uic.edu:8080/proofing/t5/50371-hospital-course-10-3.pdf","t5/50371-hospital-course-10-3.pdf")</f>
        <v>t5/50371-hospital-course-10-3.pdf</v>
      </c>
      <c r="E1324">
        <v>119960</v>
      </c>
      <c r="F1324">
        <v>50371</v>
      </c>
      <c r="G1324" t="s">
        <v>745</v>
      </c>
      <c r="H1324" t="s">
        <v>999</v>
      </c>
      <c r="I1324" t="s">
        <v>1088</v>
      </c>
    </row>
    <row r="1325" spans="1:9" x14ac:dyDescent="0.2">
      <c r="A1325" t="s">
        <v>1087</v>
      </c>
      <c r="D1325" t="str">
        <f>HYPERLINK("http://nlpdeep.cs.uic.edu:8080/proofing/gsii/50371-hospital-course-10-3.pdf","gsii/50371-hospital-course-10-3.pdf")</f>
        <v>gsii/50371-hospital-course-10-3.pdf</v>
      </c>
      <c r="E1325">
        <v>119960</v>
      </c>
      <c r="F1325">
        <v>50371</v>
      </c>
      <c r="G1325" t="s">
        <v>745</v>
      </c>
      <c r="H1325" t="s">
        <v>999</v>
      </c>
      <c r="I1325" t="s">
        <v>1088</v>
      </c>
    </row>
    <row r="1326" spans="1:9" x14ac:dyDescent="0.2">
      <c r="A1326" t="s">
        <v>1089</v>
      </c>
      <c r="D1326" t="str">
        <f>HYPERLINK("http://nlpdeep.cs.uic.edu:8080/proofing/t5/50371-hospital-course-11-0.pdf","t5/50371-hospital-course-11-0.pdf")</f>
        <v>t5/50371-hospital-course-11-0.pdf</v>
      </c>
      <c r="E1326">
        <v>119960</v>
      </c>
      <c r="F1326">
        <v>50371</v>
      </c>
      <c r="G1326" t="s">
        <v>745</v>
      </c>
      <c r="H1326" t="s">
        <v>999</v>
      </c>
      <c r="I1326" t="s">
        <v>1090</v>
      </c>
    </row>
    <row r="1327" spans="1:9" x14ac:dyDescent="0.2">
      <c r="A1327" t="s">
        <v>1089</v>
      </c>
      <c r="D1327" t="str">
        <f>HYPERLINK("http://nlpdeep.cs.uic.edu:8080/proofing/gsii/50371-hospital-course-11-0.pdf","gsii/50371-hospital-course-11-0.pdf")</f>
        <v>gsii/50371-hospital-course-11-0.pdf</v>
      </c>
      <c r="E1327">
        <v>119960</v>
      </c>
      <c r="F1327">
        <v>50371</v>
      </c>
      <c r="G1327" t="s">
        <v>745</v>
      </c>
      <c r="H1327" t="s">
        <v>999</v>
      </c>
      <c r="I1327" t="s">
        <v>1090</v>
      </c>
    </row>
    <row r="1328" spans="1:9" x14ac:dyDescent="0.2">
      <c r="A1328" t="s">
        <v>1091</v>
      </c>
      <c r="D1328" t="str">
        <f>HYPERLINK("http://nlpdeep.cs.uic.edu:8080/proofing/t5/50371-hospital-course-11-1.pdf","t5/50371-hospital-course-11-1.pdf")</f>
        <v>t5/50371-hospital-course-11-1.pdf</v>
      </c>
      <c r="E1328">
        <v>119960</v>
      </c>
      <c r="F1328">
        <v>50371</v>
      </c>
      <c r="G1328" t="s">
        <v>745</v>
      </c>
      <c r="H1328" t="s">
        <v>999</v>
      </c>
      <c r="I1328" t="s">
        <v>1092</v>
      </c>
    </row>
    <row r="1329" spans="1:9" x14ac:dyDescent="0.2">
      <c r="A1329" t="s">
        <v>1091</v>
      </c>
      <c r="D1329" t="str">
        <f>HYPERLINK("http://nlpdeep.cs.uic.edu:8080/proofing/gsii/50371-hospital-course-11-1.pdf","gsii/50371-hospital-course-11-1.pdf")</f>
        <v>gsii/50371-hospital-course-11-1.pdf</v>
      </c>
      <c r="E1329">
        <v>119960</v>
      </c>
      <c r="F1329">
        <v>50371</v>
      </c>
      <c r="G1329" t="s">
        <v>745</v>
      </c>
      <c r="H1329" t="s">
        <v>999</v>
      </c>
      <c r="I1329" t="s">
        <v>1092</v>
      </c>
    </row>
    <row r="1330" spans="1:9" x14ac:dyDescent="0.2">
      <c r="A1330" t="s">
        <v>1093</v>
      </c>
      <c r="D1330" t="str">
        <f>HYPERLINK("http://nlpdeep.cs.uic.edu:8080/proofing/t5/50371-hospital-course-11-2.pdf","t5/50371-hospital-course-11-2.pdf")</f>
        <v>t5/50371-hospital-course-11-2.pdf</v>
      </c>
      <c r="E1330">
        <v>119960</v>
      </c>
      <c r="F1330">
        <v>50371</v>
      </c>
      <c r="G1330" t="s">
        <v>745</v>
      </c>
      <c r="H1330" t="s">
        <v>999</v>
      </c>
      <c r="I1330" t="s">
        <v>1094</v>
      </c>
    </row>
    <row r="1331" spans="1:9" x14ac:dyDescent="0.2">
      <c r="A1331" t="s">
        <v>1093</v>
      </c>
      <c r="D1331" t="str">
        <f>HYPERLINK("http://nlpdeep.cs.uic.edu:8080/proofing/gsii/50371-hospital-course-11-2.pdf","gsii/50371-hospital-course-11-2.pdf")</f>
        <v>gsii/50371-hospital-course-11-2.pdf</v>
      </c>
      <c r="E1331">
        <v>119960</v>
      </c>
      <c r="F1331">
        <v>50371</v>
      </c>
      <c r="G1331" t="s">
        <v>745</v>
      </c>
      <c r="H1331" t="s">
        <v>999</v>
      </c>
      <c r="I1331" t="s">
        <v>1094</v>
      </c>
    </row>
    <row r="1332" spans="1:9" x14ac:dyDescent="0.2">
      <c r="A1332" t="s">
        <v>1095</v>
      </c>
      <c r="D1332" t="str">
        <f>HYPERLINK("http://nlpdeep.cs.uic.edu:8080/proofing/t5/50371-hospital-course-11-3.pdf","t5/50371-hospital-course-11-3.pdf")</f>
        <v>t5/50371-hospital-course-11-3.pdf</v>
      </c>
      <c r="E1332">
        <v>119960</v>
      </c>
      <c r="F1332">
        <v>50371</v>
      </c>
      <c r="G1332" t="s">
        <v>745</v>
      </c>
      <c r="H1332" t="s">
        <v>999</v>
      </c>
      <c r="I1332" t="s">
        <v>1096</v>
      </c>
    </row>
    <row r="1333" spans="1:9" x14ac:dyDescent="0.2">
      <c r="A1333" t="s">
        <v>1095</v>
      </c>
      <c r="D1333" t="str">
        <f>HYPERLINK("http://nlpdeep.cs.uic.edu:8080/proofing/gsii/50371-hospital-course-11-3.pdf","gsii/50371-hospital-course-11-3.pdf")</f>
        <v>gsii/50371-hospital-course-11-3.pdf</v>
      </c>
      <c r="E1333">
        <v>119960</v>
      </c>
      <c r="F1333">
        <v>50371</v>
      </c>
      <c r="G1333" t="s">
        <v>745</v>
      </c>
      <c r="H1333" t="s">
        <v>999</v>
      </c>
      <c r="I1333" t="s">
        <v>1096</v>
      </c>
    </row>
    <row r="1334" spans="1:9" x14ac:dyDescent="0.2">
      <c r="A1334" t="s">
        <v>1097</v>
      </c>
      <c r="D1334" t="str">
        <f>HYPERLINK("http://nlpdeep.cs.uic.edu:8080/proofing/t5/50371-hospital-course-11-4.pdf","t5/50371-hospital-course-11-4.pdf")</f>
        <v>t5/50371-hospital-course-11-4.pdf</v>
      </c>
      <c r="E1334">
        <v>119960</v>
      </c>
      <c r="F1334">
        <v>50371</v>
      </c>
      <c r="G1334" t="s">
        <v>745</v>
      </c>
      <c r="H1334" t="s">
        <v>999</v>
      </c>
      <c r="I1334" t="s">
        <v>1098</v>
      </c>
    </row>
    <row r="1335" spans="1:9" x14ac:dyDescent="0.2">
      <c r="A1335" t="s">
        <v>1097</v>
      </c>
      <c r="D1335" t="str">
        <f>HYPERLINK("http://nlpdeep.cs.uic.edu:8080/proofing/gsii/50371-hospital-course-11-4.pdf","gsii/50371-hospital-course-11-4.pdf")</f>
        <v>gsii/50371-hospital-course-11-4.pdf</v>
      </c>
      <c r="E1335">
        <v>119960</v>
      </c>
      <c r="F1335">
        <v>50371</v>
      </c>
      <c r="G1335" t="s">
        <v>745</v>
      </c>
      <c r="H1335" t="s">
        <v>999</v>
      </c>
      <c r="I1335" t="s">
        <v>1098</v>
      </c>
    </row>
    <row r="1336" spans="1:9" x14ac:dyDescent="0.2">
      <c r="A1336" t="s">
        <v>1099</v>
      </c>
      <c r="D1336" t="str">
        <f>HYPERLINK("http://nlpdeep.cs.uic.edu:8080/proofing/t5/50371-hospital-course-12-0.pdf","t5/50371-hospital-course-12-0.pdf")</f>
        <v>t5/50371-hospital-course-12-0.pdf</v>
      </c>
      <c r="E1336">
        <v>119960</v>
      </c>
      <c r="F1336">
        <v>50371</v>
      </c>
      <c r="G1336" t="s">
        <v>745</v>
      </c>
      <c r="H1336" t="s">
        <v>999</v>
      </c>
      <c r="I1336" t="s">
        <v>1100</v>
      </c>
    </row>
    <row r="1337" spans="1:9" x14ac:dyDescent="0.2">
      <c r="A1337" t="s">
        <v>1099</v>
      </c>
      <c r="D1337" t="str">
        <f>HYPERLINK("http://nlpdeep.cs.uic.edu:8080/proofing/gsii/50371-hospital-course-12-0.pdf","gsii/50371-hospital-course-12-0.pdf")</f>
        <v>gsii/50371-hospital-course-12-0.pdf</v>
      </c>
      <c r="E1337">
        <v>119960</v>
      </c>
      <c r="F1337">
        <v>50371</v>
      </c>
      <c r="G1337" t="s">
        <v>745</v>
      </c>
      <c r="H1337" t="s">
        <v>999</v>
      </c>
      <c r="I1337" t="s">
        <v>1100</v>
      </c>
    </row>
    <row r="1338" spans="1:9" x14ac:dyDescent="0.2">
      <c r="A1338" t="s">
        <v>1101</v>
      </c>
      <c r="D1338" t="str">
        <f>HYPERLINK("http://nlpdeep.cs.uic.edu:8080/proofing/t5/50371-hospital-course-12-1.pdf","t5/50371-hospital-course-12-1.pdf")</f>
        <v>t5/50371-hospital-course-12-1.pdf</v>
      </c>
      <c r="E1338">
        <v>119960</v>
      </c>
      <c r="F1338">
        <v>50371</v>
      </c>
      <c r="G1338" t="s">
        <v>745</v>
      </c>
      <c r="H1338" t="s">
        <v>999</v>
      </c>
      <c r="I1338" t="s">
        <v>1102</v>
      </c>
    </row>
    <row r="1339" spans="1:9" x14ac:dyDescent="0.2">
      <c r="A1339" t="s">
        <v>1101</v>
      </c>
      <c r="D1339" t="str">
        <f>HYPERLINK("http://nlpdeep.cs.uic.edu:8080/proofing/gsii/50371-hospital-course-12-1.pdf","gsii/50371-hospital-course-12-1.pdf")</f>
        <v>gsii/50371-hospital-course-12-1.pdf</v>
      </c>
      <c r="E1339">
        <v>119960</v>
      </c>
      <c r="F1339">
        <v>50371</v>
      </c>
      <c r="G1339" t="s">
        <v>745</v>
      </c>
      <c r="H1339" t="s">
        <v>999</v>
      </c>
      <c r="I1339" t="s">
        <v>1102</v>
      </c>
    </row>
    <row r="1340" spans="1:9" x14ac:dyDescent="0.2">
      <c r="A1340" t="s">
        <v>1103</v>
      </c>
      <c r="D1340" t="str">
        <f>HYPERLINK("http://nlpdeep.cs.uic.edu:8080/proofing/t5/50371-hospital-course-13-0.pdf","t5/50371-hospital-course-13-0.pdf")</f>
        <v>t5/50371-hospital-course-13-0.pdf</v>
      </c>
      <c r="E1340">
        <v>119960</v>
      </c>
      <c r="F1340">
        <v>50371</v>
      </c>
      <c r="G1340" t="s">
        <v>745</v>
      </c>
      <c r="H1340" t="s">
        <v>999</v>
      </c>
      <c r="I1340" t="s">
        <v>1104</v>
      </c>
    </row>
    <row r="1341" spans="1:9" x14ac:dyDescent="0.2">
      <c r="A1341" t="s">
        <v>1103</v>
      </c>
      <c r="D1341" t="str">
        <f>HYPERLINK("http://nlpdeep.cs.uic.edu:8080/proofing/gsii/50371-hospital-course-13-0.pdf","gsii/50371-hospital-course-13-0.pdf")</f>
        <v>gsii/50371-hospital-course-13-0.pdf</v>
      </c>
      <c r="E1341">
        <v>119960</v>
      </c>
      <c r="F1341">
        <v>50371</v>
      </c>
      <c r="G1341" t="s">
        <v>745</v>
      </c>
      <c r="H1341" t="s">
        <v>999</v>
      </c>
      <c r="I1341" t="s">
        <v>1104</v>
      </c>
    </row>
    <row r="1342" spans="1:9" x14ac:dyDescent="0.2">
      <c r="A1342" t="s">
        <v>1105</v>
      </c>
      <c r="D1342" t="str">
        <f>HYPERLINK("http://nlpdeep.cs.uic.edu:8080/proofing/t5/50371-hospital-course-13-1.pdf","t5/50371-hospital-course-13-1.pdf")</f>
        <v>t5/50371-hospital-course-13-1.pdf</v>
      </c>
      <c r="E1342">
        <v>119960</v>
      </c>
      <c r="F1342">
        <v>50371</v>
      </c>
      <c r="G1342" t="s">
        <v>745</v>
      </c>
      <c r="H1342" t="s">
        <v>999</v>
      </c>
      <c r="I1342" t="s">
        <v>1106</v>
      </c>
    </row>
    <row r="1343" spans="1:9" x14ac:dyDescent="0.2">
      <c r="A1343" t="s">
        <v>1105</v>
      </c>
      <c r="D1343" t="str">
        <f>HYPERLINK("http://nlpdeep.cs.uic.edu:8080/proofing/gsii/50371-hospital-course-13-1.pdf","gsii/50371-hospital-course-13-1.pdf")</f>
        <v>gsii/50371-hospital-course-13-1.pdf</v>
      </c>
      <c r="E1343">
        <v>119960</v>
      </c>
      <c r="F1343">
        <v>50371</v>
      </c>
      <c r="G1343" t="s">
        <v>745</v>
      </c>
      <c r="H1343" t="s">
        <v>999</v>
      </c>
      <c r="I1343" t="s">
        <v>1106</v>
      </c>
    </row>
    <row r="1344" spans="1:9" x14ac:dyDescent="0.2">
      <c r="A1344" t="s">
        <v>1107</v>
      </c>
      <c r="D1344" t="str">
        <f>HYPERLINK("http://nlpdeep.cs.uic.edu:8080/proofing/t5/50371-hospital-course-14-0.pdf","t5/50371-hospital-course-14-0.pdf")</f>
        <v>t5/50371-hospital-course-14-0.pdf</v>
      </c>
      <c r="E1344">
        <v>119960</v>
      </c>
      <c r="F1344">
        <v>50371</v>
      </c>
      <c r="G1344" t="s">
        <v>745</v>
      </c>
      <c r="H1344" t="s">
        <v>999</v>
      </c>
      <c r="I1344" t="s">
        <v>1108</v>
      </c>
    </row>
    <row r="1345" spans="1:9" x14ac:dyDescent="0.2">
      <c r="A1345" t="s">
        <v>1107</v>
      </c>
      <c r="D1345" t="str">
        <f>HYPERLINK("http://nlpdeep.cs.uic.edu:8080/proofing/gsii/50371-hospital-course-14-0.pdf","gsii/50371-hospital-course-14-0.pdf")</f>
        <v>gsii/50371-hospital-course-14-0.pdf</v>
      </c>
      <c r="E1345">
        <v>119960</v>
      </c>
      <c r="F1345">
        <v>50371</v>
      </c>
      <c r="G1345" t="s">
        <v>745</v>
      </c>
      <c r="H1345" t="s">
        <v>999</v>
      </c>
      <c r="I1345" t="s">
        <v>1108</v>
      </c>
    </row>
    <row r="1346" spans="1:9" x14ac:dyDescent="0.2">
      <c r="A1346" t="s">
        <v>1109</v>
      </c>
      <c r="D1346" t="str">
        <f>HYPERLINK("http://nlpdeep.cs.uic.edu:8080/proofing/t5/50371-hospital-course-15-0.pdf","t5/50371-hospital-course-15-0.pdf")</f>
        <v>t5/50371-hospital-course-15-0.pdf</v>
      </c>
      <c r="E1346">
        <v>119960</v>
      </c>
      <c r="F1346">
        <v>50371</v>
      </c>
      <c r="G1346" t="s">
        <v>745</v>
      </c>
      <c r="H1346" t="s">
        <v>999</v>
      </c>
      <c r="I1346" t="s">
        <v>1110</v>
      </c>
    </row>
    <row r="1347" spans="1:9" x14ac:dyDescent="0.2">
      <c r="A1347" t="s">
        <v>1109</v>
      </c>
      <c r="D1347" t="str">
        <f>HYPERLINK("http://nlpdeep.cs.uic.edu:8080/proofing/gsii/50371-hospital-course-15-0.pdf","gsii/50371-hospital-course-15-0.pdf")</f>
        <v>gsii/50371-hospital-course-15-0.pdf</v>
      </c>
      <c r="E1347">
        <v>119960</v>
      </c>
      <c r="F1347">
        <v>50371</v>
      </c>
      <c r="G1347" t="s">
        <v>745</v>
      </c>
      <c r="H1347" t="s">
        <v>999</v>
      </c>
      <c r="I1347" t="s">
        <v>1110</v>
      </c>
    </row>
    <row r="1348" spans="1:9" x14ac:dyDescent="0.2">
      <c r="A1348" t="s">
        <v>1111</v>
      </c>
      <c r="D1348" t="str">
        <f>HYPERLINK("http://nlpdeep.cs.uic.edu:8080/proofing/t5/50371-code-status-0-0.pdf","t5/50371-code-status-0-0.pdf")</f>
        <v>t5/50371-code-status-0-0.pdf</v>
      </c>
      <c r="E1348">
        <v>119960</v>
      </c>
      <c r="F1348">
        <v>50371</v>
      </c>
      <c r="G1348" t="s">
        <v>745</v>
      </c>
      <c r="H1348" t="s">
        <v>201</v>
      </c>
      <c r="I1348" t="s">
        <v>1112</v>
      </c>
    </row>
    <row r="1349" spans="1:9" x14ac:dyDescent="0.2">
      <c r="A1349" t="s">
        <v>1111</v>
      </c>
      <c r="D1349" t="str">
        <f>HYPERLINK("http://nlpdeep.cs.uic.edu:8080/proofing/gsii/50371-code-status-0-0.pdf","gsii/50371-code-status-0-0.pdf")</f>
        <v>gsii/50371-code-status-0-0.pdf</v>
      </c>
      <c r="E1349">
        <v>119960</v>
      </c>
      <c r="F1349">
        <v>50371</v>
      </c>
      <c r="G1349" t="s">
        <v>745</v>
      </c>
      <c r="H1349" t="s">
        <v>201</v>
      </c>
      <c r="I1349" t="s">
        <v>1112</v>
      </c>
    </row>
    <row r="1350" spans="1:9" x14ac:dyDescent="0.2">
      <c r="A1350" t="s">
        <v>1113</v>
      </c>
      <c r="D1350" t="str">
        <f>HYPERLINK("http://nlpdeep.cs.uic.edu:8080/proofing/t5/50371-medication-history-0-0.pdf","t5/50371-medication-history-0-0.pdf")</f>
        <v>t5/50371-medication-history-0-0.pdf</v>
      </c>
      <c r="E1350">
        <v>119960</v>
      </c>
      <c r="F1350">
        <v>50371</v>
      </c>
      <c r="G1350" t="s">
        <v>745</v>
      </c>
      <c r="H1350" t="s">
        <v>336</v>
      </c>
      <c r="I1350" t="s">
        <v>1114</v>
      </c>
    </row>
    <row r="1351" spans="1:9" x14ac:dyDescent="0.2">
      <c r="A1351" t="s">
        <v>1113</v>
      </c>
      <c r="D1351" t="str">
        <f>HYPERLINK("http://nlpdeep.cs.uic.edu:8080/proofing/gsii/50371-medication-history-0-0.pdf","gsii/50371-medication-history-0-0.pdf")</f>
        <v>gsii/50371-medication-history-0-0.pdf</v>
      </c>
      <c r="E1351">
        <v>119960</v>
      </c>
      <c r="F1351">
        <v>50371</v>
      </c>
      <c r="G1351" t="s">
        <v>745</v>
      </c>
      <c r="H1351" t="s">
        <v>336</v>
      </c>
      <c r="I1351" t="s">
        <v>1114</v>
      </c>
    </row>
    <row r="1352" spans="1:9" x14ac:dyDescent="0.2">
      <c r="A1352" t="s">
        <v>1115</v>
      </c>
      <c r="D1352" t="str">
        <f>HYPERLINK("http://nlpdeep.cs.uic.edu:8080/proofing/t5/50371-medication-history-0-1.pdf","t5/50371-medication-history-0-1.pdf")</f>
        <v>t5/50371-medication-history-0-1.pdf</v>
      </c>
      <c r="E1352">
        <v>119960</v>
      </c>
      <c r="F1352">
        <v>50371</v>
      </c>
      <c r="G1352" t="s">
        <v>745</v>
      </c>
      <c r="H1352" t="s">
        <v>336</v>
      </c>
      <c r="I1352" t="s">
        <v>1116</v>
      </c>
    </row>
    <row r="1353" spans="1:9" x14ac:dyDescent="0.2">
      <c r="A1353" t="s">
        <v>1115</v>
      </c>
      <c r="D1353" t="str">
        <f>HYPERLINK("http://nlpdeep.cs.uic.edu:8080/proofing/gsii/50371-medication-history-0-1.pdf","gsii/50371-medication-history-0-1.pdf")</f>
        <v>gsii/50371-medication-history-0-1.pdf</v>
      </c>
      <c r="E1353">
        <v>119960</v>
      </c>
      <c r="F1353">
        <v>50371</v>
      </c>
      <c r="G1353" t="s">
        <v>745</v>
      </c>
      <c r="H1353" t="s">
        <v>336</v>
      </c>
      <c r="I1353" t="s">
        <v>1116</v>
      </c>
    </row>
    <row r="1354" spans="1:9" x14ac:dyDescent="0.2">
      <c r="A1354" t="s">
        <v>1117</v>
      </c>
      <c r="D1354" t="str">
        <f>HYPERLINK("http://nlpdeep.cs.uic.edu:8080/proofing/t5/50371-medication-history-1-0.pdf","t5/50371-medication-history-1-0.pdf")</f>
        <v>t5/50371-medication-history-1-0.pdf</v>
      </c>
      <c r="E1354">
        <v>119960</v>
      </c>
      <c r="F1354">
        <v>50371</v>
      </c>
      <c r="G1354" t="s">
        <v>745</v>
      </c>
      <c r="H1354" t="s">
        <v>336</v>
      </c>
      <c r="I1354" t="s">
        <v>1118</v>
      </c>
    </row>
    <row r="1355" spans="1:9" x14ac:dyDescent="0.2">
      <c r="A1355" t="s">
        <v>1117</v>
      </c>
      <c r="D1355" t="str">
        <f>HYPERLINK("http://nlpdeep.cs.uic.edu:8080/proofing/gsii/50371-medication-history-1-0.pdf","gsii/50371-medication-history-1-0.pdf")</f>
        <v>gsii/50371-medication-history-1-0.pdf</v>
      </c>
      <c r="E1355">
        <v>119960</v>
      </c>
      <c r="F1355">
        <v>50371</v>
      </c>
      <c r="G1355" t="s">
        <v>745</v>
      </c>
      <c r="H1355" t="s">
        <v>336</v>
      </c>
      <c r="I1355" t="s">
        <v>1118</v>
      </c>
    </row>
    <row r="1356" spans="1:9" x14ac:dyDescent="0.2">
      <c r="A1356" t="s">
        <v>1119</v>
      </c>
      <c r="D1356" t="str">
        <f>HYPERLINK("http://nlpdeep.cs.uic.edu:8080/proofing/t5/50371-medication-history-1-1.pdf","t5/50371-medication-history-1-1.pdf")</f>
        <v>t5/50371-medication-history-1-1.pdf</v>
      </c>
      <c r="E1356">
        <v>119960</v>
      </c>
      <c r="F1356">
        <v>50371</v>
      </c>
      <c r="G1356" t="s">
        <v>745</v>
      </c>
      <c r="H1356" t="s">
        <v>336</v>
      </c>
      <c r="I1356" t="s">
        <v>1120</v>
      </c>
    </row>
    <row r="1357" spans="1:9" x14ac:dyDescent="0.2">
      <c r="A1357" t="s">
        <v>1119</v>
      </c>
      <c r="D1357" t="str">
        <f>HYPERLINK("http://nlpdeep.cs.uic.edu:8080/proofing/gsii/50371-medication-history-1-1.pdf","gsii/50371-medication-history-1-1.pdf")</f>
        <v>gsii/50371-medication-history-1-1.pdf</v>
      </c>
      <c r="E1357">
        <v>119960</v>
      </c>
      <c r="F1357">
        <v>50371</v>
      </c>
      <c r="G1357" t="s">
        <v>745</v>
      </c>
      <c r="H1357" t="s">
        <v>336</v>
      </c>
      <c r="I1357" t="s">
        <v>1120</v>
      </c>
    </row>
    <row r="1358" spans="1:9" x14ac:dyDescent="0.2">
      <c r="A1358" t="s">
        <v>1121</v>
      </c>
      <c r="D1358" t="str">
        <f>HYPERLINK("http://nlpdeep.cs.uic.edu:8080/proofing/t5/50371-discharge-medications-0-0.pdf","t5/50371-discharge-medications-0-0.pdf")</f>
        <v>t5/50371-discharge-medications-0-0.pdf</v>
      </c>
      <c r="E1358">
        <v>119960</v>
      </c>
      <c r="F1358">
        <v>50371</v>
      </c>
      <c r="G1358" t="s">
        <v>745</v>
      </c>
      <c r="H1358" t="s">
        <v>1122</v>
      </c>
      <c r="I1358" t="s">
        <v>1123</v>
      </c>
    </row>
    <row r="1359" spans="1:9" x14ac:dyDescent="0.2">
      <c r="A1359" t="s">
        <v>1121</v>
      </c>
      <c r="D1359" t="str">
        <f>HYPERLINK("http://nlpdeep.cs.uic.edu:8080/proofing/gsii/50371-discharge-medications-0-0.pdf","gsii/50371-discharge-medications-0-0.pdf")</f>
        <v>gsii/50371-discharge-medications-0-0.pdf</v>
      </c>
      <c r="E1359">
        <v>119960</v>
      </c>
      <c r="F1359">
        <v>50371</v>
      </c>
      <c r="G1359" t="s">
        <v>745</v>
      </c>
      <c r="H1359" t="s">
        <v>1122</v>
      </c>
      <c r="I1359" t="s">
        <v>1123</v>
      </c>
    </row>
    <row r="1360" spans="1:9" x14ac:dyDescent="0.2">
      <c r="A1360" t="s">
        <v>1124</v>
      </c>
      <c r="D1360" t="str">
        <f>HYPERLINK("http://nlpdeep.cs.uic.edu:8080/proofing/t5/50371-discharge-medications-1-0.pdf","t5/50371-discharge-medications-1-0.pdf")</f>
        <v>t5/50371-discharge-medications-1-0.pdf</v>
      </c>
      <c r="E1360">
        <v>119960</v>
      </c>
      <c r="F1360">
        <v>50371</v>
      </c>
      <c r="G1360" t="s">
        <v>745</v>
      </c>
      <c r="H1360" t="s">
        <v>1122</v>
      </c>
      <c r="I1360" t="s">
        <v>1125</v>
      </c>
    </row>
    <row r="1361" spans="1:9" x14ac:dyDescent="0.2">
      <c r="A1361" t="s">
        <v>1124</v>
      </c>
      <c r="D1361" t="str">
        <f>HYPERLINK("http://nlpdeep.cs.uic.edu:8080/proofing/gsii/50371-discharge-medications-1-0.pdf","gsii/50371-discharge-medications-1-0.pdf")</f>
        <v>gsii/50371-discharge-medications-1-0.pdf</v>
      </c>
      <c r="E1361">
        <v>119960</v>
      </c>
      <c r="F1361">
        <v>50371</v>
      </c>
      <c r="G1361" t="s">
        <v>745</v>
      </c>
      <c r="H1361" t="s">
        <v>1122</v>
      </c>
      <c r="I1361" t="s">
        <v>1125</v>
      </c>
    </row>
    <row r="1362" spans="1:9" x14ac:dyDescent="0.2">
      <c r="A1362" t="s">
        <v>1126</v>
      </c>
      <c r="D1362" t="str">
        <f>HYPERLINK("http://nlpdeep.cs.uic.edu:8080/proofing/t5/50371-discharge-medications-1-1.pdf","t5/50371-discharge-medications-1-1.pdf")</f>
        <v>t5/50371-discharge-medications-1-1.pdf</v>
      </c>
      <c r="E1362">
        <v>119960</v>
      </c>
      <c r="F1362">
        <v>50371</v>
      </c>
      <c r="G1362" t="s">
        <v>745</v>
      </c>
      <c r="H1362" t="s">
        <v>1122</v>
      </c>
      <c r="I1362" t="s">
        <v>1127</v>
      </c>
    </row>
    <row r="1363" spans="1:9" x14ac:dyDescent="0.2">
      <c r="A1363" t="s">
        <v>1126</v>
      </c>
      <c r="D1363" t="str">
        <f>HYPERLINK("http://nlpdeep.cs.uic.edu:8080/proofing/gsii/50371-discharge-medications-1-1.pdf","gsii/50371-discharge-medications-1-1.pdf")</f>
        <v>gsii/50371-discharge-medications-1-1.pdf</v>
      </c>
      <c r="E1363">
        <v>119960</v>
      </c>
      <c r="F1363">
        <v>50371</v>
      </c>
      <c r="G1363" t="s">
        <v>745</v>
      </c>
      <c r="H1363" t="s">
        <v>1122</v>
      </c>
      <c r="I1363" t="s">
        <v>1127</v>
      </c>
    </row>
    <row r="1364" spans="1:9" x14ac:dyDescent="0.2">
      <c r="A1364" t="s">
        <v>1128</v>
      </c>
      <c r="D1364" t="str">
        <f>HYPERLINK("http://nlpdeep.cs.uic.edu:8080/proofing/t5/50371-discharge-medications-1-2.pdf","t5/50371-discharge-medications-1-2.pdf")</f>
        <v>t5/50371-discharge-medications-1-2.pdf</v>
      </c>
      <c r="E1364">
        <v>119960</v>
      </c>
      <c r="F1364">
        <v>50371</v>
      </c>
      <c r="G1364" t="s">
        <v>745</v>
      </c>
      <c r="H1364" t="s">
        <v>1122</v>
      </c>
      <c r="I1364" t="s">
        <v>1129</v>
      </c>
    </row>
    <row r="1365" spans="1:9" x14ac:dyDescent="0.2">
      <c r="A1365" t="s">
        <v>1128</v>
      </c>
      <c r="D1365" t="str">
        <f>HYPERLINK("http://nlpdeep.cs.uic.edu:8080/proofing/gsii/50371-discharge-medications-1-2.pdf","gsii/50371-discharge-medications-1-2.pdf")</f>
        <v>gsii/50371-discharge-medications-1-2.pdf</v>
      </c>
      <c r="E1365">
        <v>119960</v>
      </c>
      <c r="F1365">
        <v>50371</v>
      </c>
      <c r="G1365" t="s">
        <v>745</v>
      </c>
      <c r="H1365" t="s">
        <v>1122</v>
      </c>
      <c r="I1365" t="s">
        <v>1129</v>
      </c>
    </row>
    <row r="1366" spans="1:9" x14ac:dyDescent="0.2">
      <c r="A1366" t="s">
        <v>1130</v>
      </c>
      <c r="D1366" t="str">
        <f>HYPERLINK("http://nlpdeep.cs.uic.edu:8080/proofing/t5/50371-discharge-medications-1-3.pdf","t5/50371-discharge-medications-1-3.pdf")</f>
        <v>t5/50371-discharge-medications-1-3.pdf</v>
      </c>
      <c r="E1366">
        <v>119960</v>
      </c>
      <c r="F1366">
        <v>50371</v>
      </c>
      <c r="G1366" t="s">
        <v>745</v>
      </c>
      <c r="H1366" t="s">
        <v>1122</v>
      </c>
      <c r="I1366" t="s">
        <v>1131</v>
      </c>
    </row>
    <row r="1367" spans="1:9" x14ac:dyDescent="0.2">
      <c r="A1367" t="s">
        <v>1130</v>
      </c>
      <c r="D1367" t="str">
        <f>HYPERLINK("http://nlpdeep.cs.uic.edu:8080/proofing/gsii/50371-discharge-medications-1-3.pdf","gsii/50371-discharge-medications-1-3.pdf")</f>
        <v>gsii/50371-discharge-medications-1-3.pdf</v>
      </c>
      <c r="E1367">
        <v>119960</v>
      </c>
      <c r="F1367">
        <v>50371</v>
      </c>
      <c r="G1367" t="s">
        <v>745</v>
      </c>
      <c r="H1367" t="s">
        <v>1122</v>
      </c>
      <c r="I1367" t="s">
        <v>1131</v>
      </c>
    </row>
    <row r="1368" spans="1:9" x14ac:dyDescent="0.2">
      <c r="A1368" t="s">
        <v>1132</v>
      </c>
      <c r="D1368" t="str">
        <f>HYPERLINK("http://nlpdeep.cs.uic.edu:8080/proofing/t5/50371-discharge-medications-1-4.pdf","t5/50371-discharge-medications-1-4.pdf")</f>
        <v>t5/50371-discharge-medications-1-4.pdf</v>
      </c>
      <c r="E1368">
        <v>119960</v>
      </c>
      <c r="F1368">
        <v>50371</v>
      </c>
      <c r="G1368" t="s">
        <v>745</v>
      </c>
      <c r="H1368" t="s">
        <v>1122</v>
      </c>
      <c r="I1368" t="s">
        <v>1133</v>
      </c>
    </row>
    <row r="1369" spans="1:9" x14ac:dyDescent="0.2">
      <c r="A1369" t="s">
        <v>1132</v>
      </c>
      <c r="D1369" t="str">
        <f>HYPERLINK("http://nlpdeep.cs.uic.edu:8080/proofing/gsii/50371-discharge-medications-1-4.pdf","gsii/50371-discharge-medications-1-4.pdf")</f>
        <v>gsii/50371-discharge-medications-1-4.pdf</v>
      </c>
      <c r="E1369">
        <v>119960</v>
      </c>
      <c r="F1369">
        <v>50371</v>
      </c>
      <c r="G1369" t="s">
        <v>745</v>
      </c>
      <c r="H1369" t="s">
        <v>1122</v>
      </c>
      <c r="I1369" t="s">
        <v>1133</v>
      </c>
    </row>
    <row r="1370" spans="1:9" x14ac:dyDescent="0.2">
      <c r="A1370" t="s">
        <v>1134</v>
      </c>
      <c r="D1370" t="str">
        <f>HYPERLINK("http://nlpdeep.cs.uic.edu:8080/proofing/t5/50371-discharge-medications-1-5.pdf","t5/50371-discharge-medications-1-5.pdf")</f>
        <v>t5/50371-discharge-medications-1-5.pdf</v>
      </c>
      <c r="E1370">
        <v>119960</v>
      </c>
      <c r="F1370">
        <v>50371</v>
      </c>
      <c r="G1370" t="s">
        <v>745</v>
      </c>
      <c r="H1370" t="s">
        <v>1122</v>
      </c>
      <c r="I1370" t="s">
        <v>1135</v>
      </c>
    </row>
    <row r="1371" spans="1:9" x14ac:dyDescent="0.2">
      <c r="A1371" t="s">
        <v>1134</v>
      </c>
      <c r="D1371" t="str">
        <f>HYPERLINK("http://nlpdeep.cs.uic.edu:8080/proofing/gsii/50371-discharge-medications-1-5.pdf","gsii/50371-discharge-medications-1-5.pdf")</f>
        <v>gsii/50371-discharge-medications-1-5.pdf</v>
      </c>
      <c r="E1371">
        <v>119960</v>
      </c>
      <c r="F1371">
        <v>50371</v>
      </c>
      <c r="G1371" t="s">
        <v>745</v>
      </c>
      <c r="H1371" t="s">
        <v>1122</v>
      </c>
      <c r="I1371" t="s">
        <v>1135</v>
      </c>
    </row>
    <row r="1372" spans="1:9" x14ac:dyDescent="0.2">
      <c r="A1372" t="s">
        <v>1136</v>
      </c>
      <c r="D1372" t="str">
        <f>HYPERLINK("http://nlpdeep.cs.uic.edu:8080/proofing/t5/50371-discharge-medications-1-6.pdf","t5/50371-discharge-medications-1-6.pdf")</f>
        <v>t5/50371-discharge-medications-1-6.pdf</v>
      </c>
      <c r="E1372">
        <v>119960</v>
      </c>
      <c r="F1372">
        <v>50371</v>
      </c>
      <c r="G1372" t="s">
        <v>745</v>
      </c>
      <c r="H1372" t="s">
        <v>1122</v>
      </c>
      <c r="I1372" t="s">
        <v>1137</v>
      </c>
    </row>
    <row r="1373" spans="1:9" x14ac:dyDescent="0.2">
      <c r="A1373" t="s">
        <v>1136</v>
      </c>
      <c r="D1373" t="str">
        <f>HYPERLINK("http://nlpdeep.cs.uic.edu:8080/proofing/gsii/50371-discharge-medications-1-6.pdf","gsii/50371-discharge-medications-1-6.pdf")</f>
        <v>gsii/50371-discharge-medications-1-6.pdf</v>
      </c>
      <c r="E1373">
        <v>119960</v>
      </c>
      <c r="F1373">
        <v>50371</v>
      </c>
      <c r="G1373" t="s">
        <v>745</v>
      </c>
      <c r="H1373" t="s">
        <v>1122</v>
      </c>
      <c r="I1373" t="s">
        <v>1137</v>
      </c>
    </row>
    <row r="1374" spans="1:9" x14ac:dyDescent="0.2">
      <c r="A1374" t="s">
        <v>1138</v>
      </c>
      <c r="D1374" t="str">
        <f>HYPERLINK("http://nlpdeep.cs.uic.edu:8080/proofing/t5/50371-discharge-medications-1-7.pdf","t5/50371-discharge-medications-1-7.pdf")</f>
        <v>t5/50371-discharge-medications-1-7.pdf</v>
      </c>
      <c r="E1374">
        <v>119960</v>
      </c>
      <c r="F1374">
        <v>50371</v>
      </c>
      <c r="G1374" t="s">
        <v>745</v>
      </c>
      <c r="H1374" t="s">
        <v>1122</v>
      </c>
      <c r="I1374" t="s">
        <v>1139</v>
      </c>
    </row>
    <row r="1375" spans="1:9" x14ac:dyDescent="0.2">
      <c r="A1375" t="s">
        <v>1138</v>
      </c>
      <c r="D1375" t="str">
        <f>HYPERLINK("http://nlpdeep.cs.uic.edu:8080/proofing/gsii/50371-discharge-medications-1-7.pdf","gsii/50371-discharge-medications-1-7.pdf")</f>
        <v>gsii/50371-discharge-medications-1-7.pdf</v>
      </c>
      <c r="E1375">
        <v>119960</v>
      </c>
      <c r="F1375">
        <v>50371</v>
      </c>
      <c r="G1375" t="s">
        <v>745</v>
      </c>
      <c r="H1375" t="s">
        <v>1122</v>
      </c>
      <c r="I1375" t="s">
        <v>1139</v>
      </c>
    </row>
    <row r="1376" spans="1:9" x14ac:dyDescent="0.2">
      <c r="A1376" t="s">
        <v>1140</v>
      </c>
      <c r="D1376" t="str">
        <f>HYPERLINK("http://nlpdeep.cs.uic.edu:8080/proofing/t5/50371-discharge-medications-1-8.pdf","t5/50371-discharge-medications-1-8.pdf")</f>
        <v>t5/50371-discharge-medications-1-8.pdf</v>
      </c>
      <c r="E1376">
        <v>119960</v>
      </c>
      <c r="F1376">
        <v>50371</v>
      </c>
      <c r="G1376" t="s">
        <v>745</v>
      </c>
      <c r="H1376" t="s">
        <v>1122</v>
      </c>
      <c r="I1376" t="s">
        <v>355</v>
      </c>
    </row>
    <row r="1377" spans="1:9" x14ac:dyDescent="0.2">
      <c r="A1377" t="s">
        <v>1140</v>
      </c>
      <c r="D1377" t="str">
        <f>HYPERLINK("http://nlpdeep.cs.uic.edu:8080/proofing/gsii/50371-discharge-medications-1-8.pdf","gsii/50371-discharge-medications-1-8.pdf")</f>
        <v>gsii/50371-discharge-medications-1-8.pdf</v>
      </c>
      <c r="E1377">
        <v>119960</v>
      </c>
      <c r="F1377">
        <v>50371</v>
      </c>
      <c r="G1377" t="s">
        <v>745</v>
      </c>
      <c r="H1377" t="s">
        <v>1122</v>
      </c>
      <c r="I1377" t="s">
        <v>355</v>
      </c>
    </row>
    <row r="1378" spans="1:9" x14ac:dyDescent="0.2">
      <c r="A1378" t="s">
        <v>1141</v>
      </c>
      <c r="D1378" t="str">
        <f>HYPERLINK("http://nlpdeep.cs.uic.edu:8080/proofing/t5/50371-discharge-medications-1-9.pdf","t5/50371-discharge-medications-1-9.pdf")</f>
        <v>t5/50371-discharge-medications-1-9.pdf</v>
      </c>
      <c r="E1378">
        <v>119960</v>
      </c>
      <c r="F1378">
        <v>50371</v>
      </c>
      <c r="G1378" t="s">
        <v>745</v>
      </c>
      <c r="H1378" t="s">
        <v>1122</v>
      </c>
      <c r="I1378" t="s">
        <v>1142</v>
      </c>
    </row>
    <row r="1379" spans="1:9" x14ac:dyDescent="0.2">
      <c r="A1379" t="s">
        <v>1141</v>
      </c>
      <c r="D1379" t="str">
        <f>HYPERLINK("http://nlpdeep.cs.uic.edu:8080/proofing/gsii/50371-discharge-medications-1-9.pdf","gsii/50371-discharge-medications-1-9.pdf")</f>
        <v>gsii/50371-discharge-medications-1-9.pdf</v>
      </c>
      <c r="E1379">
        <v>119960</v>
      </c>
      <c r="F1379">
        <v>50371</v>
      </c>
      <c r="G1379" t="s">
        <v>745</v>
      </c>
      <c r="H1379" t="s">
        <v>1122</v>
      </c>
      <c r="I1379" t="s">
        <v>1142</v>
      </c>
    </row>
    <row r="1380" spans="1:9" x14ac:dyDescent="0.2">
      <c r="A1380" t="s">
        <v>1143</v>
      </c>
      <c r="D1380" t="str">
        <f>HYPERLINK("http://nlpdeep.cs.uic.edu:8080/proofing/t5/50371-discharge-medications-1-10.pdf","t5/50371-discharge-medications-1-10.pdf")</f>
        <v>t5/50371-discharge-medications-1-10.pdf</v>
      </c>
      <c r="E1380">
        <v>119960</v>
      </c>
      <c r="F1380">
        <v>50371</v>
      </c>
      <c r="G1380" t="s">
        <v>745</v>
      </c>
      <c r="H1380" t="s">
        <v>1122</v>
      </c>
      <c r="I1380" t="s">
        <v>1144</v>
      </c>
    </row>
    <row r="1381" spans="1:9" x14ac:dyDescent="0.2">
      <c r="A1381" t="s">
        <v>1143</v>
      </c>
      <c r="D1381" t="str">
        <f>HYPERLINK("http://nlpdeep.cs.uic.edu:8080/proofing/gsii/50371-discharge-medications-1-10.pdf","gsii/50371-discharge-medications-1-10.pdf")</f>
        <v>gsii/50371-discharge-medications-1-10.pdf</v>
      </c>
      <c r="E1381">
        <v>119960</v>
      </c>
      <c r="F1381">
        <v>50371</v>
      </c>
      <c r="G1381" t="s">
        <v>745</v>
      </c>
      <c r="H1381" t="s">
        <v>1122</v>
      </c>
      <c r="I1381" t="s">
        <v>1144</v>
      </c>
    </row>
    <row r="1382" spans="1:9" x14ac:dyDescent="0.2">
      <c r="A1382" t="s">
        <v>1145</v>
      </c>
      <c r="D1382" t="str">
        <f>HYPERLINK("http://nlpdeep.cs.uic.edu:8080/proofing/t5/50371-discharge-medications-1-11.pdf","t5/50371-discharge-medications-1-11.pdf")</f>
        <v>t5/50371-discharge-medications-1-11.pdf</v>
      </c>
      <c r="E1382">
        <v>119960</v>
      </c>
      <c r="F1382">
        <v>50371</v>
      </c>
      <c r="G1382" t="s">
        <v>745</v>
      </c>
      <c r="H1382" t="s">
        <v>1122</v>
      </c>
      <c r="I1382" t="s">
        <v>1146</v>
      </c>
    </row>
    <row r="1383" spans="1:9" x14ac:dyDescent="0.2">
      <c r="A1383" t="s">
        <v>1145</v>
      </c>
      <c r="D1383" t="str">
        <f>HYPERLINK("http://nlpdeep.cs.uic.edu:8080/proofing/gsii/50371-discharge-medications-1-11.pdf","gsii/50371-discharge-medications-1-11.pdf")</f>
        <v>gsii/50371-discharge-medications-1-11.pdf</v>
      </c>
      <c r="E1383">
        <v>119960</v>
      </c>
      <c r="F1383">
        <v>50371</v>
      </c>
      <c r="G1383" t="s">
        <v>745</v>
      </c>
      <c r="H1383" t="s">
        <v>1122</v>
      </c>
      <c r="I1383" t="s">
        <v>1146</v>
      </c>
    </row>
    <row r="1384" spans="1:9" x14ac:dyDescent="0.2">
      <c r="A1384" t="s">
        <v>1147</v>
      </c>
      <c r="D1384" t="str">
        <f>HYPERLINK("http://nlpdeep.cs.uic.edu:8080/proofing/t5/50371-discharge-medications-1-12.pdf","t5/50371-discharge-medications-1-12.pdf")</f>
        <v>t5/50371-discharge-medications-1-12.pdf</v>
      </c>
      <c r="E1384">
        <v>119960</v>
      </c>
      <c r="F1384">
        <v>50371</v>
      </c>
      <c r="G1384" t="s">
        <v>745</v>
      </c>
      <c r="H1384" t="s">
        <v>1122</v>
      </c>
      <c r="I1384" t="s">
        <v>1148</v>
      </c>
    </row>
    <row r="1385" spans="1:9" x14ac:dyDescent="0.2">
      <c r="A1385" t="s">
        <v>1147</v>
      </c>
      <c r="D1385" t="str">
        <f>HYPERLINK("http://nlpdeep.cs.uic.edu:8080/proofing/gsii/50371-discharge-medications-1-12.pdf","gsii/50371-discharge-medications-1-12.pdf")</f>
        <v>gsii/50371-discharge-medications-1-12.pdf</v>
      </c>
      <c r="E1385">
        <v>119960</v>
      </c>
      <c r="F1385">
        <v>50371</v>
      </c>
      <c r="G1385" t="s">
        <v>745</v>
      </c>
      <c r="H1385" t="s">
        <v>1122</v>
      </c>
      <c r="I1385" t="s">
        <v>1148</v>
      </c>
    </row>
    <row r="1386" spans="1:9" x14ac:dyDescent="0.2">
      <c r="A1386" t="s">
        <v>1149</v>
      </c>
      <c r="D1386" t="str">
        <f>HYPERLINK("http://nlpdeep.cs.uic.edu:8080/proofing/t5/50371-discharge-medications-1-13.pdf","t5/50371-discharge-medications-1-13.pdf")</f>
        <v>t5/50371-discharge-medications-1-13.pdf</v>
      </c>
      <c r="E1386">
        <v>119960</v>
      </c>
      <c r="F1386">
        <v>50371</v>
      </c>
      <c r="G1386" t="s">
        <v>745</v>
      </c>
      <c r="H1386" t="s">
        <v>1122</v>
      </c>
      <c r="I1386" t="s">
        <v>1150</v>
      </c>
    </row>
    <row r="1387" spans="1:9" x14ac:dyDescent="0.2">
      <c r="A1387" t="s">
        <v>1149</v>
      </c>
      <c r="D1387" t="str">
        <f>HYPERLINK("http://nlpdeep.cs.uic.edu:8080/proofing/gsii/50371-discharge-medications-1-13.pdf","gsii/50371-discharge-medications-1-13.pdf")</f>
        <v>gsii/50371-discharge-medications-1-13.pdf</v>
      </c>
      <c r="E1387">
        <v>119960</v>
      </c>
      <c r="F1387">
        <v>50371</v>
      </c>
      <c r="G1387" t="s">
        <v>745</v>
      </c>
      <c r="H1387" t="s">
        <v>1122</v>
      </c>
      <c r="I1387" t="s">
        <v>1150</v>
      </c>
    </row>
    <row r="1388" spans="1:9" x14ac:dyDescent="0.2">
      <c r="A1388" t="s">
        <v>1151</v>
      </c>
      <c r="D1388" t="str">
        <f>HYPERLINK("http://nlpdeep.cs.uic.edu:8080/proofing/t5/50371-discharge-medications-1-14.pdf","t5/50371-discharge-medications-1-14.pdf")</f>
        <v>t5/50371-discharge-medications-1-14.pdf</v>
      </c>
      <c r="E1388">
        <v>119960</v>
      </c>
      <c r="F1388">
        <v>50371</v>
      </c>
      <c r="G1388" t="s">
        <v>745</v>
      </c>
      <c r="H1388" t="s">
        <v>1122</v>
      </c>
      <c r="I1388" t="s">
        <v>1152</v>
      </c>
    </row>
    <row r="1389" spans="1:9" x14ac:dyDescent="0.2">
      <c r="A1389" t="s">
        <v>1151</v>
      </c>
      <c r="D1389" t="str">
        <f>HYPERLINK("http://nlpdeep.cs.uic.edu:8080/proofing/gsii/50371-discharge-medications-1-14.pdf","gsii/50371-discharge-medications-1-14.pdf")</f>
        <v>gsii/50371-discharge-medications-1-14.pdf</v>
      </c>
      <c r="E1389">
        <v>119960</v>
      </c>
      <c r="F1389">
        <v>50371</v>
      </c>
      <c r="G1389" t="s">
        <v>745</v>
      </c>
      <c r="H1389" t="s">
        <v>1122</v>
      </c>
      <c r="I1389" t="s">
        <v>1152</v>
      </c>
    </row>
    <row r="1390" spans="1:9" x14ac:dyDescent="0.2">
      <c r="A1390" t="s">
        <v>1153</v>
      </c>
      <c r="D1390" t="str">
        <f>HYPERLINK("http://nlpdeep.cs.uic.edu:8080/proofing/t5/50371-discharge-medications-1-15.pdf","t5/50371-discharge-medications-1-15.pdf")</f>
        <v>t5/50371-discharge-medications-1-15.pdf</v>
      </c>
      <c r="E1390">
        <v>119960</v>
      </c>
      <c r="F1390">
        <v>50371</v>
      </c>
      <c r="G1390" t="s">
        <v>745</v>
      </c>
      <c r="H1390" t="s">
        <v>1122</v>
      </c>
      <c r="I1390" t="s">
        <v>1154</v>
      </c>
    </row>
    <row r="1391" spans="1:9" x14ac:dyDescent="0.2">
      <c r="A1391" t="s">
        <v>1153</v>
      </c>
      <c r="D1391" t="str">
        <f>HYPERLINK("http://nlpdeep.cs.uic.edu:8080/proofing/gsii/50371-discharge-medications-1-15.pdf","gsii/50371-discharge-medications-1-15.pdf")</f>
        <v>gsii/50371-discharge-medications-1-15.pdf</v>
      </c>
      <c r="E1391">
        <v>119960</v>
      </c>
      <c r="F1391">
        <v>50371</v>
      </c>
      <c r="G1391" t="s">
        <v>745</v>
      </c>
      <c r="H1391" t="s">
        <v>1122</v>
      </c>
      <c r="I1391" t="s">
        <v>1154</v>
      </c>
    </row>
    <row r="1392" spans="1:9" x14ac:dyDescent="0.2">
      <c r="A1392" t="s">
        <v>1155</v>
      </c>
      <c r="D1392" t="str">
        <f>HYPERLINK("http://nlpdeep.cs.uic.edu:8080/proofing/t5/50371-discharge-medications-1-16.pdf","t5/50371-discharge-medications-1-16.pdf")</f>
        <v>t5/50371-discharge-medications-1-16.pdf</v>
      </c>
      <c r="E1392">
        <v>119960</v>
      </c>
      <c r="F1392">
        <v>50371</v>
      </c>
      <c r="G1392" t="s">
        <v>745</v>
      </c>
      <c r="H1392" t="s">
        <v>1122</v>
      </c>
      <c r="I1392" t="s">
        <v>1156</v>
      </c>
    </row>
    <row r="1393" spans="1:9" x14ac:dyDescent="0.2">
      <c r="A1393" t="s">
        <v>1155</v>
      </c>
      <c r="D1393" t="str">
        <f>HYPERLINK("http://nlpdeep.cs.uic.edu:8080/proofing/gsii/50371-discharge-medications-1-16.pdf","gsii/50371-discharge-medications-1-16.pdf")</f>
        <v>gsii/50371-discharge-medications-1-16.pdf</v>
      </c>
      <c r="E1393">
        <v>119960</v>
      </c>
      <c r="F1393">
        <v>50371</v>
      </c>
      <c r="G1393" t="s">
        <v>745</v>
      </c>
      <c r="H1393" t="s">
        <v>1122</v>
      </c>
      <c r="I1393" t="s">
        <v>1156</v>
      </c>
    </row>
    <row r="1394" spans="1:9" x14ac:dyDescent="0.2">
      <c r="A1394" t="s">
        <v>1157</v>
      </c>
      <c r="D1394" t="str">
        <f>HYPERLINK("http://nlpdeep.cs.uic.edu:8080/proofing/t5/50371-discharge-medications-1-17.pdf","t5/50371-discharge-medications-1-17.pdf")</f>
        <v>t5/50371-discharge-medications-1-17.pdf</v>
      </c>
      <c r="E1394">
        <v>119960</v>
      </c>
      <c r="F1394">
        <v>50371</v>
      </c>
      <c r="G1394" t="s">
        <v>745</v>
      </c>
      <c r="H1394" t="s">
        <v>1122</v>
      </c>
      <c r="I1394" t="s">
        <v>1158</v>
      </c>
    </row>
    <row r="1395" spans="1:9" x14ac:dyDescent="0.2">
      <c r="A1395" t="s">
        <v>1157</v>
      </c>
      <c r="D1395" t="str">
        <f>HYPERLINK("http://nlpdeep.cs.uic.edu:8080/proofing/gsii/50371-discharge-medications-1-17.pdf","gsii/50371-discharge-medications-1-17.pdf")</f>
        <v>gsii/50371-discharge-medications-1-17.pdf</v>
      </c>
      <c r="E1395">
        <v>119960</v>
      </c>
      <c r="F1395">
        <v>50371</v>
      </c>
      <c r="G1395" t="s">
        <v>745</v>
      </c>
      <c r="H1395" t="s">
        <v>1122</v>
      </c>
      <c r="I1395" t="s">
        <v>1158</v>
      </c>
    </row>
    <row r="1396" spans="1:9" x14ac:dyDescent="0.2">
      <c r="A1396" t="s">
        <v>1159</v>
      </c>
      <c r="D1396" t="str">
        <f>HYPERLINK("http://nlpdeep.cs.uic.edu:8080/proofing/t5/50371-discharge-medications-1-18.pdf","t5/50371-discharge-medications-1-18.pdf")</f>
        <v>t5/50371-discharge-medications-1-18.pdf</v>
      </c>
      <c r="E1396">
        <v>119960</v>
      </c>
      <c r="F1396">
        <v>50371</v>
      </c>
      <c r="G1396" t="s">
        <v>745</v>
      </c>
      <c r="H1396" t="s">
        <v>1122</v>
      </c>
      <c r="I1396" t="s">
        <v>1160</v>
      </c>
    </row>
    <row r="1397" spans="1:9" x14ac:dyDescent="0.2">
      <c r="A1397" t="s">
        <v>1159</v>
      </c>
      <c r="D1397" t="str">
        <f>HYPERLINK("http://nlpdeep.cs.uic.edu:8080/proofing/gsii/50371-discharge-medications-1-18.pdf","gsii/50371-discharge-medications-1-18.pdf")</f>
        <v>gsii/50371-discharge-medications-1-18.pdf</v>
      </c>
      <c r="E1397">
        <v>119960</v>
      </c>
      <c r="F1397">
        <v>50371</v>
      </c>
      <c r="G1397" t="s">
        <v>745</v>
      </c>
      <c r="H1397" t="s">
        <v>1122</v>
      </c>
      <c r="I1397" t="s">
        <v>1160</v>
      </c>
    </row>
    <row r="1398" spans="1:9" x14ac:dyDescent="0.2">
      <c r="A1398" t="s">
        <v>1161</v>
      </c>
      <c r="D1398" t="str">
        <f>HYPERLINK("http://nlpdeep.cs.uic.edu:8080/proofing/t5/50371-discharge-disposition-0-0.pdf","t5/50371-discharge-disposition-0-0.pdf")</f>
        <v>t5/50371-discharge-disposition-0-0.pdf</v>
      </c>
      <c r="E1398">
        <v>119960</v>
      </c>
      <c r="F1398">
        <v>50371</v>
      </c>
      <c r="G1398" t="s">
        <v>745</v>
      </c>
      <c r="H1398" t="s">
        <v>1162</v>
      </c>
      <c r="I1398" t="s">
        <v>1163</v>
      </c>
    </row>
    <row r="1399" spans="1:9" x14ac:dyDescent="0.2">
      <c r="A1399" t="s">
        <v>1161</v>
      </c>
      <c r="D1399" t="str">
        <f>HYPERLINK("http://nlpdeep.cs.uic.edu:8080/proofing/gsii/50371-discharge-disposition-0-0.pdf","gsii/50371-discharge-disposition-0-0.pdf")</f>
        <v>gsii/50371-discharge-disposition-0-0.pdf</v>
      </c>
      <c r="E1399">
        <v>119960</v>
      </c>
      <c r="F1399">
        <v>50371</v>
      </c>
      <c r="G1399" t="s">
        <v>745</v>
      </c>
      <c r="H1399" t="s">
        <v>1162</v>
      </c>
      <c r="I1399" t="s">
        <v>1163</v>
      </c>
    </row>
    <row r="1400" spans="1:9" x14ac:dyDescent="0.2">
      <c r="A1400" t="s">
        <v>1164</v>
      </c>
      <c r="D1400" t="str">
        <f>HYPERLINK("http://nlpdeep.cs.uic.edu:8080/proofing/t5/50371-facility-0-0.pdf","t5/50371-facility-0-0.pdf")</f>
        <v>t5/50371-facility-0-0.pdf</v>
      </c>
      <c r="E1400">
        <v>119960</v>
      </c>
      <c r="F1400">
        <v>50371</v>
      </c>
      <c r="G1400" t="s">
        <v>745</v>
      </c>
      <c r="H1400" t="s">
        <v>1165</v>
      </c>
      <c r="I1400" t="s">
        <v>1166</v>
      </c>
    </row>
    <row r="1401" spans="1:9" x14ac:dyDescent="0.2">
      <c r="A1401" t="s">
        <v>1164</v>
      </c>
      <c r="D1401" t="str">
        <f>HYPERLINK("http://nlpdeep.cs.uic.edu:8080/proofing/gsii/50371-facility-0-0.pdf","gsii/50371-facility-0-0.pdf")</f>
        <v>gsii/50371-facility-0-0.pdf</v>
      </c>
      <c r="E1401">
        <v>119960</v>
      </c>
      <c r="F1401">
        <v>50371</v>
      </c>
      <c r="G1401" t="s">
        <v>745</v>
      </c>
      <c r="H1401" t="s">
        <v>1165</v>
      </c>
      <c r="I1401" t="s">
        <v>1166</v>
      </c>
    </row>
    <row r="1402" spans="1:9" x14ac:dyDescent="0.2">
      <c r="A1402" t="s">
        <v>1167</v>
      </c>
      <c r="D1402" t="str">
        <f>HYPERLINK("http://nlpdeep.cs.uic.edu:8080/proofing/t5/50371-discharge-diagnosis-0-0.pdf","t5/50371-discharge-diagnosis-0-0.pdf")</f>
        <v>t5/50371-discharge-diagnosis-0-0.pdf</v>
      </c>
      <c r="E1402">
        <v>119960</v>
      </c>
      <c r="F1402">
        <v>50371</v>
      </c>
      <c r="G1402" t="s">
        <v>745</v>
      </c>
      <c r="H1402" t="s">
        <v>1168</v>
      </c>
    </row>
    <row r="1403" spans="1:9" x14ac:dyDescent="0.2">
      <c r="A1403" t="s">
        <v>1167</v>
      </c>
      <c r="D1403" t="str">
        <f>HYPERLINK("http://nlpdeep.cs.uic.edu:8080/proofing/gsii/50371-discharge-diagnosis-0-0.pdf","gsii/50371-discharge-diagnosis-0-0.pdf")</f>
        <v>gsii/50371-discharge-diagnosis-0-0.pdf</v>
      </c>
      <c r="E1403">
        <v>119960</v>
      </c>
      <c r="F1403">
        <v>50371</v>
      </c>
      <c r="G1403" t="s">
        <v>745</v>
      </c>
      <c r="H1403" t="s">
        <v>1168</v>
      </c>
    </row>
    <row r="1404" spans="1:9" x14ac:dyDescent="0.2">
      <c r="A1404" t="s">
        <v>1169</v>
      </c>
      <c r="D1404" t="str">
        <f>HYPERLINK("http://nlpdeep.cs.uic.edu:8080/proofing/t5/50371-discharge-diagnosis-1-0.pdf","t5/50371-discharge-diagnosis-1-0.pdf")</f>
        <v>t5/50371-discharge-diagnosis-1-0.pdf</v>
      </c>
      <c r="E1404">
        <v>119960</v>
      </c>
      <c r="F1404">
        <v>50371</v>
      </c>
      <c r="G1404" t="s">
        <v>745</v>
      </c>
      <c r="H1404" t="s">
        <v>1168</v>
      </c>
      <c r="I1404" t="s">
        <v>1170</v>
      </c>
    </row>
    <row r="1405" spans="1:9" x14ac:dyDescent="0.2">
      <c r="A1405" t="s">
        <v>1169</v>
      </c>
      <c r="D1405" t="str">
        <f>HYPERLINK("http://nlpdeep.cs.uic.edu:8080/proofing/gsii/50371-discharge-diagnosis-1-0.pdf","gsii/50371-discharge-diagnosis-1-0.pdf")</f>
        <v>gsii/50371-discharge-diagnosis-1-0.pdf</v>
      </c>
      <c r="E1405">
        <v>119960</v>
      </c>
      <c r="F1405">
        <v>50371</v>
      </c>
      <c r="G1405" t="s">
        <v>745</v>
      </c>
      <c r="H1405" t="s">
        <v>1168</v>
      </c>
      <c r="I1405" t="s">
        <v>1170</v>
      </c>
    </row>
    <row r="1406" spans="1:9" x14ac:dyDescent="0.2">
      <c r="A1406" t="s">
        <v>1171</v>
      </c>
      <c r="D1406" t="str">
        <f>HYPERLINK("http://nlpdeep.cs.uic.edu:8080/proofing/t5/50371-discharge-condition-0-0.pdf","t5/50371-discharge-condition-0-0.pdf")</f>
        <v>t5/50371-discharge-condition-0-0.pdf</v>
      </c>
      <c r="E1406">
        <v>119960</v>
      </c>
      <c r="F1406">
        <v>50371</v>
      </c>
      <c r="G1406" t="s">
        <v>745</v>
      </c>
      <c r="H1406" t="s">
        <v>1172</v>
      </c>
      <c r="I1406" t="s">
        <v>1173</v>
      </c>
    </row>
    <row r="1407" spans="1:9" x14ac:dyDescent="0.2">
      <c r="A1407" t="s">
        <v>1171</v>
      </c>
      <c r="D1407" t="str">
        <f>HYPERLINK("http://nlpdeep.cs.uic.edu:8080/proofing/gsii/50371-discharge-condition-0-0.pdf","gsii/50371-discharge-condition-0-0.pdf")</f>
        <v>gsii/50371-discharge-condition-0-0.pdf</v>
      </c>
      <c r="E1407">
        <v>119960</v>
      </c>
      <c r="F1407">
        <v>50371</v>
      </c>
      <c r="G1407" t="s">
        <v>745</v>
      </c>
      <c r="H1407" t="s">
        <v>1172</v>
      </c>
      <c r="I1407" t="s">
        <v>1173</v>
      </c>
    </row>
    <row r="1408" spans="1:9" x14ac:dyDescent="0.2">
      <c r="A1408" t="s">
        <v>1174</v>
      </c>
      <c r="D1408" t="str">
        <f>HYPERLINK("http://nlpdeep.cs.uic.edu:8080/proofing/t5/50371-discharge-condition-0-1.pdf","t5/50371-discharge-condition-0-1.pdf")</f>
        <v>t5/50371-discharge-condition-0-1.pdf</v>
      </c>
      <c r="E1408">
        <v>119960</v>
      </c>
      <c r="F1408">
        <v>50371</v>
      </c>
      <c r="G1408" t="s">
        <v>745</v>
      </c>
      <c r="H1408" t="s">
        <v>1172</v>
      </c>
      <c r="I1408" t="s">
        <v>1175</v>
      </c>
    </row>
    <row r="1409" spans="1:9" x14ac:dyDescent="0.2">
      <c r="A1409" t="s">
        <v>1174</v>
      </c>
      <c r="D1409" t="str">
        <f>HYPERLINK("http://nlpdeep.cs.uic.edu:8080/proofing/gsii/50371-discharge-condition-0-1.pdf","gsii/50371-discharge-condition-0-1.pdf")</f>
        <v>gsii/50371-discharge-condition-0-1.pdf</v>
      </c>
      <c r="E1409">
        <v>119960</v>
      </c>
      <c r="F1409">
        <v>50371</v>
      </c>
      <c r="G1409" t="s">
        <v>745</v>
      </c>
      <c r="H1409" t="s">
        <v>1172</v>
      </c>
      <c r="I1409" t="s">
        <v>1175</v>
      </c>
    </row>
    <row r="1410" spans="1:9" x14ac:dyDescent="0.2">
      <c r="A1410" t="s">
        <v>1176</v>
      </c>
      <c r="D1410" t="str">
        <f>HYPERLINK("http://nlpdeep.cs.uic.edu:8080/proofing/t5/50371-discharge-condition-0-2.pdf","t5/50371-discharge-condition-0-2.pdf")</f>
        <v>t5/50371-discharge-condition-0-2.pdf</v>
      </c>
      <c r="E1410">
        <v>119960</v>
      </c>
      <c r="F1410">
        <v>50371</v>
      </c>
      <c r="G1410" t="s">
        <v>745</v>
      </c>
      <c r="H1410" t="s">
        <v>1172</v>
      </c>
      <c r="I1410" t="s">
        <v>1177</v>
      </c>
    </row>
    <row r="1411" spans="1:9" x14ac:dyDescent="0.2">
      <c r="A1411" t="s">
        <v>1176</v>
      </c>
      <c r="D1411" t="str">
        <f>HYPERLINK("http://nlpdeep.cs.uic.edu:8080/proofing/gsii/50371-discharge-condition-0-2.pdf","gsii/50371-discharge-condition-0-2.pdf")</f>
        <v>gsii/50371-discharge-condition-0-2.pdf</v>
      </c>
      <c r="E1411">
        <v>119960</v>
      </c>
      <c r="F1411">
        <v>50371</v>
      </c>
      <c r="G1411" t="s">
        <v>745</v>
      </c>
      <c r="H1411" t="s">
        <v>1172</v>
      </c>
      <c r="I1411" t="s">
        <v>1177</v>
      </c>
    </row>
    <row r="1412" spans="1:9" x14ac:dyDescent="0.2">
      <c r="A1412" t="s">
        <v>1178</v>
      </c>
      <c r="D1412" t="str">
        <f>HYPERLINK("http://nlpdeep.cs.uic.edu:8080/proofing/t5/50371-discharge-instructions-0-0.pdf","t5/50371-discharge-instructions-0-0.pdf")</f>
        <v>t5/50371-discharge-instructions-0-0.pdf</v>
      </c>
      <c r="E1412">
        <v>119960</v>
      </c>
      <c r="F1412">
        <v>50371</v>
      </c>
      <c r="G1412" t="s">
        <v>745</v>
      </c>
      <c r="H1412" t="s">
        <v>1179</v>
      </c>
      <c r="I1412" t="s">
        <v>1180</v>
      </c>
    </row>
    <row r="1413" spans="1:9" x14ac:dyDescent="0.2">
      <c r="A1413" t="s">
        <v>1178</v>
      </c>
      <c r="D1413" t="str">
        <f>HYPERLINK("http://nlpdeep.cs.uic.edu:8080/proofing/gsii/50371-discharge-instructions-0-0.pdf","gsii/50371-discharge-instructions-0-0.pdf")</f>
        <v>gsii/50371-discharge-instructions-0-0.pdf</v>
      </c>
      <c r="E1413">
        <v>119960</v>
      </c>
      <c r="F1413">
        <v>50371</v>
      </c>
      <c r="G1413" t="s">
        <v>745</v>
      </c>
      <c r="H1413" t="s">
        <v>1179</v>
      </c>
      <c r="I1413" t="s">
        <v>1180</v>
      </c>
    </row>
    <row r="1414" spans="1:9" x14ac:dyDescent="0.2">
      <c r="A1414" t="s">
        <v>1181</v>
      </c>
      <c r="D1414" t="str">
        <f>HYPERLINK("http://nlpdeep.cs.uic.edu:8080/proofing/t5/50371-discharge-instructions-0-1.pdf","t5/50371-discharge-instructions-0-1.pdf")</f>
        <v>t5/50371-discharge-instructions-0-1.pdf</v>
      </c>
      <c r="E1414">
        <v>119960</v>
      </c>
      <c r="F1414">
        <v>50371</v>
      </c>
      <c r="G1414" t="s">
        <v>745</v>
      </c>
      <c r="H1414" t="s">
        <v>1179</v>
      </c>
      <c r="I1414" t="s">
        <v>1182</v>
      </c>
    </row>
    <row r="1415" spans="1:9" x14ac:dyDescent="0.2">
      <c r="A1415" t="s">
        <v>1181</v>
      </c>
      <c r="D1415" t="str">
        <f>HYPERLINK("http://nlpdeep.cs.uic.edu:8080/proofing/gsii/50371-discharge-instructions-0-1.pdf","gsii/50371-discharge-instructions-0-1.pdf")</f>
        <v>gsii/50371-discharge-instructions-0-1.pdf</v>
      </c>
      <c r="E1415">
        <v>119960</v>
      </c>
      <c r="F1415">
        <v>50371</v>
      </c>
      <c r="G1415" t="s">
        <v>745</v>
      </c>
      <c r="H1415" t="s">
        <v>1179</v>
      </c>
      <c r="I1415" t="s">
        <v>1182</v>
      </c>
    </row>
    <row r="1416" spans="1:9" x14ac:dyDescent="0.2">
      <c r="A1416" t="s">
        <v>1183</v>
      </c>
      <c r="D1416" t="str">
        <f>HYPERLINK("http://nlpdeep.cs.uic.edu:8080/proofing/t5/50371-discharge-instructions-1-0.pdf","t5/50371-discharge-instructions-1-0.pdf")</f>
        <v>t5/50371-discharge-instructions-1-0.pdf</v>
      </c>
      <c r="E1416">
        <v>119960</v>
      </c>
      <c r="F1416">
        <v>50371</v>
      </c>
      <c r="G1416" t="s">
        <v>745</v>
      </c>
      <c r="H1416" t="s">
        <v>1179</v>
      </c>
    </row>
    <row r="1417" spans="1:9" x14ac:dyDescent="0.2">
      <c r="A1417" t="s">
        <v>1183</v>
      </c>
      <c r="D1417" t="str">
        <f>HYPERLINK("http://nlpdeep.cs.uic.edu:8080/proofing/gsii/50371-discharge-instructions-1-0.pdf","gsii/50371-discharge-instructions-1-0.pdf")</f>
        <v>gsii/50371-discharge-instructions-1-0.pdf</v>
      </c>
      <c r="E1417">
        <v>119960</v>
      </c>
      <c r="F1417">
        <v>50371</v>
      </c>
      <c r="G1417" t="s">
        <v>745</v>
      </c>
      <c r="H1417" t="s">
        <v>1179</v>
      </c>
    </row>
    <row r="1418" spans="1:9" x14ac:dyDescent="0.2">
      <c r="A1418" t="s">
        <v>1184</v>
      </c>
      <c r="D1418" t="str">
        <f>HYPERLINK("http://nlpdeep.cs.uic.edu:8080/proofing/t5/50371-discharge-instructions-2-0.pdf","t5/50371-discharge-instructions-2-0.pdf")</f>
        <v>t5/50371-discharge-instructions-2-0.pdf</v>
      </c>
      <c r="E1418">
        <v>119960</v>
      </c>
      <c r="F1418">
        <v>50371</v>
      </c>
      <c r="G1418" t="s">
        <v>745</v>
      </c>
      <c r="H1418" t="s">
        <v>1179</v>
      </c>
      <c r="I1418" t="s">
        <v>1185</v>
      </c>
    </row>
    <row r="1419" spans="1:9" x14ac:dyDescent="0.2">
      <c r="A1419" t="s">
        <v>1184</v>
      </c>
      <c r="D1419" t="str">
        <f>HYPERLINK("http://nlpdeep.cs.uic.edu:8080/proofing/gsii/50371-discharge-instructions-2-0.pdf","gsii/50371-discharge-instructions-2-0.pdf")</f>
        <v>gsii/50371-discharge-instructions-2-0.pdf</v>
      </c>
      <c r="E1419">
        <v>119960</v>
      </c>
      <c r="F1419">
        <v>50371</v>
      </c>
      <c r="G1419" t="s">
        <v>745</v>
      </c>
      <c r="H1419" t="s">
        <v>1179</v>
      </c>
      <c r="I1419" t="s">
        <v>1185</v>
      </c>
    </row>
    <row r="1420" spans="1:9" x14ac:dyDescent="0.2">
      <c r="A1420" t="s">
        <v>1186</v>
      </c>
      <c r="D1420" t="str">
        <f>HYPERLINK("http://nlpdeep.cs.uic.edu:8080/proofing/t5/50371-discharge-instructions-3-0.pdf","t5/50371-discharge-instructions-3-0.pdf")</f>
        <v>t5/50371-discharge-instructions-3-0.pdf</v>
      </c>
      <c r="E1420">
        <v>119960</v>
      </c>
      <c r="F1420">
        <v>50371</v>
      </c>
      <c r="G1420" t="s">
        <v>745</v>
      </c>
      <c r="H1420" t="s">
        <v>1179</v>
      </c>
      <c r="I1420" t="s">
        <v>1187</v>
      </c>
    </row>
    <row r="1421" spans="1:9" x14ac:dyDescent="0.2">
      <c r="A1421" t="s">
        <v>1186</v>
      </c>
      <c r="D1421" t="str">
        <f>HYPERLINK("http://nlpdeep.cs.uic.edu:8080/proofing/gsii/50371-discharge-instructions-3-0.pdf","gsii/50371-discharge-instructions-3-0.pdf")</f>
        <v>gsii/50371-discharge-instructions-3-0.pdf</v>
      </c>
      <c r="E1421">
        <v>119960</v>
      </c>
      <c r="F1421">
        <v>50371</v>
      </c>
      <c r="G1421" t="s">
        <v>745</v>
      </c>
      <c r="H1421" t="s">
        <v>1179</v>
      </c>
      <c r="I1421" t="s">
        <v>1187</v>
      </c>
    </row>
    <row r="1422" spans="1:9" x14ac:dyDescent="0.2">
      <c r="A1422" t="s">
        <v>1188</v>
      </c>
      <c r="D1422" t="str">
        <f>HYPERLINK("http://nlpdeep.cs.uic.edu:8080/proofing/t5/50371-discharge-instructions-3-1.pdf","t5/50371-discharge-instructions-3-1.pdf")</f>
        <v>t5/50371-discharge-instructions-3-1.pdf</v>
      </c>
      <c r="E1422">
        <v>119960</v>
      </c>
      <c r="F1422">
        <v>50371</v>
      </c>
      <c r="G1422" t="s">
        <v>745</v>
      </c>
      <c r="H1422" t="s">
        <v>1179</v>
      </c>
      <c r="I1422" t="s">
        <v>1189</v>
      </c>
    </row>
    <row r="1423" spans="1:9" x14ac:dyDescent="0.2">
      <c r="A1423" t="s">
        <v>1188</v>
      </c>
      <c r="D1423" t="str">
        <f>HYPERLINK("http://nlpdeep.cs.uic.edu:8080/proofing/gsii/50371-discharge-instructions-3-1.pdf","gsii/50371-discharge-instructions-3-1.pdf")</f>
        <v>gsii/50371-discharge-instructions-3-1.pdf</v>
      </c>
      <c r="E1423">
        <v>119960</v>
      </c>
      <c r="F1423">
        <v>50371</v>
      </c>
      <c r="G1423" t="s">
        <v>745</v>
      </c>
      <c r="H1423" t="s">
        <v>1179</v>
      </c>
      <c r="I1423" t="s">
        <v>1189</v>
      </c>
    </row>
    <row r="1424" spans="1:9" x14ac:dyDescent="0.2">
      <c r="A1424" t="s">
        <v>1190</v>
      </c>
      <c r="D1424" t="str">
        <f>HYPERLINK("http://nlpdeep.cs.uic.edu:8080/proofing/t5/50371-discharge-instructions-3-2.pdf","t5/50371-discharge-instructions-3-2.pdf")</f>
        <v>t5/50371-discharge-instructions-3-2.pdf</v>
      </c>
      <c r="E1424">
        <v>119960</v>
      </c>
      <c r="F1424">
        <v>50371</v>
      </c>
      <c r="G1424" t="s">
        <v>745</v>
      </c>
      <c r="H1424" t="s">
        <v>1179</v>
      </c>
      <c r="I1424" t="s">
        <v>1191</v>
      </c>
    </row>
    <row r="1425" spans="1:9" x14ac:dyDescent="0.2">
      <c r="A1425" t="s">
        <v>1190</v>
      </c>
      <c r="D1425" t="str">
        <f>HYPERLINK("http://nlpdeep.cs.uic.edu:8080/proofing/gsii/50371-discharge-instructions-3-2.pdf","gsii/50371-discharge-instructions-3-2.pdf")</f>
        <v>gsii/50371-discharge-instructions-3-2.pdf</v>
      </c>
      <c r="E1425">
        <v>119960</v>
      </c>
      <c r="F1425">
        <v>50371</v>
      </c>
      <c r="G1425" t="s">
        <v>745</v>
      </c>
      <c r="H1425" t="s">
        <v>1179</v>
      </c>
      <c r="I1425" t="s">
        <v>1191</v>
      </c>
    </row>
    <row r="1426" spans="1:9" x14ac:dyDescent="0.2">
      <c r="A1426" t="s">
        <v>1192</v>
      </c>
      <c r="D1426" t="str">
        <f>HYPERLINK("http://nlpdeep.cs.uic.edu:8080/proofing/t5/50371-discharge-instructions-4-0.pdf","t5/50371-discharge-instructions-4-0.pdf")</f>
        <v>t5/50371-discharge-instructions-4-0.pdf</v>
      </c>
      <c r="E1426">
        <v>119960</v>
      </c>
      <c r="F1426">
        <v>50371</v>
      </c>
      <c r="G1426" t="s">
        <v>745</v>
      </c>
      <c r="H1426" t="s">
        <v>1179</v>
      </c>
    </row>
    <row r="1427" spans="1:9" x14ac:dyDescent="0.2">
      <c r="A1427" t="s">
        <v>1192</v>
      </c>
      <c r="D1427" t="str">
        <f>HYPERLINK("http://nlpdeep.cs.uic.edu:8080/proofing/gsii/50371-discharge-instructions-4-0.pdf","gsii/50371-discharge-instructions-4-0.pdf")</f>
        <v>gsii/50371-discharge-instructions-4-0.pdf</v>
      </c>
      <c r="E1427">
        <v>119960</v>
      </c>
      <c r="F1427">
        <v>50371</v>
      </c>
      <c r="G1427" t="s">
        <v>745</v>
      </c>
      <c r="H1427" t="s">
        <v>1179</v>
      </c>
    </row>
    <row r="1428" spans="1:9" x14ac:dyDescent="0.2">
      <c r="A1428" t="s">
        <v>1193</v>
      </c>
      <c r="D1428" t="str">
        <f>HYPERLINK("http://nlpdeep.cs.uic.edu:8080/proofing/t5/50371-discharge-instructions-5-0.pdf","t5/50371-discharge-instructions-5-0.pdf")</f>
        <v>t5/50371-discharge-instructions-5-0.pdf</v>
      </c>
      <c r="E1428">
        <v>119960</v>
      </c>
      <c r="F1428">
        <v>50371</v>
      </c>
      <c r="G1428" t="s">
        <v>745</v>
      </c>
      <c r="H1428" t="s">
        <v>1179</v>
      </c>
    </row>
    <row r="1429" spans="1:9" x14ac:dyDescent="0.2">
      <c r="A1429" t="s">
        <v>1193</v>
      </c>
      <c r="D1429" t="str">
        <f>HYPERLINK("http://nlpdeep.cs.uic.edu:8080/proofing/gsii/50371-discharge-instructions-5-0.pdf","gsii/50371-discharge-instructions-5-0.pdf")</f>
        <v>gsii/50371-discharge-instructions-5-0.pdf</v>
      </c>
      <c r="E1429">
        <v>119960</v>
      </c>
      <c r="F1429">
        <v>50371</v>
      </c>
      <c r="G1429" t="s">
        <v>745</v>
      </c>
      <c r="H1429" t="s">
        <v>1179</v>
      </c>
    </row>
    <row r="1430" spans="1:9" x14ac:dyDescent="0.2">
      <c r="A1430" t="s">
        <v>1194</v>
      </c>
      <c r="D1430" t="str">
        <f>HYPERLINK("http://nlpdeep.cs.uic.edu:8080/proofing/t5/50371-discharge-instructions-6-0.pdf","t5/50371-discharge-instructions-6-0.pdf")</f>
        <v>t5/50371-discharge-instructions-6-0.pdf</v>
      </c>
      <c r="E1430">
        <v>119960</v>
      </c>
      <c r="F1430">
        <v>50371</v>
      </c>
      <c r="G1430" t="s">
        <v>745</v>
      </c>
      <c r="H1430" t="s">
        <v>1179</v>
      </c>
      <c r="I1430" t="s">
        <v>1195</v>
      </c>
    </row>
    <row r="1431" spans="1:9" x14ac:dyDescent="0.2">
      <c r="A1431" t="s">
        <v>1194</v>
      </c>
      <c r="D1431" t="str">
        <f>HYPERLINK("http://nlpdeep.cs.uic.edu:8080/proofing/gsii/50371-discharge-instructions-6-0.pdf","gsii/50371-discharge-instructions-6-0.pdf")</f>
        <v>gsii/50371-discharge-instructions-6-0.pdf</v>
      </c>
      <c r="E1431">
        <v>119960</v>
      </c>
      <c r="F1431">
        <v>50371</v>
      </c>
      <c r="G1431" t="s">
        <v>745</v>
      </c>
      <c r="H1431" t="s">
        <v>1179</v>
      </c>
      <c r="I1431" t="s">
        <v>1195</v>
      </c>
    </row>
    <row r="1432" spans="1:9" x14ac:dyDescent="0.2">
      <c r="A1432" t="s">
        <v>1196</v>
      </c>
      <c r="D1432" t="str">
        <f>HYPERLINK("http://nlpdeep.cs.uic.edu:8080/proofing/t5/532865-allergies-0-0.pdf","t5/532865-allergies-0-0.pdf")</f>
        <v>t5/532865-allergies-0-0.pdf</v>
      </c>
      <c r="E1432">
        <v>119960</v>
      </c>
      <c r="F1432">
        <v>532865</v>
      </c>
      <c r="G1432" t="s">
        <v>9</v>
      </c>
      <c r="H1432" t="s">
        <v>64</v>
      </c>
      <c r="I1432" t="s">
        <v>517</v>
      </c>
    </row>
    <row r="1433" spans="1:9" x14ac:dyDescent="0.2">
      <c r="A1433" t="s">
        <v>1196</v>
      </c>
      <c r="D1433" t="str">
        <f>HYPERLINK("http://nlpdeep.cs.uic.edu:8080/proofing/gsii/532865-allergies-0-0.pdf","gsii/532865-allergies-0-0.pdf")</f>
        <v>gsii/532865-allergies-0-0.pdf</v>
      </c>
      <c r="E1433">
        <v>119960</v>
      </c>
      <c r="F1433">
        <v>532865</v>
      </c>
      <c r="G1433" t="s">
        <v>9</v>
      </c>
      <c r="H1433" t="s">
        <v>64</v>
      </c>
      <c r="I1433" t="s">
        <v>517</v>
      </c>
    </row>
    <row r="1434" spans="1:9" x14ac:dyDescent="0.2">
      <c r="A1434" t="s">
        <v>1197</v>
      </c>
      <c r="D1434" t="str">
        <f>HYPERLINK("http://nlpdeep.cs.uic.edu:8080/proofing/t5/532865-last-dose-of-antibiotics-0-0.pdf","t5/532865-last-dose-of-antibiotics-0-0.pdf")</f>
        <v>t5/532865-last-dose-of-antibiotics-0-0.pdf</v>
      </c>
      <c r="E1434">
        <v>119960</v>
      </c>
      <c r="F1434">
        <v>532865</v>
      </c>
      <c r="G1434" t="s">
        <v>9</v>
      </c>
      <c r="H1434" t="s">
        <v>235</v>
      </c>
      <c r="I1434" t="s">
        <v>519</v>
      </c>
    </row>
    <row r="1435" spans="1:9" x14ac:dyDescent="0.2">
      <c r="A1435" t="s">
        <v>1197</v>
      </c>
      <c r="D1435" t="str">
        <f>HYPERLINK("http://nlpdeep.cs.uic.edu:8080/proofing/gsii/532865-last-dose-of-antibiotics-0-0.pdf","gsii/532865-last-dose-of-antibiotics-0-0.pdf")</f>
        <v>gsii/532865-last-dose-of-antibiotics-0-0.pdf</v>
      </c>
      <c r="E1435">
        <v>119960</v>
      </c>
      <c r="F1435">
        <v>532865</v>
      </c>
      <c r="G1435" t="s">
        <v>9</v>
      </c>
      <c r="H1435" t="s">
        <v>235</v>
      </c>
      <c r="I1435" t="s">
        <v>519</v>
      </c>
    </row>
    <row r="1436" spans="1:9" x14ac:dyDescent="0.2">
      <c r="A1436" t="s">
        <v>1198</v>
      </c>
      <c r="D1436" t="str">
        <f>HYPERLINK("http://nlpdeep.cs.uic.edu:8080/proofing/t5/532865-other-medications-0-0.pdf","t5/532865-other-medications-0-0.pdf")</f>
        <v>t5/532865-other-medications-0-0.pdf</v>
      </c>
      <c r="E1436">
        <v>119960</v>
      </c>
      <c r="F1436">
        <v>532865</v>
      </c>
      <c r="G1436" t="s">
        <v>9</v>
      </c>
      <c r="H1436" t="s">
        <v>67</v>
      </c>
      <c r="I1436" t="s">
        <v>521</v>
      </c>
    </row>
    <row r="1437" spans="1:9" x14ac:dyDescent="0.2">
      <c r="A1437" t="s">
        <v>1198</v>
      </c>
      <c r="D1437" t="str">
        <f>HYPERLINK("http://nlpdeep.cs.uic.edu:8080/proofing/gsii/532865-other-medications-0-0.pdf","gsii/532865-other-medications-0-0.pdf")</f>
        <v>gsii/532865-other-medications-0-0.pdf</v>
      </c>
      <c r="E1437">
        <v>119960</v>
      </c>
      <c r="F1437">
        <v>532865</v>
      </c>
      <c r="G1437" t="s">
        <v>9</v>
      </c>
      <c r="H1437" t="s">
        <v>67</v>
      </c>
      <c r="I1437" t="s">
        <v>521</v>
      </c>
    </row>
    <row r="1438" spans="1:9" x14ac:dyDescent="0.2">
      <c r="A1438" t="s">
        <v>1199</v>
      </c>
      <c r="D1438" t="str">
        <f>HYPERLINK("http://nlpdeep.cs.uic.edu:8080/proofing/t5/532865-past-medical-history-0-0.pdf","t5/532865-past-medical-history-0-0.pdf")</f>
        <v>t5/532865-past-medical-history-0-0.pdf</v>
      </c>
      <c r="E1438">
        <v>119960</v>
      </c>
      <c r="F1438">
        <v>532865</v>
      </c>
      <c r="G1438" t="s">
        <v>9</v>
      </c>
      <c r="H1438" t="s">
        <v>76</v>
      </c>
      <c r="I1438" t="s">
        <v>523</v>
      </c>
    </row>
    <row r="1439" spans="1:9" x14ac:dyDescent="0.2">
      <c r="A1439" t="s">
        <v>1199</v>
      </c>
      <c r="D1439" t="str">
        <f>HYPERLINK("http://nlpdeep.cs.uic.edu:8080/proofing/gsii/532865-past-medical-history-0-0.pdf","gsii/532865-past-medical-history-0-0.pdf")</f>
        <v>gsii/532865-past-medical-history-0-0.pdf</v>
      </c>
      <c r="E1439">
        <v>119960</v>
      </c>
      <c r="F1439">
        <v>532865</v>
      </c>
      <c r="G1439" t="s">
        <v>9</v>
      </c>
      <c r="H1439" t="s">
        <v>76</v>
      </c>
      <c r="I1439" t="s">
        <v>523</v>
      </c>
    </row>
    <row r="1440" spans="1:9" x14ac:dyDescent="0.2">
      <c r="A1440" t="s">
        <v>1200</v>
      </c>
      <c r="D1440" t="str">
        <f>HYPERLINK("http://nlpdeep.cs.uic.edu:8080/proofing/t5/532865-review-of-systems-0-0.pdf","t5/532865-review-of-systems-0-0.pdf")</f>
        <v>t5/532865-review-of-systems-0-0.pdf</v>
      </c>
      <c r="E1440">
        <v>119960</v>
      </c>
      <c r="F1440">
        <v>532865</v>
      </c>
      <c r="G1440" t="s">
        <v>9</v>
      </c>
      <c r="H1440" t="s">
        <v>393</v>
      </c>
      <c r="I1440" t="s">
        <v>523</v>
      </c>
    </row>
    <row r="1441" spans="1:9" x14ac:dyDescent="0.2">
      <c r="A1441" t="s">
        <v>1200</v>
      </c>
      <c r="D1441" t="str">
        <f>HYPERLINK("http://nlpdeep.cs.uic.edu:8080/proofing/gsii/532865-review-of-systems-0-0.pdf","gsii/532865-review-of-systems-0-0.pdf")</f>
        <v>gsii/532865-review-of-systems-0-0.pdf</v>
      </c>
      <c r="E1441">
        <v>119960</v>
      </c>
      <c r="F1441">
        <v>532865</v>
      </c>
      <c r="G1441" t="s">
        <v>9</v>
      </c>
      <c r="H1441" t="s">
        <v>393</v>
      </c>
      <c r="I1441" t="s">
        <v>523</v>
      </c>
    </row>
    <row r="1442" spans="1:9" x14ac:dyDescent="0.2">
      <c r="A1442" t="s">
        <v>1201</v>
      </c>
      <c r="D1442" t="str">
        <f>HYPERLINK("http://nlpdeep.cs.uic.edu:8080/proofing/t5/532865-flowsheet-data-vitals-0-0.pdf","t5/532865-flowsheet-data-vitals-0-0.pdf")</f>
        <v>t5/532865-flowsheet-data-vitals-0-0.pdf</v>
      </c>
      <c r="E1442">
        <v>119960</v>
      </c>
      <c r="F1442">
        <v>532865</v>
      </c>
      <c r="G1442" t="s">
        <v>9</v>
      </c>
      <c r="H1442" t="s">
        <v>135</v>
      </c>
      <c r="I1442" t="s">
        <v>1202</v>
      </c>
    </row>
    <row r="1443" spans="1:9" x14ac:dyDescent="0.2">
      <c r="A1443" t="s">
        <v>1201</v>
      </c>
      <c r="D1443" t="str">
        <f>HYPERLINK("http://nlpdeep.cs.uic.edu:8080/proofing/gsii/532865-flowsheet-data-vitals-0-0.pdf","gsii/532865-flowsheet-data-vitals-0-0.pdf")</f>
        <v>gsii/532865-flowsheet-data-vitals-0-0.pdf</v>
      </c>
      <c r="E1443">
        <v>119960</v>
      </c>
      <c r="F1443">
        <v>532865</v>
      </c>
      <c r="G1443" t="s">
        <v>9</v>
      </c>
      <c r="H1443" t="s">
        <v>135</v>
      </c>
      <c r="I1443" t="s">
        <v>1202</v>
      </c>
    </row>
    <row r="1444" spans="1:9" x14ac:dyDescent="0.2">
      <c r="A1444" t="s">
        <v>1203</v>
      </c>
      <c r="D1444" t="str">
        <f>HYPERLINK("http://nlpdeep.cs.uic.edu:8080/proofing/t5/532865-physical-examination-0-0.pdf","t5/532865-physical-examination-0-0.pdf")</f>
        <v>t5/532865-physical-examination-0-0.pdf</v>
      </c>
      <c r="E1444">
        <v>119960</v>
      </c>
      <c r="F1444">
        <v>532865</v>
      </c>
      <c r="G1444" t="s">
        <v>9</v>
      </c>
      <c r="H1444" t="s">
        <v>138</v>
      </c>
      <c r="I1444" t="s">
        <v>528</v>
      </c>
    </row>
    <row r="1445" spans="1:9" x14ac:dyDescent="0.2">
      <c r="A1445" t="s">
        <v>1203</v>
      </c>
      <c r="D1445" t="str">
        <f>HYPERLINK("http://nlpdeep.cs.uic.edu:8080/proofing/gsii/532865-physical-examination-0-0.pdf","gsii/532865-physical-examination-0-0.pdf")</f>
        <v>gsii/532865-physical-examination-0-0.pdf</v>
      </c>
      <c r="E1445">
        <v>119960</v>
      </c>
      <c r="F1445">
        <v>532865</v>
      </c>
      <c r="G1445" t="s">
        <v>9</v>
      </c>
      <c r="H1445" t="s">
        <v>138</v>
      </c>
      <c r="I1445" t="s">
        <v>528</v>
      </c>
    </row>
    <row r="1446" spans="1:9" x14ac:dyDescent="0.2">
      <c r="A1446" t="s">
        <v>1204</v>
      </c>
      <c r="D1446" t="str">
        <f>HYPERLINK("http://nlpdeep.cs.uic.edu:8080/proofing/t5/532865-physical-examination-0-1.pdf","t5/532865-physical-examination-0-1.pdf")</f>
        <v>t5/532865-physical-examination-0-1.pdf</v>
      </c>
      <c r="E1446">
        <v>119960</v>
      </c>
      <c r="F1446">
        <v>532865</v>
      </c>
      <c r="G1446" t="s">
        <v>9</v>
      </c>
      <c r="H1446" t="s">
        <v>138</v>
      </c>
      <c r="I1446" t="s">
        <v>530</v>
      </c>
    </row>
    <row r="1447" spans="1:9" x14ac:dyDescent="0.2">
      <c r="A1447" t="s">
        <v>1204</v>
      </c>
      <c r="D1447" t="str">
        <f>HYPERLINK("http://nlpdeep.cs.uic.edu:8080/proofing/gsii/532865-physical-examination-0-1.pdf","gsii/532865-physical-examination-0-1.pdf")</f>
        <v>gsii/532865-physical-examination-0-1.pdf</v>
      </c>
      <c r="E1447">
        <v>119960</v>
      </c>
      <c r="F1447">
        <v>532865</v>
      </c>
      <c r="G1447" t="s">
        <v>9</v>
      </c>
      <c r="H1447" t="s">
        <v>138</v>
      </c>
      <c r="I1447" t="s">
        <v>530</v>
      </c>
    </row>
    <row r="1448" spans="1:9" x14ac:dyDescent="0.2">
      <c r="A1448" t="s">
        <v>1205</v>
      </c>
      <c r="D1448" t="str">
        <f>HYPERLINK("http://nlpdeep.cs.uic.edu:8080/proofing/t5/532865-labs-imaging-0-0.pdf","t5/532865-labs-imaging-0-0.pdf")</f>
        <v>t5/532865-labs-imaging-0-0.pdf</v>
      </c>
      <c r="E1448">
        <v>119960</v>
      </c>
      <c r="F1448">
        <v>532865</v>
      </c>
      <c r="G1448" t="s">
        <v>9</v>
      </c>
      <c r="H1448" t="s">
        <v>147</v>
      </c>
      <c r="I1448" t="s">
        <v>532</v>
      </c>
    </row>
    <row r="1449" spans="1:9" x14ac:dyDescent="0.2">
      <c r="A1449" t="s">
        <v>1205</v>
      </c>
      <c r="D1449" t="str">
        <f>HYPERLINK("http://nlpdeep.cs.uic.edu:8080/proofing/gsii/532865-labs-imaging-0-0.pdf","gsii/532865-labs-imaging-0-0.pdf")</f>
        <v>gsii/532865-labs-imaging-0-0.pdf</v>
      </c>
      <c r="E1449">
        <v>119960</v>
      </c>
      <c r="F1449">
        <v>532865</v>
      </c>
      <c r="G1449" t="s">
        <v>9</v>
      </c>
      <c r="H1449" t="s">
        <v>147</v>
      </c>
      <c r="I1449" t="s">
        <v>532</v>
      </c>
    </row>
    <row r="1450" spans="1:9" x14ac:dyDescent="0.2">
      <c r="A1450" t="s">
        <v>1206</v>
      </c>
      <c r="D1450" t="str">
        <f>HYPERLINK("http://nlpdeep.cs.uic.edu:8080/proofing/t5/532865-assessment-and-plan-0-0.pdf","t5/532865-assessment-and-plan-0-0.pdf")</f>
        <v>t5/532865-assessment-and-plan-0-0.pdf</v>
      </c>
      <c r="E1450">
        <v>119960</v>
      </c>
      <c r="F1450">
        <v>532865</v>
      </c>
      <c r="G1450" t="s">
        <v>9</v>
      </c>
      <c r="H1450" t="s">
        <v>195</v>
      </c>
      <c r="I1450" t="s">
        <v>534</v>
      </c>
    </row>
    <row r="1451" spans="1:9" x14ac:dyDescent="0.2">
      <c r="A1451" t="s">
        <v>1206</v>
      </c>
      <c r="D1451" t="str">
        <f>HYPERLINK("http://nlpdeep.cs.uic.edu:8080/proofing/gsii/532865-assessment-and-plan-0-0.pdf","gsii/532865-assessment-and-plan-0-0.pdf")</f>
        <v>gsii/532865-assessment-and-plan-0-0.pdf</v>
      </c>
      <c r="E1451">
        <v>119960</v>
      </c>
      <c r="F1451">
        <v>532865</v>
      </c>
      <c r="G1451" t="s">
        <v>9</v>
      </c>
      <c r="H1451" t="s">
        <v>195</v>
      </c>
      <c r="I1451" t="s">
        <v>534</v>
      </c>
    </row>
    <row r="1452" spans="1:9" x14ac:dyDescent="0.2">
      <c r="A1452" t="s">
        <v>1207</v>
      </c>
      <c r="D1452" t="str">
        <f>HYPERLINK("http://nlpdeep.cs.uic.edu:8080/proofing/t5/532865-code-status-0-0.pdf","t5/532865-code-status-0-0.pdf")</f>
        <v>t5/532865-code-status-0-0.pdf</v>
      </c>
      <c r="E1452">
        <v>119960</v>
      </c>
      <c r="F1452">
        <v>532865</v>
      </c>
      <c r="G1452" t="s">
        <v>9</v>
      </c>
      <c r="H1452" t="s">
        <v>201</v>
      </c>
      <c r="I1452" t="s">
        <v>536</v>
      </c>
    </row>
    <row r="1453" spans="1:9" x14ac:dyDescent="0.2">
      <c r="A1453" t="s">
        <v>1207</v>
      </c>
      <c r="D1453" t="str">
        <f>HYPERLINK("http://nlpdeep.cs.uic.edu:8080/proofing/gsii/532865-code-status-0-0.pdf","gsii/532865-code-status-0-0.pdf")</f>
        <v>gsii/532865-code-status-0-0.pdf</v>
      </c>
      <c r="E1453">
        <v>119960</v>
      </c>
      <c r="F1453">
        <v>532865</v>
      </c>
      <c r="G1453" t="s">
        <v>9</v>
      </c>
      <c r="H1453" t="s">
        <v>201</v>
      </c>
      <c r="I1453" t="s">
        <v>536</v>
      </c>
    </row>
    <row r="1454" spans="1:9" x14ac:dyDescent="0.2">
      <c r="A1454" t="s">
        <v>1208</v>
      </c>
      <c r="D1454" t="str">
        <f>HYPERLINK("http://nlpdeep.cs.uic.edu:8080/proofing/t5/532410-chief-complaint-0-0.pdf","t5/532410-chief-complaint-0-0.pdf")</f>
        <v>t5/532410-chief-complaint-0-0.pdf</v>
      </c>
      <c r="E1454">
        <v>119960</v>
      </c>
      <c r="F1454">
        <v>532410</v>
      </c>
      <c r="G1454" t="s">
        <v>9</v>
      </c>
      <c r="H1454" t="s">
        <v>10</v>
      </c>
      <c r="I1454" t="s">
        <v>11</v>
      </c>
    </row>
    <row r="1455" spans="1:9" x14ac:dyDescent="0.2">
      <c r="A1455" t="s">
        <v>1208</v>
      </c>
      <c r="D1455" t="str">
        <f>HYPERLINK("http://nlpdeep.cs.uic.edu:8080/proofing/gsii/532410-chief-complaint-0-0.pdf","gsii/532410-chief-complaint-0-0.pdf")</f>
        <v>gsii/532410-chief-complaint-0-0.pdf</v>
      </c>
      <c r="E1455">
        <v>119960</v>
      </c>
      <c r="F1455">
        <v>532410</v>
      </c>
      <c r="G1455" t="s">
        <v>9</v>
      </c>
      <c r="H1455" t="s">
        <v>10</v>
      </c>
      <c r="I1455" t="s">
        <v>11</v>
      </c>
    </row>
    <row r="1456" spans="1:9" x14ac:dyDescent="0.2">
      <c r="A1456" t="s">
        <v>1209</v>
      </c>
      <c r="D1456" t="str">
        <f>HYPERLINK("http://nlpdeep.cs.uic.edu:8080/proofing/t5/532410-history-of-present-illness-0-0.pdf","t5/532410-history-of-present-illness-0-0.pdf")</f>
        <v>t5/532410-history-of-present-illness-0-0.pdf</v>
      </c>
      <c r="E1456">
        <v>119960</v>
      </c>
      <c r="F1456">
        <v>532410</v>
      </c>
      <c r="G1456" t="s">
        <v>9</v>
      </c>
      <c r="H1456" t="s">
        <v>13</v>
      </c>
      <c r="I1456" t="s">
        <v>14</v>
      </c>
    </row>
    <row r="1457" spans="1:9" x14ac:dyDescent="0.2">
      <c r="A1457" t="s">
        <v>1209</v>
      </c>
      <c r="D1457" t="str">
        <f>HYPERLINK("http://nlpdeep.cs.uic.edu:8080/proofing/gsii/532410-history-of-present-illness-0-0.pdf","gsii/532410-history-of-present-illness-0-0.pdf")</f>
        <v>gsii/532410-history-of-present-illness-0-0.pdf</v>
      </c>
      <c r="E1457">
        <v>119960</v>
      </c>
      <c r="F1457">
        <v>532410</v>
      </c>
      <c r="G1457" t="s">
        <v>9</v>
      </c>
      <c r="H1457" t="s">
        <v>13</v>
      </c>
      <c r="I1457" t="s">
        <v>14</v>
      </c>
    </row>
    <row r="1458" spans="1:9" x14ac:dyDescent="0.2">
      <c r="A1458" t="s">
        <v>1210</v>
      </c>
      <c r="D1458" t="str">
        <f>HYPERLINK("http://nlpdeep.cs.uic.edu:8080/proofing/t5/532410-history-of-present-illness-0-1.pdf","t5/532410-history-of-present-illness-0-1.pdf")</f>
        <v>t5/532410-history-of-present-illness-0-1.pdf</v>
      </c>
      <c r="E1458">
        <v>119960</v>
      </c>
      <c r="F1458">
        <v>532410</v>
      </c>
      <c r="G1458" t="s">
        <v>9</v>
      </c>
      <c r="H1458" t="s">
        <v>13</v>
      </c>
      <c r="I1458" t="s">
        <v>16</v>
      </c>
    </row>
    <row r="1459" spans="1:9" x14ac:dyDescent="0.2">
      <c r="A1459" t="s">
        <v>1210</v>
      </c>
      <c r="D1459" t="str">
        <f>HYPERLINK("http://nlpdeep.cs.uic.edu:8080/proofing/gsii/532410-history-of-present-illness-0-1.pdf","gsii/532410-history-of-present-illness-0-1.pdf")</f>
        <v>gsii/532410-history-of-present-illness-0-1.pdf</v>
      </c>
      <c r="E1459">
        <v>119960</v>
      </c>
      <c r="F1459">
        <v>532410</v>
      </c>
      <c r="G1459" t="s">
        <v>9</v>
      </c>
      <c r="H1459" t="s">
        <v>13</v>
      </c>
      <c r="I1459" t="s">
        <v>16</v>
      </c>
    </row>
    <row r="1460" spans="1:9" x14ac:dyDescent="0.2">
      <c r="A1460" t="s">
        <v>1211</v>
      </c>
      <c r="D1460" t="str">
        <f>HYPERLINK("http://nlpdeep.cs.uic.edu:8080/proofing/t5/532410-history-of-present-illness-0-2.pdf","t5/532410-history-of-present-illness-0-2.pdf")</f>
        <v>t5/532410-history-of-present-illness-0-2.pdf</v>
      </c>
      <c r="E1460">
        <v>119960</v>
      </c>
      <c r="F1460">
        <v>532410</v>
      </c>
      <c r="G1460" t="s">
        <v>9</v>
      </c>
      <c r="H1460" t="s">
        <v>13</v>
      </c>
      <c r="I1460" t="s">
        <v>18</v>
      </c>
    </row>
    <row r="1461" spans="1:9" x14ac:dyDescent="0.2">
      <c r="A1461" t="s">
        <v>1211</v>
      </c>
      <c r="D1461" t="str">
        <f>HYPERLINK("http://nlpdeep.cs.uic.edu:8080/proofing/gsii/532410-history-of-present-illness-0-2.pdf","gsii/532410-history-of-present-illness-0-2.pdf")</f>
        <v>gsii/532410-history-of-present-illness-0-2.pdf</v>
      </c>
      <c r="E1461">
        <v>119960</v>
      </c>
      <c r="F1461">
        <v>532410</v>
      </c>
      <c r="G1461" t="s">
        <v>9</v>
      </c>
      <c r="H1461" t="s">
        <v>13</v>
      </c>
      <c r="I1461" t="s">
        <v>18</v>
      </c>
    </row>
    <row r="1462" spans="1:9" x14ac:dyDescent="0.2">
      <c r="A1462" t="s">
        <v>1212</v>
      </c>
      <c r="D1462" t="str">
        <f>HYPERLINK("http://nlpdeep.cs.uic.edu:8080/proofing/t5/532410-history-of-present-illness-0-3.pdf","t5/532410-history-of-present-illness-0-3.pdf")</f>
        <v>t5/532410-history-of-present-illness-0-3.pdf</v>
      </c>
      <c r="E1462">
        <v>119960</v>
      </c>
      <c r="F1462">
        <v>532410</v>
      </c>
      <c r="G1462" t="s">
        <v>9</v>
      </c>
      <c r="H1462" t="s">
        <v>13</v>
      </c>
      <c r="I1462" t="s">
        <v>20</v>
      </c>
    </row>
    <row r="1463" spans="1:9" x14ac:dyDescent="0.2">
      <c r="A1463" t="s">
        <v>1212</v>
      </c>
      <c r="D1463" t="str">
        <f>HYPERLINK("http://nlpdeep.cs.uic.edu:8080/proofing/gsii/532410-history-of-present-illness-0-3.pdf","gsii/532410-history-of-present-illness-0-3.pdf")</f>
        <v>gsii/532410-history-of-present-illness-0-3.pdf</v>
      </c>
      <c r="E1463">
        <v>119960</v>
      </c>
      <c r="F1463">
        <v>532410</v>
      </c>
      <c r="G1463" t="s">
        <v>9</v>
      </c>
      <c r="H1463" t="s">
        <v>13</v>
      </c>
      <c r="I1463" t="s">
        <v>20</v>
      </c>
    </row>
    <row r="1464" spans="1:9" x14ac:dyDescent="0.2">
      <c r="A1464" t="s">
        <v>1213</v>
      </c>
      <c r="D1464" t="str">
        <f>HYPERLINK("http://nlpdeep.cs.uic.edu:8080/proofing/t5/532410-history-of-present-illness-0-4.pdf","t5/532410-history-of-present-illness-0-4.pdf")</f>
        <v>t5/532410-history-of-present-illness-0-4.pdf</v>
      </c>
      <c r="E1464">
        <v>119960</v>
      </c>
      <c r="F1464">
        <v>532410</v>
      </c>
      <c r="G1464" t="s">
        <v>9</v>
      </c>
      <c r="H1464" t="s">
        <v>13</v>
      </c>
      <c r="I1464" t="s">
        <v>22</v>
      </c>
    </row>
    <row r="1465" spans="1:9" x14ac:dyDescent="0.2">
      <c r="A1465" t="s">
        <v>1213</v>
      </c>
      <c r="D1465" t="str">
        <f>HYPERLINK("http://nlpdeep.cs.uic.edu:8080/proofing/gsii/532410-history-of-present-illness-0-4.pdf","gsii/532410-history-of-present-illness-0-4.pdf")</f>
        <v>gsii/532410-history-of-present-illness-0-4.pdf</v>
      </c>
      <c r="E1465">
        <v>119960</v>
      </c>
      <c r="F1465">
        <v>532410</v>
      </c>
      <c r="G1465" t="s">
        <v>9</v>
      </c>
      <c r="H1465" t="s">
        <v>13</v>
      </c>
      <c r="I1465" t="s">
        <v>22</v>
      </c>
    </row>
    <row r="1466" spans="1:9" x14ac:dyDescent="0.2">
      <c r="A1466" t="s">
        <v>1214</v>
      </c>
      <c r="D1466" t="str">
        <f>HYPERLINK("http://nlpdeep.cs.uic.edu:8080/proofing/t5/532410-history-of-present-illness-0-5.pdf","t5/532410-history-of-present-illness-0-5.pdf")</f>
        <v>t5/532410-history-of-present-illness-0-5.pdf</v>
      </c>
      <c r="E1466">
        <v>119960</v>
      </c>
      <c r="F1466">
        <v>532410</v>
      </c>
      <c r="G1466" t="s">
        <v>9</v>
      </c>
      <c r="H1466" t="s">
        <v>13</v>
      </c>
      <c r="I1466" t="s">
        <v>24</v>
      </c>
    </row>
    <row r="1467" spans="1:9" x14ac:dyDescent="0.2">
      <c r="A1467" t="s">
        <v>1214</v>
      </c>
      <c r="D1467" t="str">
        <f>HYPERLINK("http://nlpdeep.cs.uic.edu:8080/proofing/gsii/532410-history-of-present-illness-0-5.pdf","gsii/532410-history-of-present-illness-0-5.pdf")</f>
        <v>gsii/532410-history-of-present-illness-0-5.pdf</v>
      </c>
      <c r="E1467">
        <v>119960</v>
      </c>
      <c r="F1467">
        <v>532410</v>
      </c>
      <c r="G1467" t="s">
        <v>9</v>
      </c>
      <c r="H1467" t="s">
        <v>13</v>
      </c>
      <c r="I1467" t="s">
        <v>24</v>
      </c>
    </row>
    <row r="1468" spans="1:9" x14ac:dyDescent="0.2">
      <c r="A1468" t="s">
        <v>1215</v>
      </c>
      <c r="D1468" t="str">
        <f>HYPERLINK("http://nlpdeep.cs.uic.edu:8080/proofing/t5/532410-history-of-present-illness-0-6.pdf","t5/532410-history-of-present-illness-0-6.pdf")</f>
        <v>t5/532410-history-of-present-illness-0-6.pdf</v>
      </c>
      <c r="E1468">
        <v>119960</v>
      </c>
      <c r="F1468">
        <v>532410</v>
      </c>
      <c r="G1468" t="s">
        <v>9</v>
      </c>
      <c r="H1468" t="s">
        <v>13</v>
      </c>
      <c r="I1468" t="s">
        <v>26</v>
      </c>
    </row>
    <row r="1469" spans="1:9" x14ac:dyDescent="0.2">
      <c r="A1469" t="s">
        <v>1215</v>
      </c>
      <c r="D1469" t="str">
        <f>HYPERLINK("http://nlpdeep.cs.uic.edu:8080/proofing/gsii/532410-history-of-present-illness-0-6.pdf","gsii/532410-history-of-present-illness-0-6.pdf")</f>
        <v>gsii/532410-history-of-present-illness-0-6.pdf</v>
      </c>
      <c r="E1469">
        <v>119960</v>
      </c>
      <c r="F1469">
        <v>532410</v>
      </c>
      <c r="G1469" t="s">
        <v>9</v>
      </c>
      <c r="H1469" t="s">
        <v>13</v>
      </c>
      <c r="I1469" t="s">
        <v>26</v>
      </c>
    </row>
    <row r="1470" spans="1:9" x14ac:dyDescent="0.2">
      <c r="A1470" t="s">
        <v>1216</v>
      </c>
      <c r="D1470" t="str">
        <f>HYPERLINK("http://nlpdeep.cs.uic.edu:8080/proofing/t5/532410-history-of-present-illness-1-0.pdf","t5/532410-history-of-present-illness-1-0.pdf")</f>
        <v>t5/532410-history-of-present-illness-1-0.pdf</v>
      </c>
      <c r="E1470">
        <v>119960</v>
      </c>
      <c r="F1470">
        <v>532410</v>
      </c>
      <c r="G1470" t="s">
        <v>9</v>
      </c>
      <c r="H1470" t="s">
        <v>13</v>
      </c>
      <c r="I1470" t="s">
        <v>28</v>
      </c>
    </row>
    <row r="1471" spans="1:9" x14ac:dyDescent="0.2">
      <c r="A1471" t="s">
        <v>1216</v>
      </c>
      <c r="D1471" t="str">
        <f>HYPERLINK("http://nlpdeep.cs.uic.edu:8080/proofing/gsii/532410-history-of-present-illness-1-0.pdf","gsii/532410-history-of-present-illness-1-0.pdf")</f>
        <v>gsii/532410-history-of-present-illness-1-0.pdf</v>
      </c>
      <c r="E1471">
        <v>119960</v>
      </c>
      <c r="F1471">
        <v>532410</v>
      </c>
      <c r="G1471" t="s">
        <v>9</v>
      </c>
      <c r="H1471" t="s">
        <v>13</v>
      </c>
      <c r="I1471" t="s">
        <v>28</v>
      </c>
    </row>
    <row r="1472" spans="1:9" x14ac:dyDescent="0.2">
      <c r="A1472" t="s">
        <v>1217</v>
      </c>
      <c r="D1472" t="str">
        <f>HYPERLINK("http://nlpdeep.cs.uic.edu:8080/proofing/t5/532410-history-of-present-illness-1-1.pdf","t5/532410-history-of-present-illness-1-1.pdf")</f>
        <v>t5/532410-history-of-present-illness-1-1.pdf</v>
      </c>
      <c r="E1472">
        <v>119960</v>
      </c>
      <c r="F1472">
        <v>532410</v>
      </c>
      <c r="G1472" t="s">
        <v>9</v>
      </c>
      <c r="H1472" t="s">
        <v>13</v>
      </c>
      <c r="I1472" t="s">
        <v>30</v>
      </c>
    </row>
    <row r="1473" spans="1:9" x14ac:dyDescent="0.2">
      <c r="A1473" t="s">
        <v>1217</v>
      </c>
      <c r="D1473" t="str">
        <f>HYPERLINK("http://nlpdeep.cs.uic.edu:8080/proofing/gsii/532410-history-of-present-illness-1-1.pdf","gsii/532410-history-of-present-illness-1-1.pdf")</f>
        <v>gsii/532410-history-of-present-illness-1-1.pdf</v>
      </c>
      <c r="E1473">
        <v>119960</v>
      </c>
      <c r="F1473">
        <v>532410</v>
      </c>
      <c r="G1473" t="s">
        <v>9</v>
      </c>
      <c r="H1473" t="s">
        <v>13</v>
      </c>
      <c r="I1473" t="s">
        <v>30</v>
      </c>
    </row>
    <row r="1474" spans="1:9" x14ac:dyDescent="0.2">
      <c r="A1474" t="s">
        <v>1218</v>
      </c>
      <c r="D1474" t="str">
        <f>HYPERLINK("http://nlpdeep.cs.uic.edu:8080/proofing/t5/532410-history-of-present-illness-1-2.pdf","t5/532410-history-of-present-illness-1-2.pdf")</f>
        <v>t5/532410-history-of-present-illness-1-2.pdf</v>
      </c>
      <c r="E1474">
        <v>119960</v>
      </c>
      <c r="F1474">
        <v>532410</v>
      </c>
      <c r="G1474" t="s">
        <v>9</v>
      </c>
      <c r="H1474" t="s">
        <v>13</v>
      </c>
      <c r="I1474" t="s">
        <v>32</v>
      </c>
    </row>
    <row r="1475" spans="1:9" x14ac:dyDescent="0.2">
      <c r="A1475" t="s">
        <v>1218</v>
      </c>
      <c r="D1475" t="str">
        <f>HYPERLINK("http://nlpdeep.cs.uic.edu:8080/proofing/gsii/532410-history-of-present-illness-1-2.pdf","gsii/532410-history-of-present-illness-1-2.pdf")</f>
        <v>gsii/532410-history-of-present-illness-1-2.pdf</v>
      </c>
      <c r="E1475">
        <v>119960</v>
      </c>
      <c r="F1475">
        <v>532410</v>
      </c>
      <c r="G1475" t="s">
        <v>9</v>
      </c>
      <c r="H1475" t="s">
        <v>13</v>
      </c>
      <c r="I1475" t="s">
        <v>32</v>
      </c>
    </row>
    <row r="1476" spans="1:9" x14ac:dyDescent="0.2">
      <c r="A1476" t="s">
        <v>1219</v>
      </c>
      <c r="D1476" t="str">
        <f>HYPERLINK("http://nlpdeep.cs.uic.edu:8080/proofing/t5/532410-history-of-present-illness-1-3.pdf","t5/532410-history-of-present-illness-1-3.pdf")</f>
        <v>t5/532410-history-of-present-illness-1-3.pdf</v>
      </c>
      <c r="E1476">
        <v>119960</v>
      </c>
      <c r="F1476">
        <v>532410</v>
      </c>
      <c r="G1476" t="s">
        <v>9</v>
      </c>
      <c r="H1476" t="s">
        <v>13</v>
      </c>
      <c r="I1476" t="s">
        <v>34</v>
      </c>
    </row>
    <row r="1477" spans="1:9" x14ac:dyDescent="0.2">
      <c r="A1477" t="s">
        <v>1219</v>
      </c>
      <c r="D1477" t="str">
        <f>HYPERLINK("http://nlpdeep.cs.uic.edu:8080/proofing/gsii/532410-history-of-present-illness-1-3.pdf","gsii/532410-history-of-present-illness-1-3.pdf")</f>
        <v>gsii/532410-history-of-present-illness-1-3.pdf</v>
      </c>
      <c r="E1477">
        <v>119960</v>
      </c>
      <c r="F1477">
        <v>532410</v>
      </c>
      <c r="G1477" t="s">
        <v>9</v>
      </c>
      <c r="H1477" t="s">
        <v>13</v>
      </c>
      <c r="I1477" t="s">
        <v>34</v>
      </c>
    </row>
    <row r="1478" spans="1:9" x14ac:dyDescent="0.2">
      <c r="A1478" t="s">
        <v>1220</v>
      </c>
      <c r="D1478" t="str">
        <f>HYPERLINK("http://nlpdeep.cs.uic.edu:8080/proofing/t5/532410-history-of-present-illness-1-4.pdf","t5/532410-history-of-present-illness-1-4.pdf")</f>
        <v>t5/532410-history-of-present-illness-1-4.pdf</v>
      </c>
      <c r="E1478">
        <v>119960</v>
      </c>
      <c r="F1478">
        <v>532410</v>
      </c>
      <c r="G1478" t="s">
        <v>9</v>
      </c>
      <c r="H1478" t="s">
        <v>13</v>
      </c>
      <c r="I1478" t="s">
        <v>36</v>
      </c>
    </row>
    <row r="1479" spans="1:9" x14ac:dyDescent="0.2">
      <c r="A1479" t="s">
        <v>1220</v>
      </c>
      <c r="D1479" t="str">
        <f>HYPERLINK("http://nlpdeep.cs.uic.edu:8080/proofing/gsii/532410-history-of-present-illness-1-4.pdf","gsii/532410-history-of-present-illness-1-4.pdf")</f>
        <v>gsii/532410-history-of-present-illness-1-4.pdf</v>
      </c>
      <c r="E1479">
        <v>119960</v>
      </c>
      <c r="F1479">
        <v>532410</v>
      </c>
      <c r="G1479" t="s">
        <v>9</v>
      </c>
      <c r="H1479" t="s">
        <v>13</v>
      </c>
      <c r="I1479" t="s">
        <v>36</v>
      </c>
    </row>
    <row r="1480" spans="1:9" x14ac:dyDescent="0.2">
      <c r="A1480" t="s">
        <v>1221</v>
      </c>
      <c r="D1480" t="str">
        <f>HYPERLINK("http://nlpdeep.cs.uic.edu:8080/proofing/t5/532410-history-of-present-illness-2-0.pdf","t5/532410-history-of-present-illness-2-0.pdf")</f>
        <v>t5/532410-history-of-present-illness-2-0.pdf</v>
      </c>
      <c r="E1480">
        <v>119960</v>
      </c>
      <c r="F1480">
        <v>532410</v>
      </c>
      <c r="G1480" t="s">
        <v>9</v>
      </c>
      <c r="H1480" t="s">
        <v>13</v>
      </c>
      <c r="I1480" t="s">
        <v>38</v>
      </c>
    </row>
    <row r="1481" spans="1:9" x14ac:dyDescent="0.2">
      <c r="A1481" t="s">
        <v>1221</v>
      </c>
      <c r="D1481" t="str">
        <f>HYPERLINK("http://nlpdeep.cs.uic.edu:8080/proofing/gsii/532410-history-of-present-illness-2-0.pdf","gsii/532410-history-of-present-illness-2-0.pdf")</f>
        <v>gsii/532410-history-of-present-illness-2-0.pdf</v>
      </c>
      <c r="E1481">
        <v>119960</v>
      </c>
      <c r="F1481">
        <v>532410</v>
      </c>
      <c r="G1481" t="s">
        <v>9</v>
      </c>
      <c r="H1481" t="s">
        <v>13</v>
      </c>
      <c r="I1481" t="s">
        <v>38</v>
      </c>
    </row>
    <row r="1482" spans="1:9" x14ac:dyDescent="0.2">
      <c r="A1482" t="s">
        <v>1222</v>
      </c>
      <c r="D1482" t="str">
        <f>HYPERLINK("http://nlpdeep.cs.uic.edu:8080/proofing/t5/532410-history-of-present-illness-2-1.pdf","t5/532410-history-of-present-illness-2-1.pdf")</f>
        <v>t5/532410-history-of-present-illness-2-1.pdf</v>
      </c>
      <c r="E1482">
        <v>119960</v>
      </c>
      <c r="F1482">
        <v>532410</v>
      </c>
      <c r="G1482" t="s">
        <v>9</v>
      </c>
      <c r="H1482" t="s">
        <v>13</v>
      </c>
      <c r="I1482" t="s">
        <v>40</v>
      </c>
    </row>
    <row r="1483" spans="1:9" x14ac:dyDescent="0.2">
      <c r="A1483" t="s">
        <v>1222</v>
      </c>
      <c r="D1483" t="str">
        <f>HYPERLINK("http://nlpdeep.cs.uic.edu:8080/proofing/gsii/532410-history-of-present-illness-2-1.pdf","gsii/532410-history-of-present-illness-2-1.pdf")</f>
        <v>gsii/532410-history-of-present-illness-2-1.pdf</v>
      </c>
      <c r="E1483">
        <v>119960</v>
      </c>
      <c r="F1483">
        <v>532410</v>
      </c>
      <c r="G1483" t="s">
        <v>9</v>
      </c>
      <c r="H1483" t="s">
        <v>13</v>
      </c>
      <c r="I1483" t="s">
        <v>40</v>
      </c>
    </row>
    <row r="1484" spans="1:9" x14ac:dyDescent="0.2">
      <c r="A1484" t="s">
        <v>1223</v>
      </c>
      <c r="D1484" t="str">
        <f>HYPERLINK("http://nlpdeep.cs.uic.edu:8080/proofing/t5/532410-history-of-present-illness-2-2.pdf","t5/532410-history-of-present-illness-2-2.pdf")</f>
        <v>t5/532410-history-of-present-illness-2-2.pdf</v>
      </c>
      <c r="E1484">
        <v>119960</v>
      </c>
      <c r="F1484">
        <v>532410</v>
      </c>
      <c r="G1484" t="s">
        <v>9</v>
      </c>
      <c r="H1484" t="s">
        <v>13</v>
      </c>
      <c r="I1484" t="s">
        <v>42</v>
      </c>
    </row>
    <row r="1485" spans="1:9" x14ac:dyDescent="0.2">
      <c r="A1485" t="s">
        <v>1223</v>
      </c>
      <c r="D1485" t="str">
        <f>HYPERLINK("http://nlpdeep.cs.uic.edu:8080/proofing/gsii/532410-history-of-present-illness-2-2.pdf","gsii/532410-history-of-present-illness-2-2.pdf")</f>
        <v>gsii/532410-history-of-present-illness-2-2.pdf</v>
      </c>
      <c r="E1485">
        <v>119960</v>
      </c>
      <c r="F1485">
        <v>532410</v>
      </c>
      <c r="G1485" t="s">
        <v>9</v>
      </c>
      <c r="H1485" t="s">
        <v>13</v>
      </c>
      <c r="I1485" t="s">
        <v>42</v>
      </c>
    </row>
    <row r="1486" spans="1:9" x14ac:dyDescent="0.2">
      <c r="A1486" t="s">
        <v>1224</v>
      </c>
      <c r="D1486" t="str">
        <f>HYPERLINK("http://nlpdeep.cs.uic.edu:8080/proofing/t5/532410-history-of-present-illness-2-3.pdf","t5/532410-history-of-present-illness-2-3.pdf")</f>
        <v>t5/532410-history-of-present-illness-2-3.pdf</v>
      </c>
      <c r="E1486">
        <v>119960</v>
      </c>
      <c r="F1486">
        <v>532410</v>
      </c>
      <c r="G1486" t="s">
        <v>9</v>
      </c>
      <c r="H1486" t="s">
        <v>13</v>
      </c>
      <c r="I1486" t="s">
        <v>44</v>
      </c>
    </row>
    <row r="1487" spans="1:9" x14ac:dyDescent="0.2">
      <c r="A1487" t="s">
        <v>1224</v>
      </c>
      <c r="D1487" t="str">
        <f>HYPERLINK("http://nlpdeep.cs.uic.edu:8080/proofing/gsii/532410-history-of-present-illness-2-3.pdf","gsii/532410-history-of-present-illness-2-3.pdf")</f>
        <v>gsii/532410-history-of-present-illness-2-3.pdf</v>
      </c>
      <c r="E1487">
        <v>119960</v>
      </c>
      <c r="F1487">
        <v>532410</v>
      </c>
      <c r="G1487" t="s">
        <v>9</v>
      </c>
      <c r="H1487" t="s">
        <v>13</v>
      </c>
      <c r="I1487" t="s">
        <v>44</v>
      </c>
    </row>
    <row r="1488" spans="1:9" x14ac:dyDescent="0.2">
      <c r="A1488" t="s">
        <v>1225</v>
      </c>
      <c r="D1488" t="str">
        <f>HYPERLINK("http://nlpdeep.cs.uic.edu:8080/proofing/t5/532410-history-of-present-illness-2-4.pdf","t5/532410-history-of-present-illness-2-4.pdf")</f>
        <v>t5/532410-history-of-present-illness-2-4.pdf</v>
      </c>
      <c r="E1488">
        <v>119960</v>
      </c>
      <c r="F1488">
        <v>532410</v>
      </c>
      <c r="G1488" t="s">
        <v>9</v>
      </c>
      <c r="H1488" t="s">
        <v>13</v>
      </c>
      <c r="I1488" t="s">
        <v>46</v>
      </c>
    </row>
    <row r="1489" spans="1:9" x14ac:dyDescent="0.2">
      <c r="A1489" t="s">
        <v>1225</v>
      </c>
      <c r="D1489" t="str">
        <f>HYPERLINK("http://nlpdeep.cs.uic.edu:8080/proofing/gsii/532410-history-of-present-illness-2-4.pdf","gsii/532410-history-of-present-illness-2-4.pdf")</f>
        <v>gsii/532410-history-of-present-illness-2-4.pdf</v>
      </c>
      <c r="E1489">
        <v>119960</v>
      </c>
      <c r="F1489">
        <v>532410</v>
      </c>
      <c r="G1489" t="s">
        <v>9</v>
      </c>
      <c r="H1489" t="s">
        <v>13</v>
      </c>
      <c r="I1489" t="s">
        <v>46</v>
      </c>
    </row>
    <row r="1490" spans="1:9" x14ac:dyDescent="0.2">
      <c r="A1490" t="s">
        <v>1226</v>
      </c>
      <c r="D1490" t="str">
        <f>HYPERLINK("http://nlpdeep.cs.uic.edu:8080/proofing/t5/532410-history-of-present-illness-2-5.pdf","t5/532410-history-of-present-illness-2-5.pdf")</f>
        <v>t5/532410-history-of-present-illness-2-5.pdf</v>
      </c>
      <c r="E1490">
        <v>119960</v>
      </c>
      <c r="F1490">
        <v>532410</v>
      </c>
      <c r="G1490" t="s">
        <v>9</v>
      </c>
      <c r="H1490" t="s">
        <v>13</v>
      </c>
      <c r="I1490" t="s">
        <v>48</v>
      </c>
    </row>
    <row r="1491" spans="1:9" x14ac:dyDescent="0.2">
      <c r="A1491" t="s">
        <v>1226</v>
      </c>
      <c r="D1491" t="str">
        <f>HYPERLINK("http://nlpdeep.cs.uic.edu:8080/proofing/gsii/532410-history-of-present-illness-2-5.pdf","gsii/532410-history-of-present-illness-2-5.pdf")</f>
        <v>gsii/532410-history-of-present-illness-2-5.pdf</v>
      </c>
      <c r="E1491">
        <v>119960</v>
      </c>
      <c r="F1491">
        <v>532410</v>
      </c>
      <c r="G1491" t="s">
        <v>9</v>
      </c>
      <c r="H1491" t="s">
        <v>13</v>
      </c>
      <c r="I1491" t="s">
        <v>48</v>
      </c>
    </row>
    <row r="1492" spans="1:9" x14ac:dyDescent="0.2">
      <c r="A1492" t="s">
        <v>1227</v>
      </c>
      <c r="D1492" t="str">
        <f>HYPERLINK("http://nlpdeep.cs.uic.edu:8080/proofing/t5/532410-history-of-present-illness-2-6.pdf","t5/532410-history-of-present-illness-2-6.pdf")</f>
        <v>t5/532410-history-of-present-illness-2-6.pdf</v>
      </c>
      <c r="E1492">
        <v>119960</v>
      </c>
      <c r="F1492">
        <v>532410</v>
      </c>
      <c r="G1492" t="s">
        <v>9</v>
      </c>
      <c r="H1492" t="s">
        <v>13</v>
      </c>
      <c r="I1492" t="s">
        <v>50</v>
      </c>
    </row>
    <row r="1493" spans="1:9" x14ac:dyDescent="0.2">
      <c r="A1493" t="s">
        <v>1227</v>
      </c>
      <c r="D1493" t="str">
        <f>HYPERLINK("http://nlpdeep.cs.uic.edu:8080/proofing/gsii/532410-history-of-present-illness-2-6.pdf","gsii/532410-history-of-present-illness-2-6.pdf")</f>
        <v>gsii/532410-history-of-present-illness-2-6.pdf</v>
      </c>
      <c r="E1493">
        <v>119960</v>
      </c>
      <c r="F1493">
        <v>532410</v>
      </c>
      <c r="G1493" t="s">
        <v>9</v>
      </c>
      <c r="H1493" t="s">
        <v>13</v>
      </c>
      <c r="I1493" t="s">
        <v>50</v>
      </c>
    </row>
    <row r="1494" spans="1:9" x14ac:dyDescent="0.2">
      <c r="A1494" t="s">
        <v>1228</v>
      </c>
      <c r="D1494" t="str">
        <f>HYPERLINK("http://nlpdeep.cs.uic.edu:8080/proofing/t5/532410-history-of-present-illness-2-7.pdf","t5/532410-history-of-present-illness-2-7.pdf")</f>
        <v>t5/532410-history-of-present-illness-2-7.pdf</v>
      </c>
      <c r="E1494">
        <v>119960</v>
      </c>
      <c r="F1494">
        <v>532410</v>
      </c>
      <c r="G1494" t="s">
        <v>9</v>
      </c>
      <c r="H1494" t="s">
        <v>13</v>
      </c>
      <c r="I1494" t="s">
        <v>52</v>
      </c>
    </row>
    <row r="1495" spans="1:9" x14ac:dyDescent="0.2">
      <c r="A1495" t="s">
        <v>1228</v>
      </c>
      <c r="D1495" t="str">
        <f>HYPERLINK("http://nlpdeep.cs.uic.edu:8080/proofing/gsii/532410-history-of-present-illness-2-7.pdf","gsii/532410-history-of-present-illness-2-7.pdf")</f>
        <v>gsii/532410-history-of-present-illness-2-7.pdf</v>
      </c>
      <c r="E1495">
        <v>119960</v>
      </c>
      <c r="F1495">
        <v>532410</v>
      </c>
      <c r="G1495" t="s">
        <v>9</v>
      </c>
      <c r="H1495" t="s">
        <v>13</v>
      </c>
      <c r="I1495" t="s">
        <v>52</v>
      </c>
    </row>
    <row r="1496" spans="1:9" x14ac:dyDescent="0.2">
      <c r="A1496" t="s">
        <v>1229</v>
      </c>
      <c r="D1496" t="str">
        <f>HYPERLINK("http://nlpdeep.cs.uic.edu:8080/proofing/t5/532410-history-of-present-illness-2-8.pdf","t5/532410-history-of-present-illness-2-8.pdf")</f>
        <v>t5/532410-history-of-present-illness-2-8.pdf</v>
      </c>
      <c r="E1496">
        <v>119960</v>
      </c>
      <c r="F1496">
        <v>532410</v>
      </c>
      <c r="G1496" t="s">
        <v>9</v>
      </c>
      <c r="H1496" t="s">
        <v>13</v>
      </c>
      <c r="I1496" t="s">
        <v>54</v>
      </c>
    </row>
    <row r="1497" spans="1:9" x14ac:dyDescent="0.2">
      <c r="A1497" t="s">
        <v>1229</v>
      </c>
      <c r="D1497" t="str">
        <f>HYPERLINK("http://nlpdeep.cs.uic.edu:8080/proofing/gsii/532410-history-of-present-illness-2-8.pdf","gsii/532410-history-of-present-illness-2-8.pdf")</f>
        <v>gsii/532410-history-of-present-illness-2-8.pdf</v>
      </c>
      <c r="E1497">
        <v>119960</v>
      </c>
      <c r="F1497">
        <v>532410</v>
      </c>
      <c r="G1497" t="s">
        <v>9</v>
      </c>
      <c r="H1497" t="s">
        <v>13</v>
      </c>
      <c r="I1497" t="s">
        <v>54</v>
      </c>
    </row>
    <row r="1498" spans="1:9" x14ac:dyDescent="0.2">
      <c r="A1498" t="s">
        <v>1230</v>
      </c>
      <c r="D1498" t="str">
        <f>HYPERLINK("http://nlpdeep.cs.uic.edu:8080/proofing/t5/532410-history-of-present-illness-3-0.pdf","t5/532410-history-of-present-illness-3-0.pdf")</f>
        <v>t5/532410-history-of-present-illness-3-0.pdf</v>
      </c>
      <c r="E1498">
        <v>119960</v>
      </c>
      <c r="F1498">
        <v>532410</v>
      </c>
      <c r="G1498" t="s">
        <v>9</v>
      </c>
      <c r="H1498" t="s">
        <v>13</v>
      </c>
      <c r="I1498" t="s">
        <v>56</v>
      </c>
    </row>
    <row r="1499" spans="1:9" x14ac:dyDescent="0.2">
      <c r="A1499" t="s">
        <v>1230</v>
      </c>
      <c r="D1499" t="str">
        <f>HYPERLINK("http://nlpdeep.cs.uic.edu:8080/proofing/gsii/532410-history-of-present-illness-3-0.pdf","gsii/532410-history-of-present-illness-3-0.pdf")</f>
        <v>gsii/532410-history-of-present-illness-3-0.pdf</v>
      </c>
      <c r="E1499">
        <v>119960</v>
      </c>
      <c r="F1499">
        <v>532410</v>
      </c>
      <c r="G1499" t="s">
        <v>9</v>
      </c>
      <c r="H1499" t="s">
        <v>13</v>
      </c>
      <c r="I1499" t="s">
        <v>56</v>
      </c>
    </row>
    <row r="1500" spans="1:9" x14ac:dyDescent="0.2">
      <c r="A1500" t="s">
        <v>1231</v>
      </c>
      <c r="D1500" t="str">
        <f>HYPERLINK("http://nlpdeep.cs.uic.edu:8080/proofing/t5/532410-history-of-present-illness-4-0.pdf","t5/532410-history-of-present-illness-4-0.pdf")</f>
        <v>t5/532410-history-of-present-illness-4-0.pdf</v>
      </c>
      <c r="E1500">
        <v>119960</v>
      </c>
      <c r="F1500">
        <v>532410</v>
      </c>
      <c r="G1500" t="s">
        <v>9</v>
      </c>
      <c r="H1500" t="s">
        <v>13</v>
      </c>
      <c r="I1500" t="s">
        <v>58</v>
      </c>
    </row>
    <row r="1501" spans="1:9" x14ac:dyDescent="0.2">
      <c r="A1501" t="s">
        <v>1231</v>
      </c>
      <c r="D1501" t="str">
        <f>HYPERLINK("http://nlpdeep.cs.uic.edu:8080/proofing/gsii/532410-history-of-present-illness-4-0.pdf","gsii/532410-history-of-present-illness-4-0.pdf")</f>
        <v>gsii/532410-history-of-present-illness-4-0.pdf</v>
      </c>
      <c r="E1501">
        <v>119960</v>
      </c>
      <c r="F1501">
        <v>532410</v>
      </c>
      <c r="G1501" t="s">
        <v>9</v>
      </c>
      <c r="H1501" t="s">
        <v>13</v>
      </c>
      <c r="I1501" t="s">
        <v>58</v>
      </c>
    </row>
    <row r="1502" spans="1:9" x14ac:dyDescent="0.2">
      <c r="A1502" t="s">
        <v>1232</v>
      </c>
      <c r="D1502" t="str">
        <f>HYPERLINK("http://nlpdeep.cs.uic.edu:8080/proofing/t5/532410-history-of-present-illness-4-1.pdf","t5/532410-history-of-present-illness-4-1.pdf")</f>
        <v>t5/532410-history-of-present-illness-4-1.pdf</v>
      </c>
      <c r="E1502">
        <v>119960</v>
      </c>
      <c r="F1502">
        <v>532410</v>
      </c>
      <c r="G1502" t="s">
        <v>9</v>
      </c>
      <c r="H1502" t="s">
        <v>13</v>
      </c>
      <c r="I1502" t="s">
        <v>60</v>
      </c>
    </row>
    <row r="1503" spans="1:9" x14ac:dyDescent="0.2">
      <c r="A1503" t="s">
        <v>1232</v>
      </c>
      <c r="D1503" t="str">
        <f>HYPERLINK("http://nlpdeep.cs.uic.edu:8080/proofing/gsii/532410-history-of-present-illness-4-1.pdf","gsii/532410-history-of-present-illness-4-1.pdf")</f>
        <v>gsii/532410-history-of-present-illness-4-1.pdf</v>
      </c>
      <c r="E1503">
        <v>119960</v>
      </c>
      <c r="F1503">
        <v>532410</v>
      </c>
      <c r="G1503" t="s">
        <v>9</v>
      </c>
      <c r="H1503" t="s">
        <v>13</v>
      </c>
      <c r="I1503" t="s">
        <v>60</v>
      </c>
    </row>
    <row r="1504" spans="1:9" x14ac:dyDescent="0.2">
      <c r="A1504" t="s">
        <v>1233</v>
      </c>
      <c r="D1504" t="str">
        <f>HYPERLINK("http://nlpdeep.cs.uic.edu:8080/proofing/t5/532410-history-of-present-illness-4-2.pdf","t5/532410-history-of-present-illness-4-2.pdf")</f>
        <v>t5/532410-history-of-present-illness-4-2.pdf</v>
      </c>
      <c r="E1504">
        <v>119960</v>
      </c>
      <c r="F1504">
        <v>532410</v>
      </c>
      <c r="G1504" t="s">
        <v>9</v>
      </c>
      <c r="H1504" t="s">
        <v>13</v>
      </c>
      <c r="I1504" t="s">
        <v>62</v>
      </c>
    </row>
    <row r="1505" spans="1:9" x14ac:dyDescent="0.2">
      <c r="A1505" t="s">
        <v>1233</v>
      </c>
      <c r="D1505" t="str">
        <f>HYPERLINK("http://nlpdeep.cs.uic.edu:8080/proofing/gsii/532410-history-of-present-illness-4-2.pdf","gsii/532410-history-of-present-illness-4-2.pdf")</f>
        <v>gsii/532410-history-of-present-illness-4-2.pdf</v>
      </c>
      <c r="E1505">
        <v>119960</v>
      </c>
      <c r="F1505">
        <v>532410</v>
      </c>
      <c r="G1505" t="s">
        <v>9</v>
      </c>
      <c r="H1505" t="s">
        <v>13</v>
      </c>
      <c r="I1505" t="s">
        <v>62</v>
      </c>
    </row>
    <row r="1506" spans="1:9" x14ac:dyDescent="0.2">
      <c r="A1506" t="s">
        <v>1234</v>
      </c>
      <c r="D1506" t="str">
        <f>HYPERLINK("http://nlpdeep.cs.uic.edu:8080/proofing/t5/532410-allergies-0-0.pdf","t5/532410-allergies-0-0.pdf")</f>
        <v>t5/532410-allergies-0-0.pdf</v>
      </c>
      <c r="E1506">
        <v>119960</v>
      </c>
      <c r="F1506">
        <v>532410</v>
      </c>
      <c r="G1506" t="s">
        <v>9</v>
      </c>
      <c r="H1506" t="s">
        <v>64</v>
      </c>
      <c r="I1506" t="s">
        <v>65</v>
      </c>
    </row>
    <row r="1507" spans="1:9" x14ac:dyDescent="0.2">
      <c r="A1507" t="s">
        <v>1234</v>
      </c>
      <c r="D1507" t="str">
        <f>HYPERLINK("http://nlpdeep.cs.uic.edu:8080/proofing/gsii/532410-allergies-0-0.pdf","gsii/532410-allergies-0-0.pdf")</f>
        <v>gsii/532410-allergies-0-0.pdf</v>
      </c>
      <c r="E1507">
        <v>119960</v>
      </c>
      <c r="F1507">
        <v>532410</v>
      </c>
      <c r="G1507" t="s">
        <v>9</v>
      </c>
      <c r="H1507" t="s">
        <v>64</v>
      </c>
      <c r="I1507" t="s">
        <v>65</v>
      </c>
    </row>
    <row r="1508" spans="1:9" x14ac:dyDescent="0.2">
      <c r="A1508" t="s">
        <v>1235</v>
      </c>
      <c r="D1508" t="str">
        <f>HYPERLINK("http://nlpdeep.cs.uic.edu:8080/proofing/t5/532410-other-medications-0-0.pdf","t5/532410-other-medications-0-0.pdf")</f>
        <v>t5/532410-other-medications-0-0.pdf</v>
      </c>
      <c r="E1508">
        <v>119960</v>
      </c>
      <c r="F1508">
        <v>532410</v>
      </c>
      <c r="G1508" t="s">
        <v>9</v>
      </c>
      <c r="H1508" t="s">
        <v>67</v>
      </c>
      <c r="I1508" t="s">
        <v>68</v>
      </c>
    </row>
    <row r="1509" spans="1:9" x14ac:dyDescent="0.2">
      <c r="A1509" t="s">
        <v>1235</v>
      </c>
      <c r="D1509" t="str">
        <f>HYPERLINK("http://nlpdeep.cs.uic.edu:8080/proofing/gsii/532410-other-medications-0-0.pdf","gsii/532410-other-medications-0-0.pdf")</f>
        <v>gsii/532410-other-medications-0-0.pdf</v>
      </c>
      <c r="E1509">
        <v>119960</v>
      </c>
      <c r="F1509">
        <v>532410</v>
      </c>
      <c r="G1509" t="s">
        <v>9</v>
      </c>
      <c r="H1509" t="s">
        <v>67</v>
      </c>
      <c r="I1509" t="s">
        <v>68</v>
      </c>
    </row>
    <row r="1510" spans="1:9" x14ac:dyDescent="0.2">
      <c r="A1510" t="s">
        <v>1236</v>
      </c>
      <c r="D1510" t="str">
        <f>HYPERLINK("http://nlpdeep.cs.uic.edu:8080/proofing/t5/532410-other-medications-0-1.pdf","t5/532410-other-medications-0-1.pdf")</f>
        <v>t5/532410-other-medications-0-1.pdf</v>
      </c>
      <c r="E1510">
        <v>119960</v>
      </c>
      <c r="F1510">
        <v>532410</v>
      </c>
      <c r="G1510" t="s">
        <v>9</v>
      </c>
      <c r="H1510" t="s">
        <v>67</v>
      </c>
      <c r="I1510" t="s">
        <v>70</v>
      </c>
    </row>
    <row r="1511" spans="1:9" x14ac:dyDescent="0.2">
      <c r="A1511" t="s">
        <v>1236</v>
      </c>
      <c r="D1511" t="str">
        <f>HYPERLINK("http://nlpdeep.cs.uic.edu:8080/proofing/gsii/532410-other-medications-0-1.pdf","gsii/532410-other-medications-0-1.pdf")</f>
        <v>gsii/532410-other-medications-0-1.pdf</v>
      </c>
      <c r="E1511">
        <v>119960</v>
      </c>
      <c r="F1511">
        <v>532410</v>
      </c>
      <c r="G1511" t="s">
        <v>9</v>
      </c>
      <c r="H1511" t="s">
        <v>67</v>
      </c>
      <c r="I1511" t="s">
        <v>70</v>
      </c>
    </row>
    <row r="1512" spans="1:9" x14ac:dyDescent="0.2">
      <c r="A1512" t="s">
        <v>1237</v>
      </c>
      <c r="D1512" t="str">
        <f>HYPERLINK("http://nlpdeep.cs.uic.edu:8080/proofing/t5/532410-other-medications-0-2.pdf","t5/532410-other-medications-0-2.pdf")</f>
        <v>t5/532410-other-medications-0-2.pdf</v>
      </c>
      <c r="E1512">
        <v>119960</v>
      </c>
      <c r="F1512">
        <v>532410</v>
      </c>
      <c r="G1512" t="s">
        <v>9</v>
      </c>
      <c r="H1512" t="s">
        <v>67</v>
      </c>
      <c r="I1512" t="s">
        <v>72</v>
      </c>
    </row>
    <row r="1513" spans="1:9" x14ac:dyDescent="0.2">
      <c r="A1513" t="s">
        <v>1237</v>
      </c>
      <c r="D1513" t="str">
        <f>HYPERLINK("http://nlpdeep.cs.uic.edu:8080/proofing/gsii/532410-other-medications-0-2.pdf","gsii/532410-other-medications-0-2.pdf")</f>
        <v>gsii/532410-other-medications-0-2.pdf</v>
      </c>
      <c r="E1513">
        <v>119960</v>
      </c>
      <c r="F1513">
        <v>532410</v>
      </c>
      <c r="G1513" t="s">
        <v>9</v>
      </c>
      <c r="H1513" t="s">
        <v>67</v>
      </c>
      <c r="I1513" t="s">
        <v>72</v>
      </c>
    </row>
    <row r="1514" spans="1:9" x14ac:dyDescent="0.2">
      <c r="A1514" t="s">
        <v>1238</v>
      </c>
      <c r="D1514" t="str">
        <f>HYPERLINK("http://nlpdeep.cs.uic.edu:8080/proofing/t5/532410-other-medications-0-3.pdf","t5/532410-other-medications-0-3.pdf")</f>
        <v>t5/532410-other-medications-0-3.pdf</v>
      </c>
      <c r="E1514">
        <v>119960</v>
      </c>
      <c r="F1514">
        <v>532410</v>
      </c>
      <c r="G1514" t="s">
        <v>9</v>
      </c>
      <c r="H1514" t="s">
        <v>67</v>
      </c>
      <c r="I1514" t="s">
        <v>74</v>
      </c>
    </row>
    <row r="1515" spans="1:9" x14ac:dyDescent="0.2">
      <c r="A1515" t="s">
        <v>1238</v>
      </c>
      <c r="D1515" t="str">
        <f>HYPERLINK("http://nlpdeep.cs.uic.edu:8080/proofing/gsii/532410-other-medications-0-3.pdf","gsii/532410-other-medications-0-3.pdf")</f>
        <v>gsii/532410-other-medications-0-3.pdf</v>
      </c>
      <c r="E1515">
        <v>119960</v>
      </c>
      <c r="F1515">
        <v>532410</v>
      </c>
      <c r="G1515" t="s">
        <v>9</v>
      </c>
      <c r="H1515" t="s">
        <v>67</v>
      </c>
      <c r="I1515" t="s">
        <v>74</v>
      </c>
    </row>
    <row r="1516" spans="1:9" x14ac:dyDescent="0.2">
      <c r="A1516" t="s">
        <v>1239</v>
      </c>
      <c r="D1516" t="str">
        <f>HYPERLINK("http://nlpdeep.cs.uic.edu:8080/proofing/t5/532410-past-medical-history-0-0.pdf","t5/532410-past-medical-history-0-0.pdf")</f>
        <v>t5/532410-past-medical-history-0-0.pdf</v>
      </c>
      <c r="E1516">
        <v>119960</v>
      </c>
      <c r="F1516">
        <v>532410</v>
      </c>
      <c r="G1516" t="s">
        <v>9</v>
      </c>
      <c r="H1516" t="s">
        <v>76</v>
      </c>
      <c r="I1516" t="s">
        <v>77</v>
      </c>
    </row>
    <row r="1517" spans="1:9" x14ac:dyDescent="0.2">
      <c r="A1517" t="s">
        <v>1239</v>
      </c>
      <c r="D1517" t="str">
        <f>HYPERLINK("http://nlpdeep.cs.uic.edu:8080/proofing/gsii/532410-past-medical-history-0-0.pdf","gsii/532410-past-medical-history-0-0.pdf")</f>
        <v>gsii/532410-past-medical-history-0-0.pdf</v>
      </c>
      <c r="E1517">
        <v>119960</v>
      </c>
      <c r="F1517">
        <v>532410</v>
      </c>
      <c r="G1517" t="s">
        <v>9</v>
      </c>
      <c r="H1517" t="s">
        <v>76</v>
      </c>
      <c r="I1517" t="s">
        <v>77</v>
      </c>
    </row>
    <row r="1518" spans="1:9" x14ac:dyDescent="0.2">
      <c r="A1518" t="s">
        <v>1240</v>
      </c>
      <c r="D1518" t="str">
        <f>HYPERLINK("http://nlpdeep.cs.uic.edu:8080/proofing/t5/532410-past-medical-history-0-1.pdf","t5/532410-past-medical-history-0-1.pdf")</f>
        <v>t5/532410-past-medical-history-0-1.pdf</v>
      </c>
      <c r="E1518">
        <v>119960</v>
      </c>
      <c r="F1518">
        <v>532410</v>
      </c>
      <c r="G1518" t="s">
        <v>9</v>
      </c>
      <c r="H1518" t="s">
        <v>76</v>
      </c>
      <c r="I1518" t="s">
        <v>79</v>
      </c>
    </row>
    <row r="1519" spans="1:9" x14ac:dyDescent="0.2">
      <c r="A1519" t="s">
        <v>1240</v>
      </c>
      <c r="D1519" t="str">
        <f>HYPERLINK("http://nlpdeep.cs.uic.edu:8080/proofing/gsii/532410-past-medical-history-0-1.pdf","gsii/532410-past-medical-history-0-1.pdf")</f>
        <v>gsii/532410-past-medical-history-0-1.pdf</v>
      </c>
      <c r="E1519">
        <v>119960</v>
      </c>
      <c r="F1519">
        <v>532410</v>
      </c>
      <c r="G1519" t="s">
        <v>9</v>
      </c>
      <c r="H1519" t="s">
        <v>76</v>
      </c>
      <c r="I1519" t="s">
        <v>79</v>
      </c>
    </row>
    <row r="1520" spans="1:9" x14ac:dyDescent="0.2">
      <c r="A1520" t="s">
        <v>1241</v>
      </c>
      <c r="D1520" t="str">
        <f>HYPERLINK("http://nlpdeep.cs.uic.edu:8080/proofing/t5/532410-past-medical-history-0-2.pdf","t5/532410-past-medical-history-0-2.pdf")</f>
        <v>t5/532410-past-medical-history-0-2.pdf</v>
      </c>
      <c r="E1520">
        <v>119960</v>
      </c>
      <c r="F1520">
        <v>532410</v>
      </c>
      <c r="G1520" t="s">
        <v>9</v>
      </c>
      <c r="H1520" t="s">
        <v>76</v>
      </c>
      <c r="I1520" t="s">
        <v>81</v>
      </c>
    </row>
    <row r="1521" spans="1:9" x14ac:dyDescent="0.2">
      <c r="A1521" t="s">
        <v>1241</v>
      </c>
      <c r="D1521" t="str">
        <f>HYPERLINK("http://nlpdeep.cs.uic.edu:8080/proofing/gsii/532410-past-medical-history-0-2.pdf","gsii/532410-past-medical-history-0-2.pdf")</f>
        <v>gsii/532410-past-medical-history-0-2.pdf</v>
      </c>
      <c r="E1521">
        <v>119960</v>
      </c>
      <c r="F1521">
        <v>532410</v>
      </c>
      <c r="G1521" t="s">
        <v>9</v>
      </c>
      <c r="H1521" t="s">
        <v>76</v>
      </c>
      <c r="I1521" t="s">
        <v>81</v>
      </c>
    </row>
    <row r="1522" spans="1:9" x14ac:dyDescent="0.2">
      <c r="A1522" t="s">
        <v>1242</v>
      </c>
      <c r="D1522" t="str">
        <f>HYPERLINK("http://nlpdeep.cs.uic.edu:8080/proofing/t5/532410-past-medical-history-0-3.pdf","t5/532410-past-medical-history-0-3.pdf")</f>
        <v>t5/532410-past-medical-history-0-3.pdf</v>
      </c>
      <c r="E1522">
        <v>119960</v>
      </c>
      <c r="F1522">
        <v>532410</v>
      </c>
      <c r="G1522" t="s">
        <v>9</v>
      </c>
      <c r="H1522" t="s">
        <v>76</v>
      </c>
      <c r="I1522" t="s">
        <v>83</v>
      </c>
    </row>
    <row r="1523" spans="1:9" x14ac:dyDescent="0.2">
      <c r="A1523" t="s">
        <v>1242</v>
      </c>
      <c r="D1523" t="str">
        <f>HYPERLINK("http://nlpdeep.cs.uic.edu:8080/proofing/gsii/532410-past-medical-history-0-3.pdf","gsii/532410-past-medical-history-0-3.pdf")</f>
        <v>gsii/532410-past-medical-history-0-3.pdf</v>
      </c>
      <c r="E1523">
        <v>119960</v>
      </c>
      <c r="F1523">
        <v>532410</v>
      </c>
      <c r="G1523" t="s">
        <v>9</v>
      </c>
      <c r="H1523" t="s">
        <v>76</v>
      </c>
      <c r="I1523" t="s">
        <v>83</v>
      </c>
    </row>
    <row r="1524" spans="1:9" x14ac:dyDescent="0.2">
      <c r="A1524" t="s">
        <v>1243</v>
      </c>
      <c r="D1524" t="str">
        <f>HYPERLINK("http://nlpdeep.cs.uic.edu:8080/proofing/t5/532410-past-medical-history-0-4.pdf","t5/532410-past-medical-history-0-4.pdf")</f>
        <v>t5/532410-past-medical-history-0-4.pdf</v>
      </c>
      <c r="E1524">
        <v>119960</v>
      </c>
      <c r="F1524">
        <v>532410</v>
      </c>
      <c r="G1524" t="s">
        <v>9</v>
      </c>
      <c r="H1524" t="s">
        <v>76</v>
      </c>
      <c r="I1524" t="s">
        <v>85</v>
      </c>
    </row>
    <row r="1525" spans="1:9" x14ac:dyDescent="0.2">
      <c r="A1525" t="s">
        <v>1243</v>
      </c>
      <c r="D1525" t="str">
        <f>HYPERLINK("http://nlpdeep.cs.uic.edu:8080/proofing/gsii/532410-past-medical-history-0-4.pdf","gsii/532410-past-medical-history-0-4.pdf")</f>
        <v>gsii/532410-past-medical-history-0-4.pdf</v>
      </c>
      <c r="E1525">
        <v>119960</v>
      </c>
      <c r="F1525">
        <v>532410</v>
      </c>
      <c r="G1525" t="s">
        <v>9</v>
      </c>
      <c r="H1525" t="s">
        <v>76</v>
      </c>
      <c r="I1525" t="s">
        <v>85</v>
      </c>
    </row>
    <row r="1526" spans="1:9" x14ac:dyDescent="0.2">
      <c r="A1526" t="s">
        <v>1244</v>
      </c>
      <c r="D1526" t="str">
        <f>HYPERLINK("http://nlpdeep.cs.uic.edu:8080/proofing/t5/532410-past-medical-history-0-5.pdf","t5/532410-past-medical-history-0-5.pdf")</f>
        <v>t5/532410-past-medical-history-0-5.pdf</v>
      </c>
      <c r="E1526">
        <v>119960</v>
      </c>
      <c r="F1526">
        <v>532410</v>
      </c>
      <c r="G1526" t="s">
        <v>9</v>
      </c>
      <c r="H1526" t="s">
        <v>76</v>
      </c>
    </row>
    <row r="1527" spans="1:9" x14ac:dyDescent="0.2">
      <c r="A1527" t="s">
        <v>1244</v>
      </c>
      <c r="D1527" t="str">
        <f>HYPERLINK("http://nlpdeep.cs.uic.edu:8080/proofing/gsii/532410-past-medical-history-0-5.pdf","gsii/532410-past-medical-history-0-5.pdf")</f>
        <v>gsii/532410-past-medical-history-0-5.pdf</v>
      </c>
      <c r="E1527">
        <v>119960</v>
      </c>
      <c r="F1527">
        <v>532410</v>
      </c>
      <c r="G1527" t="s">
        <v>9</v>
      </c>
      <c r="H1527" t="s">
        <v>76</v>
      </c>
    </row>
    <row r="1528" spans="1:9" x14ac:dyDescent="0.2">
      <c r="A1528" t="s">
        <v>1245</v>
      </c>
      <c r="D1528" t="str">
        <f>HYPERLINK("http://nlpdeep.cs.uic.edu:8080/proofing/t5/532410-past-medical-history-1-0.pdf","t5/532410-past-medical-history-1-0.pdf")</f>
        <v>t5/532410-past-medical-history-1-0.pdf</v>
      </c>
      <c r="E1528">
        <v>119960</v>
      </c>
      <c r="F1528">
        <v>532410</v>
      </c>
      <c r="G1528" t="s">
        <v>9</v>
      </c>
      <c r="H1528" t="s">
        <v>76</v>
      </c>
    </row>
    <row r="1529" spans="1:9" x14ac:dyDescent="0.2">
      <c r="A1529" t="s">
        <v>1245</v>
      </c>
      <c r="D1529" t="str">
        <f>HYPERLINK("http://nlpdeep.cs.uic.edu:8080/proofing/gsii/532410-past-medical-history-1-0.pdf","gsii/532410-past-medical-history-1-0.pdf")</f>
        <v>gsii/532410-past-medical-history-1-0.pdf</v>
      </c>
      <c r="E1529">
        <v>119960</v>
      </c>
      <c r="F1529">
        <v>532410</v>
      </c>
      <c r="G1529" t="s">
        <v>9</v>
      </c>
      <c r="H1529" t="s">
        <v>76</v>
      </c>
    </row>
    <row r="1530" spans="1:9" x14ac:dyDescent="0.2">
      <c r="A1530" t="s">
        <v>1246</v>
      </c>
      <c r="D1530" t="str">
        <f>HYPERLINK("http://nlpdeep.cs.uic.edu:8080/proofing/t5/532410-past-medical-history-2-0.pdf","t5/532410-past-medical-history-2-0.pdf")</f>
        <v>t5/532410-past-medical-history-2-0.pdf</v>
      </c>
      <c r="E1530">
        <v>119960</v>
      </c>
      <c r="F1530">
        <v>532410</v>
      </c>
      <c r="G1530" t="s">
        <v>9</v>
      </c>
      <c r="H1530" t="s">
        <v>76</v>
      </c>
      <c r="I1530" t="s">
        <v>89</v>
      </c>
    </row>
    <row r="1531" spans="1:9" x14ac:dyDescent="0.2">
      <c r="A1531" t="s">
        <v>1246</v>
      </c>
      <c r="D1531" t="str">
        <f>HYPERLINK("http://nlpdeep.cs.uic.edu:8080/proofing/gsii/532410-past-medical-history-2-0.pdf","gsii/532410-past-medical-history-2-0.pdf")</f>
        <v>gsii/532410-past-medical-history-2-0.pdf</v>
      </c>
      <c r="E1531">
        <v>119960</v>
      </c>
      <c r="F1531">
        <v>532410</v>
      </c>
      <c r="G1531" t="s">
        <v>9</v>
      </c>
      <c r="H1531" t="s">
        <v>76</v>
      </c>
      <c r="I1531" t="s">
        <v>89</v>
      </c>
    </row>
    <row r="1532" spans="1:9" x14ac:dyDescent="0.2">
      <c r="A1532" t="s">
        <v>1247</v>
      </c>
      <c r="D1532" t="str">
        <f>HYPERLINK("http://nlpdeep.cs.uic.edu:8080/proofing/t5/532410-past-medical-history-2-1.pdf","t5/532410-past-medical-history-2-1.pdf")</f>
        <v>t5/532410-past-medical-history-2-1.pdf</v>
      </c>
      <c r="E1532">
        <v>119960</v>
      </c>
      <c r="F1532">
        <v>532410</v>
      </c>
      <c r="G1532" t="s">
        <v>9</v>
      </c>
      <c r="H1532" t="s">
        <v>76</v>
      </c>
    </row>
    <row r="1533" spans="1:9" x14ac:dyDescent="0.2">
      <c r="A1533" t="s">
        <v>1247</v>
      </c>
      <c r="D1533" t="str">
        <f>HYPERLINK("http://nlpdeep.cs.uic.edu:8080/proofing/gsii/532410-past-medical-history-2-1.pdf","gsii/532410-past-medical-history-2-1.pdf")</f>
        <v>gsii/532410-past-medical-history-2-1.pdf</v>
      </c>
      <c r="E1533">
        <v>119960</v>
      </c>
      <c r="F1533">
        <v>532410</v>
      </c>
      <c r="G1533" t="s">
        <v>9</v>
      </c>
      <c r="H1533" t="s">
        <v>76</v>
      </c>
    </row>
    <row r="1534" spans="1:9" x14ac:dyDescent="0.2">
      <c r="A1534" t="s">
        <v>1248</v>
      </c>
      <c r="D1534" t="str">
        <f>HYPERLINK("http://nlpdeep.cs.uic.edu:8080/proofing/t5/532410-past-medical-history-3-0.pdf","t5/532410-past-medical-history-3-0.pdf")</f>
        <v>t5/532410-past-medical-history-3-0.pdf</v>
      </c>
      <c r="E1534">
        <v>119960</v>
      </c>
      <c r="F1534">
        <v>532410</v>
      </c>
      <c r="G1534" t="s">
        <v>9</v>
      </c>
      <c r="H1534" t="s">
        <v>76</v>
      </c>
    </row>
    <row r="1535" spans="1:9" x14ac:dyDescent="0.2">
      <c r="A1535" t="s">
        <v>1248</v>
      </c>
      <c r="D1535" t="str">
        <f>HYPERLINK("http://nlpdeep.cs.uic.edu:8080/proofing/gsii/532410-past-medical-history-3-0.pdf","gsii/532410-past-medical-history-3-0.pdf")</f>
        <v>gsii/532410-past-medical-history-3-0.pdf</v>
      </c>
      <c r="E1535">
        <v>119960</v>
      </c>
      <c r="F1535">
        <v>532410</v>
      </c>
      <c r="G1535" t="s">
        <v>9</v>
      </c>
      <c r="H1535" t="s">
        <v>76</v>
      </c>
    </row>
    <row r="1536" spans="1:9" x14ac:dyDescent="0.2">
      <c r="A1536" t="s">
        <v>1249</v>
      </c>
      <c r="D1536" t="str">
        <f>HYPERLINK("http://nlpdeep.cs.uic.edu:8080/proofing/t5/532410-past-medical-history-4-0.pdf","t5/532410-past-medical-history-4-0.pdf")</f>
        <v>t5/532410-past-medical-history-4-0.pdf</v>
      </c>
      <c r="E1536">
        <v>119960</v>
      </c>
      <c r="F1536">
        <v>532410</v>
      </c>
      <c r="G1536" t="s">
        <v>9</v>
      </c>
      <c r="H1536" t="s">
        <v>76</v>
      </c>
      <c r="I1536" t="s">
        <v>93</v>
      </c>
    </row>
    <row r="1537" spans="1:9" x14ac:dyDescent="0.2">
      <c r="A1537" t="s">
        <v>1249</v>
      </c>
      <c r="D1537" t="str">
        <f>HYPERLINK("http://nlpdeep.cs.uic.edu:8080/proofing/gsii/532410-past-medical-history-4-0.pdf","gsii/532410-past-medical-history-4-0.pdf")</f>
        <v>gsii/532410-past-medical-history-4-0.pdf</v>
      </c>
      <c r="E1537">
        <v>119960</v>
      </c>
      <c r="F1537">
        <v>532410</v>
      </c>
      <c r="G1537" t="s">
        <v>9</v>
      </c>
      <c r="H1537" t="s">
        <v>76</v>
      </c>
      <c r="I1537" t="s">
        <v>93</v>
      </c>
    </row>
    <row r="1538" spans="1:9" x14ac:dyDescent="0.2">
      <c r="A1538" t="s">
        <v>1250</v>
      </c>
      <c r="D1538" t="str">
        <f>HYPERLINK("http://nlpdeep.cs.uic.edu:8080/proofing/t5/532410-past-medical-history-4-1.pdf","t5/532410-past-medical-history-4-1.pdf")</f>
        <v>t5/532410-past-medical-history-4-1.pdf</v>
      </c>
      <c r="E1538">
        <v>119960</v>
      </c>
      <c r="F1538">
        <v>532410</v>
      </c>
      <c r="G1538" t="s">
        <v>9</v>
      </c>
      <c r="H1538" t="s">
        <v>76</v>
      </c>
      <c r="I1538" t="s">
        <v>95</v>
      </c>
    </row>
    <row r="1539" spans="1:9" x14ac:dyDescent="0.2">
      <c r="A1539" t="s">
        <v>1250</v>
      </c>
      <c r="D1539" t="str">
        <f>HYPERLINK("http://nlpdeep.cs.uic.edu:8080/proofing/gsii/532410-past-medical-history-4-1.pdf","gsii/532410-past-medical-history-4-1.pdf")</f>
        <v>gsii/532410-past-medical-history-4-1.pdf</v>
      </c>
      <c r="E1539">
        <v>119960</v>
      </c>
      <c r="F1539">
        <v>532410</v>
      </c>
      <c r="G1539" t="s">
        <v>9</v>
      </c>
      <c r="H1539" t="s">
        <v>76</v>
      </c>
      <c r="I1539" t="s">
        <v>95</v>
      </c>
    </row>
    <row r="1540" spans="1:9" x14ac:dyDescent="0.2">
      <c r="A1540" t="s">
        <v>1251</v>
      </c>
      <c r="D1540" t="str">
        <f>HYPERLINK("http://nlpdeep.cs.uic.edu:8080/proofing/t5/532410-past-medical-history-4-2.pdf","t5/532410-past-medical-history-4-2.pdf")</f>
        <v>t5/532410-past-medical-history-4-2.pdf</v>
      </c>
      <c r="E1540">
        <v>119960</v>
      </c>
      <c r="F1540">
        <v>532410</v>
      </c>
      <c r="G1540" t="s">
        <v>9</v>
      </c>
      <c r="H1540" t="s">
        <v>76</v>
      </c>
      <c r="I1540" t="s">
        <v>97</v>
      </c>
    </row>
    <row r="1541" spans="1:9" x14ac:dyDescent="0.2">
      <c r="A1541" t="s">
        <v>1251</v>
      </c>
      <c r="D1541" t="str">
        <f>HYPERLINK("http://nlpdeep.cs.uic.edu:8080/proofing/gsii/532410-past-medical-history-4-2.pdf","gsii/532410-past-medical-history-4-2.pdf")</f>
        <v>gsii/532410-past-medical-history-4-2.pdf</v>
      </c>
      <c r="E1541">
        <v>119960</v>
      </c>
      <c r="F1541">
        <v>532410</v>
      </c>
      <c r="G1541" t="s">
        <v>9</v>
      </c>
      <c r="H1541" t="s">
        <v>76</v>
      </c>
      <c r="I1541" t="s">
        <v>97</v>
      </c>
    </row>
    <row r="1542" spans="1:9" x14ac:dyDescent="0.2">
      <c r="A1542" t="s">
        <v>1252</v>
      </c>
      <c r="D1542" t="str">
        <f>HYPERLINK("http://nlpdeep.cs.uic.edu:8080/proofing/t5/532410-past-medical-history-4-3.pdf","t5/532410-past-medical-history-4-3.pdf")</f>
        <v>t5/532410-past-medical-history-4-3.pdf</v>
      </c>
      <c r="E1542">
        <v>119960</v>
      </c>
      <c r="F1542">
        <v>532410</v>
      </c>
      <c r="G1542" t="s">
        <v>9</v>
      </c>
      <c r="H1542" t="s">
        <v>76</v>
      </c>
      <c r="I1542" t="s">
        <v>99</v>
      </c>
    </row>
    <row r="1543" spans="1:9" x14ac:dyDescent="0.2">
      <c r="A1543" t="s">
        <v>1252</v>
      </c>
      <c r="D1543" t="str">
        <f>HYPERLINK("http://nlpdeep.cs.uic.edu:8080/proofing/gsii/532410-past-medical-history-4-3.pdf","gsii/532410-past-medical-history-4-3.pdf")</f>
        <v>gsii/532410-past-medical-history-4-3.pdf</v>
      </c>
      <c r="E1543">
        <v>119960</v>
      </c>
      <c r="F1543">
        <v>532410</v>
      </c>
      <c r="G1543" t="s">
        <v>9</v>
      </c>
      <c r="H1543" t="s">
        <v>76</v>
      </c>
      <c r="I1543" t="s">
        <v>99</v>
      </c>
    </row>
    <row r="1544" spans="1:9" x14ac:dyDescent="0.2">
      <c r="A1544" t="s">
        <v>1253</v>
      </c>
      <c r="D1544" t="str">
        <f>HYPERLINK("http://nlpdeep.cs.uic.edu:8080/proofing/t5/532410-past-medical-history-4-4.pdf","t5/532410-past-medical-history-4-4.pdf")</f>
        <v>t5/532410-past-medical-history-4-4.pdf</v>
      </c>
      <c r="E1544">
        <v>119960</v>
      </c>
      <c r="F1544">
        <v>532410</v>
      </c>
      <c r="G1544" t="s">
        <v>9</v>
      </c>
      <c r="H1544" t="s">
        <v>76</v>
      </c>
      <c r="I1544" t="s">
        <v>101</v>
      </c>
    </row>
    <row r="1545" spans="1:9" x14ac:dyDescent="0.2">
      <c r="A1545" t="s">
        <v>1253</v>
      </c>
      <c r="D1545" t="str">
        <f>HYPERLINK("http://nlpdeep.cs.uic.edu:8080/proofing/gsii/532410-past-medical-history-4-4.pdf","gsii/532410-past-medical-history-4-4.pdf")</f>
        <v>gsii/532410-past-medical-history-4-4.pdf</v>
      </c>
      <c r="E1545">
        <v>119960</v>
      </c>
      <c r="F1545">
        <v>532410</v>
      </c>
      <c r="G1545" t="s">
        <v>9</v>
      </c>
      <c r="H1545" t="s">
        <v>76</v>
      </c>
      <c r="I1545" t="s">
        <v>101</v>
      </c>
    </row>
    <row r="1546" spans="1:9" x14ac:dyDescent="0.2">
      <c r="A1546" t="s">
        <v>1254</v>
      </c>
      <c r="D1546" t="str">
        <f>HYPERLINK("http://nlpdeep.cs.uic.edu:8080/proofing/t5/532410-past-medical-history-4-5.pdf","t5/532410-past-medical-history-4-5.pdf")</f>
        <v>t5/532410-past-medical-history-4-5.pdf</v>
      </c>
      <c r="E1546">
        <v>119960</v>
      </c>
      <c r="F1546">
        <v>532410</v>
      </c>
      <c r="G1546" t="s">
        <v>9</v>
      </c>
      <c r="H1546" t="s">
        <v>76</v>
      </c>
      <c r="I1546" t="s">
        <v>103</v>
      </c>
    </row>
    <row r="1547" spans="1:9" x14ac:dyDescent="0.2">
      <c r="A1547" t="s">
        <v>1254</v>
      </c>
      <c r="D1547" t="str">
        <f>HYPERLINK("http://nlpdeep.cs.uic.edu:8080/proofing/gsii/532410-past-medical-history-4-5.pdf","gsii/532410-past-medical-history-4-5.pdf")</f>
        <v>gsii/532410-past-medical-history-4-5.pdf</v>
      </c>
      <c r="E1547">
        <v>119960</v>
      </c>
      <c r="F1547">
        <v>532410</v>
      </c>
      <c r="G1547" t="s">
        <v>9</v>
      </c>
      <c r="H1547" t="s">
        <v>76</v>
      </c>
      <c r="I1547" t="s">
        <v>103</v>
      </c>
    </row>
    <row r="1548" spans="1:9" x14ac:dyDescent="0.2">
      <c r="A1548" t="s">
        <v>1255</v>
      </c>
      <c r="D1548" t="str">
        <f>HYPERLINK("http://nlpdeep.cs.uic.edu:8080/proofing/t5/532410-past-medical-history-4-6.pdf","t5/532410-past-medical-history-4-6.pdf")</f>
        <v>t5/532410-past-medical-history-4-6.pdf</v>
      </c>
      <c r="E1548">
        <v>119960</v>
      </c>
      <c r="F1548">
        <v>532410</v>
      </c>
      <c r="G1548" t="s">
        <v>9</v>
      </c>
      <c r="H1548" t="s">
        <v>76</v>
      </c>
      <c r="I1548" t="s">
        <v>105</v>
      </c>
    </row>
    <row r="1549" spans="1:9" x14ac:dyDescent="0.2">
      <c r="A1549" t="s">
        <v>1255</v>
      </c>
      <c r="D1549" t="str">
        <f>HYPERLINK("http://nlpdeep.cs.uic.edu:8080/proofing/gsii/532410-past-medical-history-4-6.pdf","gsii/532410-past-medical-history-4-6.pdf")</f>
        <v>gsii/532410-past-medical-history-4-6.pdf</v>
      </c>
      <c r="E1549">
        <v>119960</v>
      </c>
      <c r="F1549">
        <v>532410</v>
      </c>
      <c r="G1549" t="s">
        <v>9</v>
      </c>
      <c r="H1549" t="s">
        <v>76</v>
      </c>
      <c r="I1549" t="s">
        <v>105</v>
      </c>
    </row>
    <row r="1550" spans="1:9" x14ac:dyDescent="0.2">
      <c r="A1550" t="s">
        <v>1256</v>
      </c>
      <c r="D1550" t="str">
        <f>HYPERLINK("http://nlpdeep.cs.uic.edu:8080/proofing/t5/532410-family-history-0-0.pdf","t5/532410-family-history-0-0.pdf")</f>
        <v>t5/532410-family-history-0-0.pdf</v>
      </c>
      <c r="E1550">
        <v>119960</v>
      </c>
      <c r="F1550">
        <v>532410</v>
      </c>
      <c r="G1550" t="s">
        <v>9</v>
      </c>
      <c r="H1550" t="s">
        <v>107</v>
      </c>
      <c r="I1550" t="s">
        <v>108</v>
      </c>
    </row>
    <row r="1551" spans="1:9" x14ac:dyDescent="0.2">
      <c r="A1551" t="s">
        <v>1256</v>
      </c>
      <c r="D1551" t="str">
        <f>HYPERLINK("http://nlpdeep.cs.uic.edu:8080/proofing/gsii/532410-family-history-0-0.pdf","gsii/532410-family-history-0-0.pdf")</f>
        <v>gsii/532410-family-history-0-0.pdf</v>
      </c>
      <c r="E1551">
        <v>119960</v>
      </c>
      <c r="F1551">
        <v>532410</v>
      </c>
      <c r="G1551" t="s">
        <v>9</v>
      </c>
      <c r="H1551" t="s">
        <v>107</v>
      </c>
      <c r="I1551" t="s">
        <v>108</v>
      </c>
    </row>
    <row r="1552" spans="1:9" x14ac:dyDescent="0.2">
      <c r="A1552" t="s">
        <v>1257</v>
      </c>
      <c r="D1552" t="str">
        <f>HYPERLINK("http://nlpdeep.cs.uic.edu:8080/proofing/t5/532410-family-history-0-1.pdf","t5/532410-family-history-0-1.pdf")</f>
        <v>t5/532410-family-history-0-1.pdf</v>
      </c>
      <c r="E1552">
        <v>119960</v>
      </c>
      <c r="F1552">
        <v>532410</v>
      </c>
      <c r="G1552" t="s">
        <v>9</v>
      </c>
      <c r="H1552" t="s">
        <v>107</v>
      </c>
      <c r="I1552" t="s">
        <v>110</v>
      </c>
    </row>
    <row r="1553" spans="1:9" x14ac:dyDescent="0.2">
      <c r="A1553" t="s">
        <v>1257</v>
      </c>
      <c r="D1553" t="str">
        <f>HYPERLINK("http://nlpdeep.cs.uic.edu:8080/proofing/gsii/532410-family-history-0-1.pdf","gsii/532410-family-history-0-1.pdf")</f>
        <v>gsii/532410-family-history-0-1.pdf</v>
      </c>
      <c r="E1553">
        <v>119960</v>
      </c>
      <c r="F1553">
        <v>532410</v>
      </c>
      <c r="G1553" t="s">
        <v>9</v>
      </c>
      <c r="H1553" t="s">
        <v>107</v>
      </c>
      <c r="I1553" t="s">
        <v>110</v>
      </c>
    </row>
    <row r="1554" spans="1:9" x14ac:dyDescent="0.2">
      <c r="A1554" t="s">
        <v>1258</v>
      </c>
      <c r="D1554" t="str">
        <f>HYPERLINK("http://nlpdeep.cs.uic.edu:8080/proofing/t5/532410-family-history-0-2.pdf","t5/532410-family-history-0-2.pdf")</f>
        <v>t5/532410-family-history-0-2.pdf</v>
      </c>
      <c r="E1554">
        <v>119960</v>
      </c>
      <c r="F1554">
        <v>532410</v>
      </c>
      <c r="G1554" t="s">
        <v>9</v>
      </c>
      <c r="H1554" t="s">
        <v>107</v>
      </c>
      <c r="I1554" t="s">
        <v>112</v>
      </c>
    </row>
    <row r="1555" spans="1:9" x14ac:dyDescent="0.2">
      <c r="A1555" t="s">
        <v>1258</v>
      </c>
      <c r="D1555" t="str">
        <f>HYPERLINK("http://nlpdeep.cs.uic.edu:8080/proofing/gsii/532410-family-history-0-2.pdf","gsii/532410-family-history-0-2.pdf")</f>
        <v>gsii/532410-family-history-0-2.pdf</v>
      </c>
      <c r="E1555">
        <v>119960</v>
      </c>
      <c r="F1555">
        <v>532410</v>
      </c>
      <c r="G1555" t="s">
        <v>9</v>
      </c>
      <c r="H1555" t="s">
        <v>107</v>
      </c>
      <c r="I1555" t="s">
        <v>112</v>
      </c>
    </row>
    <row r="1556" spans="1:9" x14ac:dyDescent="0.2">
      <c r="A1556" t="s">
        <v>1259</v>
      </c>
      <c r="D1556" t="str">
        <f>HYPERLINK("http://nlpdeep.cs.uic.edu:8080/proofing/t5/532410-family-history-0-3.pdf","t5/532410-family-history-0-3.pdf")</f>
        <v>t5/532410-family-history-0-3.pdf</v>
      </c>
      <c r="E1556">
        <v>119960</v>
      </c>
      <c r="F1556">
        <v>532410</v>
      </c>
      <c r="G1556" t="s">
        <v>9</v>
      </c>
      <c r="H1556" t="s">
        <v>107</v>
      </c>
      <c r="I1556" t="s">
        <v>114</v>
      </c>
    </row>
    <row r="1557" spans="1:9" x14ac:dyDescent="0.2">
      <c r="A1557" t="s">
        <v>1259</v>
      </c>
      <c r="D1557" t="str">
        <f>HYPERLINK("http://nlpdeep.cs.uic.edu:8080/proofing/gsii/532410-family-history-0-3.pdf","gsii/532410-family-history-0-3.pdf")</f>
        <v>gsii/532410-family-history-0-3.pdf</v>
      </c>
      <c r="E1557">
        <v>119960</v>
      </c>
      <c r="F1557">
        <v>532410</v>
      </c>
      <c r="G1557" t="s">
        <v>9</v>
      </c>
      <c r="H1557" t="s">
        <v>107</v>
      </c>
      <c r="I1557" t="s">
        <v>114</v>
      </c>
    </row>
    <row r="1558" spans="1:9" x14ac:dyDescent="0.2">
      <c r="A1558" t="s">
        <v>1260</v>
      </c>
      <c r="D1558" t="str">
        <f>HYPERLINK("http://nlpdeep.cs.uic.edu:8080/proofing/t5/532410-family-history-0-4.pdf","t5/532410-family-history-0-4.pdf")</f>
        <v>t5/532410-family-history-0-4.pdf</v>
      </c>
      <c r="E1558">
        <v>119960</v>
      </c>
      <c r="F1558">
        <v>532410</v>
      </c>
      <c r="G1558" t="s">
        <v>9</v>
      </c>
      <c r="H1558" t="s">
        <v>107</v>
      </c>
      <c r="I1558" t="s">
        <v>116</v>
      </c>
    </row>
    <row r="1559" spans="1:9" x14ac:dyDescent="0.2">
      <c r="A1559" t="s">
        <v>1260</v>
      </c>
      <c r="D1559" t="str">
        <f>HYPERLINK("http://nlpdeep.cs.uic.edu:8080/proofing/gsii/532410-family-history-0-4.pdf","gsii/532410-family-history-0-4.pdf")</f>
        <v>gsii/532410-family-history-0-4.pdf</v>
      </c>
      <c r="E1559">
        <v>119960</v>
      </c>
      <c r="F1559">
        <v>532410</v>
      </c>
      <c r="G1559" t="s">
        <v>9</v>
      </c>
      <c r="H1559" t="s">
        <v>107</v>
      </c>
      <c r="I1559" t="s">
        <v>116</v>
      </c>
    </row>
    <row r="1560" spans="1:9" x14ac:dyDescent="0.2">
      <c r="A1560" t="s">
        <v>1261</v>
      </c>
      <c r="D1560" t="str">
        <f>HYPERLINK("http://nlpdeep.cs.uic.edu:8080/proofing/t5/532410-social-history-0-0.pdf","t5/532410-social-history-0-0.pdf")</f>
        <v>t5/532410-social-history-0-0.pdf</v>
      </c>
      <c r="E1560">
        <v>119960</v>
      </c>
      <c r="F1560">
        <v>532410</v>
      </c>
      <c r="G1560" t="s">
        <v>9</v>
      </c>
      <c r="H1560" t="s">
        <v>118</v>
      </c>
      <c r="I1560" t="s">
        <v>119</v>
      </c>
    </row>
    <row r="1561" spans="1:9" x14ac:dyDescent="0.2">
      <c r="A1561" t="s">
        <v>1261</v>
      </c>
      <c r="D1561" t="str">
        <f>HYPERLINK("http://nlpdeep.cs.uic.edu:8080/proofing/gsii/532410-social-history-0-0.pdf","gsii/532410-social-history-0-0.pdf")</f>
        <v>gsii/532410-social-history-0-0.pdf</v>
      </c>
      <c r="E1561">
        <v>119960</v>
      </c>
      <c r="F1561">
        <v>532410</v>
      </c>
      <c r="G1561" t="s">
        <v>9</v>
      </c>
      <c r="H1561" t="s">
        <v>118</v>
      </c>
      <c r="I1561" t="s">
        <v>119</v>
      </c>
    </row>
    <row r="1562" spans="1:9" x14ac:dyDescent="0.2">
      <c r="A1562" t="s">
        <v>1262</v>
      </c>
      <c r="D1562" t="str">
        <f>HYPERLINK("http://nlpdeep.cs.uic.edu:8080/proofing/t5/532410-social-history-0-1.pdf","t5/532410-social-history-0-1.pdf")</f>
        <v>t5/532410-social-history-0-1.pdf</v>
      </c>
      <c r="E1562">
        <v>119960</v>
      </c>
      <c r="F1562">
        <v>532410</v>
      </c>
      <c r="G1562" t="s">
        <v>9</v>
      </c>
      <c r="H1562" t="s">
        <v>118</v>
      </c>
      <c r="I1562" t="s">
        <v>121</v>
      </c>
    </row>
    <row r="1563" spans="1:9" x14ac:dyDescent="0.2">
      <c r="A1563" t="s">
        <v>1262</v>
      </c>
      <c r="D1563" t="str">
        <f>HYPERLINK("http://nlpdeep.cs.uic.edu:8080/proofing/gsii/532410-social-history-0-1.pdf","gsii/532410-social-history-0-1.pdf")</f>
        <v>gsii/532410-social-history-0-1.pdf</v>
      </c>
      <c r="E1563">
        <v>119960</v>
      </c>
      <c r="F1563">
        <v>532410</v>
      </c>
      <c r="G1563" t="s">
        <v>9</v>
      </c>
      <c r="H1563" t="s">
        <v>118</v>
      </c>
      <c r="I1563" t="s">
        <v>121</v>
      </c>
    </row>
    <row r="1564" spans="1:9" x14ac:dyDescent="0.2">
      <c r="A1564" t="s">
        <v>1263</v>
      </c>
      <c r="D1564" t="str">
        <f>HYPERLINK("http://nlpdeep.cs.uic.edu:8080/proofing/t5/532410-social-history-0-2.pdf","t5/532410-social-history-0-2.pdf")</f>
        <v>t5/532410-social-history-0-2.pdf</v>
      </c>
      <c r="E1564">
        <v>119960</v>
      </c>
      <c r="F1564">
        <v>532410</v>
      </c>
      <c r="G1564" t="s">
        <v>9</v>
      </c>
      <c r="H1564" t="s">
        <v>118</v>
      </c>
      <c r="I1564" t="s">
        <v>123</v>
      </c>
    </row>
    <row r="1565" spans="1:9" x14ac:dyDescent="0.2">
      <c r="A1565" t="s">
        <v>1263</v>
      </c>
      <c r="D1565" t="str">
        <f>HYPERLINK("http://nlpdeep.cs.uic.edu:8080/proofing/gsii/532410-social-history-0-2.pdf","gsii/532410-social-history-0-2.pdf")</f>
        <v>gsii/532410-social-history-0-2.pdf</v>
      </c>
      <c r="E1565">
        <v>119960</v>
      </c>
      <c r="F1565">
        <v>532410</v>
      </c>
      <c r="G1565" t="s">
        <v>9</v>
      </c>
      <c r="H1565" t="s">
        <v>118</v>
      </c>
      <c r="I1565" t="s">
        <v>123</v>
      </c>
    </row>
    <row r="1566" spans="1:9" x14ac:dyDescent="0.2">
      <c r="A1566" t="s">
        <v>1264</v>
      </c>
      <c r="D1566" t="str">
        <f>HYPERLINK("http://nlpdeep.cs.uic.edu:8080/proofing/t5/532410-social-history-0-3.pdf","t5/532410-social-history-0-3.pdf")</f>
        <v>t5/532410-social-history-0-3.pdf</v>
      </c>
      <c r="E1566">
        <v>119960</v>
      </c>
      <c r="F1566">
        <v>532410</v>
      </c>
      <c r="G1566" t="s">
        <v>9</v>
      </c>
      <c r="H1566" t="s">
        <v>118</v>
      </c>
      <c r="I1566" t="s">
        <v>125</v>
      </c>
    </row>
    <row r="1567" spans="1:9" x14ac:dyDescent="0.2">
      <c r="A1567" t="s">
        <v>1264</v>
      </c>
      <c r="D1567" t="str">
        <f>HYPERLINK("http://nlpdeep.cs.uic.edu:8080/proofing/gsii/532410-social-history-0-3.pdf","gsii/532410-social-history-0-3.pdf")</f>
        <v>gsii/532410-social-history-0-3.pdf</v>
      </c>
      <c r="E1567">
        <v>119960</v>
      </c>
      <c r="F1567">
        <v>532410</v>
      </c>
      <c r="G1567" t="s">
        <v>9</v>
      </c>
      <c r="H1567" t="s">
        <v>118</v>
      </c>
      <c r="I1567" t="s">
        <v>125</v>
      </c>
    </row>
    <row r="1568" spans="1:9" x14ac:dyDescent="0.2">
      <c r="A1568" t="s">
        <v>1265</v>
      </c>
      <c r="D1568" t="str">
        <f>HYPERLINK("http://nlpdeep.cs.uic.edu:8080/proofing/t5/532410-social-history-0-4.pdf","t5/532410-social-history-0-4.pdf")</f>
        <v>t5/532410-social-history-0-4.pdf</v>
      </c>
      <c r="E1568">
        <v>119960</v>
      </c>
      <c r="F1568">
        <v>532410</v>
      </c>
      <c r="G1568" t="s">
        <v>9</v>
      </c>
      <c r="H1568" t="s">
        <v>118</v>
      </c>
      <c r="I1568" t="s">
        <v>127</v>
      </c>
    </row>
    <row r="1569" spans="1:9" x14ac:dyDescent="0.2">
      <c r="A1569" t="s">
        <v>1265</v>
      </c>
      <c r="D1569" t="str">
        <f>HYPERLINK("http://nlpdeep.cs.uic.edu:8080/proofing/gsii/532410-social-history-0-4.pdf","gsii/532410-social-history-0-4.pdf")</f>
        <v>gsii/532410-social-history-0-4.pdf</v>
      </c>
      <c r="E1569">
        <v>119960</v>
      </c>
      <c r="F1569">
        <v>532410</v>
      </c>
      <c r="G1569" t="s">
        <v>9</v>
      </c>
      <c r="H1569" t="s">
        <v>118</v>
      </c>
      <c r="I1569" t="s">
        <v>127</v>
      </c>
    </row>
    <row r="1570" spans="1:9" x14ac:dyDescent="0.2">
      <c r="A1570" t="s">
        <v>1266</v>
      </c>
      <c r="D1570" t="str">
        <f>HYPERLINK("http://nlpdeep.cs.uic.edu:8080/proofing/t5/532410-social-history-0-5.pdf","t5/532410-social-history-0-5.pdf")</f>
        <v>t5/532410-social-history-0-5.pdf</v>
      </c>
      <c r="E1570">
        <v>119960</v>
      </c>
      <c r="F1570">
        <v>532410</v>
      </c>
      <c r="G1570" t="s">
        <v>9</v>
      </c>
      <c r="H1570" t="s">
        <v>118</v>
      </c>
      <c r="I1570" t="s">
        <v>129</v>
      </c>
    </row>
    <row r="1571" spans="1:9" x14ac:dyDescent="0.2">
      <c r="A1571" t="s">
        <v>1266</v>
      </c>
      <c r="D1571" t="str">
        <f>HYPERLINK("http://nlpdeep.cs.uic.edu:8080/proofing/gsii/532410-social-history-0-5.pdf","gsii/532410-social-history-0-5.pdf")</f>
        <v>gsii/532410-social-history-0-5.pdf</v>
      </c>
      <c r="E1571">
        <v>119960</v>
      </c>
      <c r="F1571">
        <v>532410</v>
      </c>
      <c r="G1571" t="s">
        <v>9</v>
      </c>
      <c r="H1571" t="s">
        <v>118</v>
      </c>
      <c r="I1571" t="s">
        <v>129</v>
      </c>
    </row>
    <row r="1572" spans="1:9" x14ac:dyDescent="0.2">
      <c r="A1572" t="s">
        <v>1267</v>
      </c>
      <c r="D1572" t="str">
        <f>HYPERLINK("http://nlpdeep.cs.uic.edu:8080/proofing/t5/532410-social-history-0-6.pdf","t5/532410-social-history-0-6.pdf")</f>
        <v>t5/532410-social-history-0-6.pdf</v>
      </c>
      <c r="E1572">
        <v>119960</v>
      </c>
      <c r="F1572">
        <v>532410</v>
      </c>
      <c r="G1572" t="s">
        <v>9</v>
      </c>
      <c r="H1572" t="s">
        <v>118</v>
      </c>
      <c r="I1572" t="s">
        <v>131</v>
      </c>
    </row>
    <row r="1573" spans="1:9" x14ac:dyDescent="0.2">
      <c r="A1573" t="s">
        <v>1267</v>
      </c>
      <c r="D1573" t="str">
        <f>HYPERLINK("http://nlpdeep.cs.uic.edu:8080/proofing/gsii/532410-social-history-0-6.pdf","gsii/532410-social-history-0-6.pdf")</f>
        <v>gsii/532410-social-history-0-6.pdf</v>
      </c>
      <c r="E1573">
        <v>119960</v>
      </c>
      <c r="F1573">
        <v>532410</v>
      </c>
      <c r="G1573" t="s">
        <v>9</v>
      </c>
      <c r="H1573" t="s">
        <v>118</v>
      </c>
      <c r="I1573" t="s">
        <v>131</v>
      </c>
    </row>
    <row r="1574" spans="1:9" x14ac:dyDescent="0.2">
      <c r="A1574" t="s">
        <v>1268</v>
      </c>
      <c r="D1574" t="str">
        <f>HYPERLINK("http://nlpdeep.cs.uic.edu:8080/proofing/t5/532410-social-history-0-7.pdf","t5/532410-social-history-0-7.pdf")</f>
        <v>t5/532410-social-history-0-7.pdf</v>
      </c>
      <c r="E1574">
        <v>119960</v>
      </c>
      <c r="F1574">
        <v>532410</v>
      </c>
      <c r="G1574" t="s">
        <v>9</v>
      </c>
      <c r="H1574" t="s">
        <v>118</v>
      </c>
      <c r="I1574" t="s">
        <v>133</v>
      </c>
    </row>
    <row r="1575" spans="1:9" x14ac:dyDescent="0.2">
      <c r="A1575" t="s">
        <v>1268</v>
      </c>
      <c r="D1575" t="str">
        <f>HYPERLINK("http://nlpdeep.cs.uic.edu:8080/proofing/gsii/532410-social-history-0-7.pdf","gsii/532410-social-history-0-7.pdf")</f>
        <v>gsii/532410-social-history-0-7.pdf</v>
      </c>
      <c r="E1575">
        <v>119960</v>
      </c>
      <c r="F1575">
        <v>532410</v>
      </c>
      <c r="G1575" t="s">
        <v>9</v>
      </c>
      <c r="H1575" t="s">
        <v>118</v>
      </c>
      <c r="I1575" t="s">
        <v>133</v>
      </c>
    </row>
    <row r="1576" spans="1:9" x14ac:dyDescent="0.2">
      <c r="A1576" t="s">
        <v>1269</v>
      </c>
      <c r="D1576" t="str">
        <f>HYPERLINK("http://nlpdeep.cs.uic.edu:8080/proofing/t5/532410-flowsheet-data-vitals-0-0.pdf","t5/532410-flowsheet-data-vitals-0-0.pdf")</f>
        <v>t5/532410-flowsheet-data-vitals-0-0.pdf</v>
      </c>
      <c r="E1576">
        <v>119960</v>
      </c>
      <c r="F1576">
        <v>532410</v>
      </c>
      <c r="G1576" t="s">
        <v>9</v>
      </c>
      <c r="H1576" t="s">
        <v>135</v>
      </c>
      <c r="I1576" t="s">
        <v>136</v>
      </c>
    </row>
    <row r="1577" spans="1:9" x14ac:dyDescent="0.2">
      <c r="A1577" t="s">
        <v>1269</v>
      </c>
      <c r="D1577" t="str">
        <f>HYPERLINK("http://nlpdeep.cs.uic.edu:8080/proofing/gsii/532410-flowsheet-data-vitals-0-0.pdf","gsii/532410-flowsheet-data-vitals-0-0.pdf")</f>
        <v>gsii/532410-flowsheet-data-vitals-0-0.pdf</v>
      </c>
      <c r="E1577">
        <v>119960</v>
      </c>
      <c r="F1577">
        <v>532410</v>
      </c>
      <c r="G1577" t="s">
        <v>9</v>
      </c>
      <c r="H1577" t="s">
        <v>135</v>
      </c>
      <c r="I1577" t="s">
        <v>136</v>
      </c>
    </row>
    <row r="1578" spans="1:9" x14ac:dyDescent="0.2">
      <c r="A1578" t="s">
        <v>1270</v>
      </c>
      <c r="D1578" t="str">
        <f>HYPERLINK("http://nlpdeep.cs.uic.edu:8080/proofing/t5/532410-physical-examination-0-0.pdf","t5/532410-physical-examination-0-0.pdf")</f>
        <v>t5/532410-physical-examination-0-0.pdf</v>
      </c>
      <c r="E1578">
        <v>119960</v>
      </c>
      <c r="F1578">
        <v>532410</v>
      </c>
      <c r="G1578" t="s">
        <v>9</v>
      </c>
      <c r="H1578" t="s">
        <v>138</v>
      </c>
      <c r="I1578" t="s">
        <v>139</v>
      </c>
    </row>
    <row r="1579" spans="1:9" x14ac:dyDescent="0.2">
      <c r="A1579" t="s">
        <v>1270</v>
      </c>
      <c r="D1579" t="str">
        <f>HYPERLINK("http://nlpdeep.cs.uic.edu:8080/proofing/gsii/532410-physical-examination-0-0.pdf","gsii/532410-physical-examination-0-0.pdf")</f>
        <v>gsii/532410-physical-examination-0-0.pdf</v>
      </c>
      <c r="E1579">
        <v>119960</v>
      </c>
      <c r="F1579">
        <v>532410</v>
      </c>
      <c r="G1579" t="s">
        <v>9</v>
      </c>
      <c r="H1579" t="s">
        <v>138</v>
      </c>
      <c r="I1579" t="s">
        <v>139</v>
      </c>
    </row>
    <row r="1580" spans="1:9" x14ac:dyDescent="0.2">
      <c r="A1580" t="s">
        <v>1271</v>
      </c>
      <c r="D1580" t="str">
        <f>HYPERLINK("http://nlpdeep.cs.uic.edu:8080/proofing/t5/532410-physical-examination-0-1.pdf","t5/532410-physical-examination-0-1.pdf")</f>
        <v>t5/532410-physical-examination-0-1.pdf</v>
      </c>
      <c r="E1580">
        <v>119960</v>
      </c>
      <c r="F1580">
        <v>532410</v>
      </c>
      <c r="G1580" t="s">
        <v>9</v>
      </c>
      <c r="H1580" t="s">
        <v>138</v>
      </c>
      <c r="I1580" t="s">
        <v>141</v>
      </c>
    </row>
    <row r="1581" spans="1:9" x14ac:dyDescent="0.2">
      <c r="A1581" t="s">
        <v>1271</v>
      </c>
      <c r="D1581" t="str">
        <f>HYPERLINK("http://nlpdeep.cs.uic.edu:8080/proofing/gsii/532410-physical-examination-0-1.pdf","gsii/532410-physical-examination-0-1.pdf")</f>
        <v>gsii/532410-physical-examination-0-1.pdf</v>
      </c>
      <c r="E1581">
        <v>119960</v>
      </c>
      <c r="F1581">
        <v>532410</v>
      </c>
      <c r="G1581" t="s">
        <v>9</v>
      </c>
      <c r="H1581" t="s">
        <v>138</v>
      </c>
      <c r="I1581" t="s">
        <v>141</v>
      </c>
    </row>
    <row r="1582" spans="1:9" x14ac:dyDescent="0.2">
      <c r="A1582" t="s">
        <v>1272</v>
      </c>
      <c r="D1582" t="str">
        <f>HYPERLINK("http://nlpdeep.cs.uic.edu:8080/proofing/t5/532410-physical-examination-0-2.pdf","t5/532410-physical-examination-0-2.pdf")</f>
        <v>t5/532410-physical-examination-0-2.pdf</v>
      </c>
      <c r="E1582">
        <v>119960</v>
      </c>
      <c r="F1582">
        <v>532410</v>
      </c>
      <c r="G1582" t="s">
        <v>9</v>
      </c>
      <c r="H1582" t="s">
        <v>138</v>
      </c>
      <c r="I1582" t="s">
        <v>143</v>
      </c>
    </row>
    <row r="1583" spans="1:9" x14ac:dyDescent="0.2">
      <c r="A1583" t="s">
        <v>1272</v>
      </c>
      <c r="D1583" t="str">
        <f>HYPERLINK("http://nlpdeep.cs.uic.edu:8080/proofing/gsii/532410-physical-examination-0-2.pdf","gsii/532410-physical-examination-0-2.pdf")</f>
        <v>gsii/532410-physical-examination-0-2.pdf</v>
      </c>
      <c r="E1583">
        <v>119960</v>
      </c>
      <c r="F1583">
        <v>532410</v>
      </c>
      <c r="G1583" t="s">
        <v>9</v>
      </c>
      <c r="H1583" t="s">
        <v>138</v>
      </c>
      <c r="I1583" t="s">
        <v>143</v>
      </c>
    </row>
    <row r="1584" spans="1:9" x14ac:dyDescent="0.2">
      <c r="A1584" t="s">
        <v>1273</v>
      </c>
      <c r="D1584" t="str">
        <f>HYPERLINK("http://nlpdeep.cs.uic.edu:8080/proofing/t5/532410-physical-examination-0-3.pdf","t5/532410-physical-examination-0-3.pdf")</f>
        <v>t5/532410-physical-examination-0-3.pdf</v>
      </c>
      <c r="E1584">
        <v>119960</v>
      </c>
      <c r="F1584">
        <v>532410</v>
      </c>
      <c r="G1584" t="s">
        <v>9</v>
      </c>
      <c r="H1584" t="s">
        <v>138</v>
      </c>
      <c r="I1584" t="s">
        <v>145</v>
      </c>
    </row>
    <row r="1585" spans="1:9" x14ac:dyDescent="0.2">
      <c r="A1585" t="s">
        <v>1273</v>
      </c>
      <c r="D1585" t="str">
        <f>HYPERLINK("http://nlpdeep.cs.uic.edu:8080/proofing/gsii/532410-physical-examination-0-3.pdf","gsii/532410-physical-examination-0-3.pdf")</f>
        <v>gsii/532410-physical-examination-0-3.pdf</v>
      </c>
      <c r="E1585">
        <v>119960</v>
      </c>
      <c r="F1585">
        <v>532410</v>
      </c>
      <c r="G1585" t="s">
        <v>9</v>
      </c>
      <c r="H1585" t="s">
        <v>138</v>
      </c>
      <c r="I1585" t="s">
        <v>145</v>
      </c>
    </row>
    <row r="1586" spans="1:9" x14ac:dyDescent="0.2">
      <c r="A1586" t="s">
        <v>1274</v>
      </c>
      <c r="D1586" t="str">
        <f>HYPERLINK("http://nlpdeep.cs.uic.edu:8080/proofing/t5/532410-labs-imaging-0-0.pdf","t5/532410-labs-imaging-0-0.pdf")</f>
        <v>t5/532410-labs-imaging-0-0.pdf</v>
      </c>
      <c r="E1586">
        <v>119960</v>
      </c>
      <c r="F1586">
        <v>532410</v>
      </c>
      <c r="G1586" t="s">
        <v>9</v>
      </c>
      <c r="H1586" t="s">
        <v>147</v>
      </c>
      <c r="I1586" t="s">
        <v>148</v>
      </c>
    </row>
    <row r="1587" spans="1:9" x14ac:dyDescent="0.2">
      <c r="A1587" t="s">
        <v>1274</v>
      </c>
      <c r="D1587" t="str">
        <f>HYPERLINK("http://nlpdeep.cs.uic.edu:8080/proofing/gsii/532410-labs-imaging-0-0.pdf","gsii/532410-labs-imaging-0-0.pdf")</f>
        <v>gsii/532410-labs-imaging-0-0.pdf</v>
      </c>
      <c r="E1587">
        <v>119960</v>
      </c>
      <c r="F1587">
        <v>532410</v>
      </c>
      <c r="G1587" t="s">
        <v>9</v>
      </c>
      <c r="H1587" t="s">
        <v>147</v>
      </c>
      <c r="I1587" t="s">
        <v>148</v>
      </c>
    </row>
    <row r="1588" spans="1:9" x14ac:dyDescent="0.2">
      <c r="A1588" t="s">
        <v>1275</v>
      </c>
      <c r="D1588" t="str">
        <f>HYPERLINK("http://nlpdeep.cs.uic.edu:8080/proofing/t5/532410-labs-imaging-0-1.pdf","t5/532410-labs-imaging-0-1.pdf")</f>
        <v>t5/532410-labs-imaging-0-1.pdf</v>
      </c>
      <c r="E1588">
        <v>119960</v>
      </c>
      <c r="F1588">
        <v>532410</v>
      </c>
      <c r="G1588" t="s">
        <v>9</v>
      </c>
      <c r="H1588" t="s">
        <v>147</v>
      </c>
      <c r="I1588" t="s">
        <v>150</v>
      </c>
    </row>
    <row r="1589" spans="1:9" x14ac:dyDescent="0.2">
      <c r="A1589" t="s">
        <v>1275</v>
      </c>
      <c r="D1589" t="str">
        <f>HYPERLINK("http://nlpdeep.cs.uic.edu:8080/proofing/gsii/532410-labs-imaging-0-1.pdf","gsii/532410-labs-imaging-0-1.pdf")</f>
        <v>gsii/532410-labs-imaging-0-1.pdf</v>
      </c>
      <c r="E1589">
        <v>119960</v>
      </c>
      <c r="F1589">
        <v>532410</v>
      </c>
      <c r="G1589" t="s">
        <v>9</v>
      </c>
      <c r="H1589" t="s">
        <v>147</v>
      </c>
      <c r="I1589" t="s">
        <v>150</v>
      </c>
    </row>
    <row r="1590" spans="1:9" x14ac:dyDescent="0.2">
      <c r="A1590" t="s">
        <v>1276</v>
      </c>
      <c r="D1590" t="str">
        <f>HYPERLINK("http://nlpdeep.cs.uic.edu:8080/proofing/t5/532410-labs-imaging-0-2.pdf","t5/532410-labs-imaging-0-2.pdf")</f>
        <v>t5/532410-labs-imaging-0-2.pdf</v>
      </c>
      <c r="E1590">
        <v>119960</v>
      </c>
      <c r="F1590">
        <v>532410</v>
      </c>
      <c r="G1590" t="s">
        <v>9</v>
      </c>
      <c r="H1590" t="s">
        <v>147</v>
      </c>
      <c r="I1590" t="s">
        <v>152</v>
      </c>
    </row>
    <row r="1591" spans="1:9" x14ac:dyDescent="0.2">
      <c r="A1591" t="s">
        <v>1276</v>
      </c>
      <c r="D1591" t="str">
        <f>HYPERLINK("http://nlpdeep.cs.uic.edu:8080/proofing/gsii/532410-labs-imaging-0-2.pdf","gsii/532410-labs-imaging-0-2.pdf")</f>
        <v>gsii/532410-labs-imaging-0-2.pdf</v>
      </c>
      <c r="E1591">
        <v>119960</v>
      </c>
      <c r="F1591">
        <v>532410</v>
      </c>
      <c r="G1591" t="s">
        <v>9</v>
      </c>
      <c r="H1591" t="s">
        <v>147</v>
      </c>
      <c r="I1591" t="s">
        <v>152</v>
      </c>
    </row>
    <row r="1592" spans="1:9" x14ac:dyDescent="0.2">
      <c r="A1592" t="s">
        <v>1277</v>
      </c>
      <c r="D1592" t="str">
        <f>HYPERLINK("http://nlpdeep.cs.uic.edu:8080/proofing/t5/532410-labs-imaging-0-3.pdf","t5/532410-labs-imaging-0-3.pdf")</f>
        <v>t5/532410-labs-imaging-0-3.pdf</v>
      </c>
      <c r="E1592">
        <v>119960</v>
      </c>
      <c r="F1592">
        <v>532410</v>
      </c>
      <c r="G1592" t="s">
        <v>9</v>
      </c>
      <c r="H1592" t="s">
        <v>147</v>
      </c>
      <c r="I1592" t="s">
        <v>154</v>
      </c>
    </row>
    <row r="1593" spans="1:9" x14ac:dyDescent="0.2">
      <c r="A1593" t="s">
        <v>1277</v>
      </c>
      <c r="D1593" t="str">
        <f>HYPERLINK("http://nlpdeep.cs.uic.edu:8080/proofing/gsii/532410-labs-imaging-0-3.pdf","gsii/532410-labs-imaging-0-3.pdf")</f>
        <v>gsii/532410-labs-imaging-0-3.pdf</v>
      </c>
      <c r="E1593">
        <v>119960</v>
      </c>
      <c r="F1593">
        <v>532410</v>
      </c>
      <c r="G1593" t="s">
        <v>9</v>
      </c>
      <c r="H1593" t="s">
        <v>147</v>
      </c>
      <c r="I1593" t="s">
        <v>154</v>
      </c>
    </row>
    <row r="1594" spans="1:9" x14ac:dyDescent="0.2">
      <c r="A1594" t="s">
        <v>1278</v>
      </c>
      <c r="D1594" t="str">
        <f>HYPERLINK("http://nlpdeep.cs.uic.edu:8080/proofing/t5/532410-labs-imaging-0-4.pdf","t5/532410-labs-imaging-0-4.pdf")</f>
        <v>t5/532410-labs-imaging-0-4.pdf</v>
      </c>
      <c r="E1594">
        <v>119960</v>
      </c>
      <c r="F1594">
        <v>532410</v>
      </c>
      <c r="G1594" t="s">
        <v>9</v>
      </c>
      <c r="H1594" t="s">
        <v>147</v>
      </c>
      <c r="I1594" t="s">
        <v>156</v>
      </c>
    </row>
    <row r="1595" spans="1:9" x14ac:dyDescent="0.2">
      <c r="A1595" t="s">
        <v>1278</v>
      </c>
      <c r="D1595" t="str">
        <f>HYPERLINK("http://nlpdeep.cs.uic.edu:8080/proofing/gsii/532410-labs-imaging-0-4.pdf","gsii/532410-labs-imaging-0-4.pdf")</f>
        <v>gsii/532410-labs-imaging-0-4.pdf</v>
      </c>
      <c r="E1595">
        <v>119960</v>
      </c>
      <c r="F1595">
        <v>532410</v>
      </c>
      <c r="G1595" t="s">
        <v>9</v>
      </c>
      <c r="H1595" t="s">
        <v>147</v>
      </c>
      <c r="I1595" t="s">
        <v>156</v>
      </c>
    </row>
    <row r="1596" spans="1:9" x14ac:dyDescent="0.2">
      <c r="A1596" t="s">
        <v>1279</v>
      </c>
      <c r="D1596" t="str">
        <f>HYPERLINK("http://nlpdeep.cs.uic.edu:8080/proofing/t5/532410-labs-imaging-0-5.pdf","t5/532410-labs-imaging-0-5.pdf")</f>
        <v>t5/532410-labs-imaging-0-5.pdf</v>
      </c>
      <c r="E1596">
        <v>119960</v>
      </c>
      <c r="F1596">
        <v>532410</v>
      </c>
      <c r="G1596" t="s">
        <v>9</v>
      </c>
      <c r="H1596" t="s">
        <v>147</v>
      </c>
      <c r="I1596" t="s">
        <v>158</v>
      </c>
    </row>
    <row r="1597" spans="1:9" x14ac:dyDescent="0.2">
      <c r="A1597" t="s">
        <v>1279</v>
      </c>
      <c r="D1597" t="str">
        <f>HYPERLINK("http://nlpdeep.cs.uic.edu:8080/proofing/gsii/532410-labs-imaging-0-5.pdf","gsii/532410-labs-imaging-0-5.pdf")</f>
        <v>gsii/532410-labs-imaging-0-5.pdf</v>
      </c>
      <c r="E1597">
        <v>119960</v>
      </c>
      <c r="F1597">
        <v>532410</v>
      </c>
      <c r="G1597" t="s">
        <v>9</v>
      </c>
      <c r="H1597" t="s">
        <v>147</v>
      </c>
      <c r="I1597" t="s">
        <v>158</v>
      </c>
    </row>
    <row r="1598" spans="1:9" x14ac:dyDescent="0.2">
      <c r="A1598" t="s">
        <v>1280</v>
      </c>
      <c r="D1598" t="str">
        <f>HYPERLINK("http://nlpdeep.cs.uic.edu:8080/proofing/t5/532410-labs-imaging-0-6.pdf","t5/532410-labs-imaging-0-6.pdf")</f>
        <v>t5/532410-labs-imaging-0-6.pdf</v>
      </c>
      <c r="E1598">
        <v>119960</v>
      </c>
      <c r="F1598">
        <v>532410</v>
      </c>
      <c r="G1598" t="s">
        <v>9</v>
      </c>
      <c r="H1598" t="s">
        <v>147</v>
      </c>
      <c r="I1598" t="s">
        <v>160</v>
      </c>
    </row>
    <row r="1599" spans="1:9" x14ac:dyDescent="0.2">
      <c r="A1599" t="s">
        <v>1280</v>
      </c>
      <c r="D1599" t="str">
        <f>HYPERLINK("http://nlpdeep.cs.uic.edu:8080/proofing/gsii/532410-labs-imaging-0-6.pdf","gsii/532410-labs-imaging-0-6.pdf")</f>
        <v>gsii/532410-labs-imaging-0-6.pdf</v>
      </c>
      <c r="E1599">
        <v>119960</v>
      </c>
      <c r="F1599">
        <v>532410</v>
      </c>
      <c r="G1599" t="s">
        <v>9</v>
      </c>
      <c r="H1599" t="s">
        <v>147</v>
      </c>
      <c r="I1599" t="s">
        <v>160</v>
      </c>
    </row>
    <row r="1600" spans="1:9" x14ac:dyDescent="0.2">
      <c r="A1600" t="s">
        <v>1281</v>
      </c>
      <c r="D1600" t="str">
        <f>HYPERLINK("http://nlpdeep.cs.uic.edu:8080/proofing/t5/532410-labs-imaging-0-7.pdf","t5/532410-labs-imaging-0-7.pdf")</f>
        <v>t5/532410-labs-imaging-0-7.pdf</v>
      </c>
      <c r="E1600">
        <v>119960</v>
      </c>
      <c r="F1600">
        <v>532410</v>
      </c>
      <c r="G1600" t="s">
        <v>9</v>
      </c>
      <c r="H1600" t="s">
        <v>147</v>
      </c>
      <c r="I1600" t="s">
        <v>162</v>
      </c>
    </row>
    <row r="1601" spans="1:9" x14ac:dyDescent="0.2">
      <c r="A1601" t="s">
        <v>1281</v>
      </c>
      <c r="D1601" t="str">
        <f>HYPERLINK("http://nlpdeep.cs.uic.edu:8080/proofing/gsii/532410-labs-imaging-0-7.pdf","gsii/532410-labs-imaging-0-7.pdf")</f>
        <v>gsii/532410-labs-imaging-0-7.pdf</v>
      </c>
      <c r="E1601">
        <v>119960</v>
      </c>
      <c r="F1601">
        <v>532410</v>
      </c>
      <c r="G1601" t="s">
        <v>9</v>
      </c>
      <c r="H1601" t="s">
        <v>147</v>
      </c>
      <c r="I1601" t="s">
        <v>162</v>
      </c>
    </row>
    <row r="1602" spans="1:9" x14ac:dyDescent="0.2">
      <c r="A1602" t="s">
        <v>1282</v>
      </c>
      <c r="D1602" t="str">
        <f>HYPERLINK("http://nlpdeep.cs.uic.edu:8080/proofing/t5/532410-labs-imaging-0-8.pdf","t5/532410-labs-imaging-0-8.pdf")</f>
        <v>t5/532410-labs-imaging-0-8.pdf</v>
      </c>
      <c r="E1602">
        <v>119960</v>
      </c>
      <c r="F1602">
        <v>532410</v>
      </c>
      <c r="G1602" t="s">
        <v>9</v>
      </c>
      <c r="H1602" t="s">
        <v>147</v>
      </c>
      <c r="I1602" t="s">
        <v>164</v>
      </c>
    </row>
    <row r="1603" spans="1:9" x14ac:dyDescent="0.2">
      <c r="A1603" t="s">
        <v>1282</v>
      </c>
      <c r="D1603" t="str">
        <f>HYPERLINK("http://nlpdeep.cs.uic.edu:8080/proofing/gsii/532410-labs-imaging-0-8.pdf","gsii/532410-labs-imaging-0-8.pdf")</f>
        <v>gsii/532410-labs-imaging-0-8.pdf</v>
      </c>
      <c r="E1603">
        <v>119960</v>
      </c>
      <c r="F1603">
        <v>532410</v>
      </c>
      <c r="G1603" t="s">
        <v>9</v>
      </c>
      <c r="H1603" t="s">
        <v>147</v>
      </c>
      <c r="I1603" t="s">
        <v>164</v>
      </c>
    </row>
    <row r="1604" spans="1:9" x14ac:dyDescent="0.2">
      <c r="A1604" t="s">
        <v>1283</v>
      </c>
      <c r="D1604" t="str">
        <f>HYPERLINK("http://nlpdeep.cs.uic.edu:8080/proofing/t5/532410-labs-imaging-1-0.pdf","t5/532410-labs-imaging-1-0.pdf")</f>
        <v>t5/532410-labs-imaging-1-0.pdf</v>
      </c>
      <c r="E1604">
        <v>119960</v>
      </c>
      <c r="F1604">
        <v>532410</v>
      </c>
      <c r="G1604" t="s">
        <v>9</v>
      </c>
      <c r="H1604" t="s">
        <v>147</v>
      </c>
    </row>
    <row r="1605" spans="1:9" x14ac:dyDescent="0.2">
      <c r="A1605" t="s">
        <v>1283</v>
      </c>
      <c r="D1605" t="str">
        <f>HYPERLINK("http://nlpdeep.cs.uic.edu:8080/proofing/gsii/532410-labs-imaging-1-0.pdf","gsii/532410-labs-imaging-1-0.pdf")</f>
        <v>gsii/532410-labs-imaging-1-0.pdf</v>
      </c>
      <c r="E1605">
        <v>119960</v>
      </c>
      <c r="F1605">
        <v>532410</v>
      </c>
      <c r="G1605" t="s">
        <v>9</v>
      </c>
      <c r="H1605" t="s">
        <v>147</v>
      </c>
    </row>
    <row r="1606" spans="1:9" x14ac:dyDescent="0.2">
      <c r="A1606" t="s">
        <v>1284</v>
      </c>
      <c r="D1606" t="str">
        <f>HYPERLINK("http://nlpdeep.cs.uic.edu:8080/proofing/t5/532410-labs-imaging-2-0.pdf","t5/532410-labs-imaging-2-0.pdf")</f>
        <v>t5/532410-labs-imaging-2-0.pdf</v>
      </c>
      <c r="E1606">
        <v>119960</v>
      </c>
      <c r="F1606">
        <v>532410</v>
      </c>
      <c r="G1606" t="s">
        <v>9</v>
      </c>
      <c r="H1606" t="s">
        <v>147</v>
      </c>
    </row>
    <row r="1607" spans="1:9" x14ac:dyDescent="0.2">
      <c r="A1607" t="s">
        <v>1284</v>
      </c>
      <c r="D1607" t="str">
        <f>HYPERLINK("http://nlpdeep.cs.uic.edu:8080/proofing/gsii/532410-labs-imaging-2-0.pdf","gsii/532410-labs-imaging-2-0.pdf")</f>
        <v>gsii/532410-labs-imaging-2-0.pdf</v>
      </c>
      <c r="E1607">
        <v>119960</v>
      </c>
      <c r="F1607">
        <v>532410</v>
      </c>
      <c r="G1607" t="s">
        <v>9</v>
      </c>
      <c r="H1607" t="s">
        <v>147</v>
      </c>
    </row>
    <row r="1608" spans="1:9" x14ac:dyDescent="0.2">
      <c r="A1608" t="s">
        <v>1285</v>
      </c>
      <c r="D1608" t="str">
        <f>HYPERLINK("http://nlpdeep.cs.uic.edu:8080/proofing/t5/532410-labs-imaging-3-0.pdf","t5/532410-labs-imaging-3-0.pdf")</f>
        <v>t5/532410-labs-imaging-3-0.pdf</v>
      </c>
      <c r="E1608">
        <v>119960</v>
      </c>
      <c r="F1608">
        <v>532410</v>
      </c>
      <c r="G1608" t="s">
        <v>9</v>
      </c>
      <c r="H1608" t="s">
        <v>147</v>
      </c>
    </row>
    <row r="1609" spans="1:9" x14ac:dyDescent="0.2">
      <c r="A1609" t="s">
        <v>1285</v>
      </c>
      <c r="D1609" t="str">
        <f>HYPERLINK("http://nlpdeep.cs.uic.edu:8080/proofing/gsii/532410-labs-imaging-3-0.pdf","gsii/532410-labs-imaging-3-0.pdf")</f>
        <v>gsii/532410-labs-imaging-3-0.pdf</v>
      </c>
      <c r="E1609">
        <v>119960</v>
      </c>
      <c r="F1609">
        <v>532410</v>
      </c>
      <c r="G1609" t="s">
        <v>9</v>
      </c>
      <c r="H1609" t="s">
        <v>147</v>
      </c>
    </row>
    <row r="1610" spans="1:9" x14ac:dyDescent="0.2">
      <c r="A1610" t="s">
        <v>1286</v>
      </c>
      <c r="D1610" t="str">
        <f>HYPERLINK("http://nlpdeep.cs.uic.edu:8080/proofing/t5/532410-labs-imaging-4-0.pdf","t5/532410-labs-imaging-4-0.pdf")</f>
        <v>t5/532410-labs-imaging-4-0.pdf</v>
      </c>
      <c r="E1610">
        <v>119960</v>
      </c>
      <c r="F1610">
        <v>532410</v>
      </c>
      <c r="G1610" t="s">
        <v>9</v>
      </c>
      <c r="H1610" t="s">
        <v>147</v>
      </c>
      <c r="I1610" t="s">
        <v>169</v>
      </c>
    </row>
    <row r="1611" spans="1:9" x14ac:dyDescent="0.2">
      <c r="A1611" t="s">
        <v>1286</v>
      </c>
      <c r="D1611" t="str">
        <f>HYPERLINK("http://nlpdeep.cs.uic.edu:8080/proofing/gsii/532410-labs-imaging-4-0.pdf","gsii/532410-labs-imaging-4-0.pdf")</f>
        <v>gsii/532410-labs-imaging-4-0.pdf</v>
      </c>
      <c r="E1611">
        <v>119960</v>
      </c>
      <c r="F1611">
        <v>532410</v>
      </c>
      <c r="G1611" t="s">
        <v>9</v>
      </c>
      <c r="H1611" t="s">
        <v>147</v>
      </c>
      <c r="I1611" t="s">
        <v>169</v>
      </c>
    </row>
    <row r="1612" spans="1:9" x14ac:dyDescent="0.2">
      <c r="A1612" t="s">
        <v>1287</v>
      </c>
      <c r="D1612" t="str">
        <f>HYPERLINK("http://nlpdeep.cs.uic.edu:8080/proofing/t5/532410-labs-imaging-4-1.pdf","t5/532410-labs-imaging-4-1.pdf")</f>
        <v>t5/532410-labs-imaging-4-1.pdf</v>
      </c>
      <c r="E1612">
        <v>119960</v>
      </c>
      <c r="F1612">
        <v>532410</v>
      </c>
      <c r="G1612" t="s">
        <v>9</v>
      </c>
      <c r="H1612" t="s">
        <v>147</v>
      </c>
      <c r="I1612" t="s">
        <v>171</v>
      </c>
    </row>
    <row r="1613" spans="1:9" x14ac:dyDescent="0.2">
      <c r="A1613" t="s">
        <v>1287</v>
      </c>
      <c r="D1613" t="str">
        <f>HYPERLINK("http://nlpdeep.cs.uic.edu:8080/proofing/gsii/532410-labs-imaging-4-1.pdf","gsii/532410-labs-imaging-4-1.pdf")</f>
        <v>gsii/532410-labs-imaging-4-1.pdf</v>
      </c>
      <c r="E1613">
        <v>119960</v>
      </c>
      <c r="F1613">
        <v>532410</v>
      </c>
      <c r="G1613" t="s">
        <v>9</v>
      </c>
      <c r="H1613" t="s">
        <v>147</v>
      </c>
      <c r="I1613" t="s">
        <v>171</v>
      </c>
    </row>
    <row r="1614" spans="1:9" x14ac:dyDescent="0.2">
      <c r="A1614" t="s">
        <v>1288</v>
      </c>
      <c r="D1614" t="str">
        <f>HYPERLINK("http://nlpdeep.cs.uic.edu:8080/proofing/t5/532410-labs-imaging-4-2.pdf","t5/532410-labs-imaging-4-2.pdf")</f>
        <v>t5/532410-labs-imaging-4-2.pdf</v>
      </c>
      <c r="E1614">
        <v>119960</v>
      </c>
      <c r="F1614">
        <v>532410</v>
      </c>
      <c r="G1614" t="s">
        <v>9</v>
      </c>
      <c r="H1614" t="s">
        <v>147</v>
      </c>
      <c r="I1614" t="s">
        <v>173</v>
      </c>
    </row>
    <row r="1615" spans="1:9" x14ac:dyDescent="0.2">
      <c r="A1615" t="s">
        <v>1288</v>
      </c>
      <c r="D1615" t="str">
        <f>HYPERLINK("http://nlpdeep.cs.uic.edu:8080/proofing/gsii/532410-labs-imaging-4-2.pdf","gsii/532410-labs-imaging-4-2.pdf")</f>
        <v>gsii/532410-labs-imaging-4-2.pdf</v>
      </c>
      <c r="E1615">
        <v>119960</v>
      </c>
      <c r="F1615">
        <v>532410</v>
      </c>
      <c r="G1615" t="s">
        <v>9</v>
      </c>
      <c r="H1615" t="s">
        <v>147</v>
      </c>
      <c r="I1615" t="s">
        <v>173</v>
      </c>
    </row>
    <row r="1616" spans="1:9" x14ac:dyDescent="0.2">
      <c r="A1616" t="s">
        <v>1289</v>
      </c>
      <c r="D1616" t="str">
        <f>HYPERLINK("http://nlpdeep.cs.uic.edu:8080/proofing/t5/532410-labs-imaging-4-3.pdf","t5/532410-labs-imaging-4-3.pdf")</f>
        <v>t5/532410-labs-imaging-4-3.pdf</v>
      </c>
      <c r="E1616">
        <v>119960</v>
      </c>
      <c r="F1616">
        <v>532410</v>
      </c>
      <c r="G1616" t="s">
        <v>9</v>
      </c>
      <c r="H1616" t="s">
        <v>147</v>
      </c>
      <c r="I1616" t="s">
        <v>175</v>
      </c>
    </row>
    <row r="1617" spans="1:9" x14ac:dyDescent="0.2">
      <c r="A1617" t="s">
        <v>1289</v>
      </c>
      <c r="D1617" t="str">
        <f>HYPERLINK("http://nlpdeep.cs.uic.edu:8080/proofing/gsii/532410-labs-imaging-4-3.pdf","gsii/532410-labs-imaging-4-3.pdf")</f>
        <v>gsii/532410-labs-imaging-4-3.pdf</v>
      </c>
      <c r="E1617">
        <v>119960</v>
      </c>
      <c r="F1617">
        <v>532410</v>
      </c>
      <c r="G1617" t="s">
        <v>9</v>
      </c>
      <c r="H1617" t="s">
        <v>147</v>
      </c>
      <c r="I1617" t="s">
        <v>175</v>
      </c>
    </row>
    <row r="1618" spans="1:9" x14ac:dyDescent="0.2">
      <c r="A1618" t="s">
        <v>1290</v>
      </c>
      <c r="D1618" t="str">
        <f>HYPERLINK("http://nlpdeep.cs.uic.edu:8080/proofing/t5/532410-labs-imaging-5-0.pdf","t5/532410-labs-imaging-5-0.pdf")</f>
        <v>t5/532410-labs-imaging-5-0.pdf</v>
      </c>
      <c r="E1618">
        <v>119960</v>
      </c>
      <c r="F1618">
        <v>532410</v>
      </c>
      <c r="G1618" t="s">
        <v>9</v>
      </c>
      <c r="H1618" t="s">
        <v>147</v>
      </c>
      <c r="I1618" t="s">
        <v>177</v>
      </c>
    </row>
    <row r="1619" spans="1:9" x14ac:dyDescent="0.2">
      <c r="A1619" t="s">
        <v>1290</v>
      </c>
      <c r="D1619" t="str">
        <f>HYPERLINK("http://nlpdeep.cs.uic.edu:8080/proofing/gsii/532410-labs-imaging-5-0.pdf","gsii/532410-labs-imaging-5-0.pdf")</f>
        <v>gsii/532410-labs-imaging-5-0.pdf</v>
      </c>
      <c r="E1619">
        <v>119960</v>
      </c>
      <c r="F1619">
        <v>532410</v>
      </c>
      <c r="G1619" t="s">
        <v>9</v>
      </c>
      <c r="H1619" t="s">
        <v>147</v>
      </c>
      <c r="I1619" t="s">
        <v>177</v>
      </c>
    </row>
    <row r="1620" spans="1:9" x14ac:dyDescent="0.2">
      <c r="A1620" t="s">
        <v>1291</v>
      </c>
      <c r="D1620" t="str">
        <f>HYPERLINK("http://nlpdeep.cs.uic.edu:8080/proofing/t5/532410-labs-imaging-5-1.pdf","t5/532410-labs-imaging-5-1.pdf")</f>
        <v>t5/532410-labs-imaging-5-1.pdf</v>
      </c>
      <c r="E1620">
        <v>119960</v>
      </c>
      <c r="F1620">
        <v>532410</v>
      </c>
      <c r="G1620" t="s">
        <v>9</v>
      </c>
      <c r="H1620" t="s">
        <v>147</v>
      </c>
      <c r="I1620" t="s">
        <v>179</v>
      </c>
    </row>
    <row r="1621" spans="1:9" x14ac:dyDescent="0.2">
      <c r="A1621" t="s">
        <v>1291</v>
      </c>
      <c r="D1621" t="str">
        <f>HYPERLINK("http://nlpdeep.cs.uic.edu:8080/proofing/gsii/532410-labs-imaging-5-1.pdf","gsii/532410-labs-imaging-5-1.pdf")</f>
        <v>gsii/532410-labs-imaging-5-1.pdf</v>
      </c>
      <c r="E1621">
        <v>119960</v>
      </c>
      <c r="F1621">
        <v>532410</v>
      </c>
      <c r="G1621" t="s">
        <v>9</v>
      </c>
      <c r="H1621" t="s">
        <v>147</v>
      </c>
      <c r="I1621" t="s">
        <v>179</v>
      </c>
    </row>
    <row r="1622" spans="1:9" x14ac:dyDescent="0.2">
      <c r="A1622" t="s">
        <v>1292</v>
      </c>
      <c r="D1622" t="str">
        <f>HYPERLINK("http://nlpdeep.cs.uic.edu:8080/proofing/t5/532410-labs-imaging-5-2.pdf","t5/532410-labs-imaging-5-2.pdf")</f>
        <v>t5/532410-labs-imaging-5-2.pdf</v>
      </c>
      <c r="E1622">
        <v>119960</v>
      </c>
      <c r="F1622">
        <v>532410</v>
      </c>
      <c r="G1622" t="s">
        <v>9</v>
      </c>
      <c r="H1622" t="s">
        <v>147</v>
      </c>
      <c r="I1622" t="s">
        <v>181</v>
      </c>
    </row>
    <row r="1623" spans="1:9" x14ac:dyDescent="0.2">
      <c r="A1623" t="s">
        <v>1292</v>
      </c>
      <c r="D1623" t="str">
        <f>HYPERLINK("http://nlpdeep.cs.uic.edu:8080/proofing/gsii/532410-labs-imaging-5-2.pdf","gsii/532410-labs-imaging-5-2.pdf")</f>
        <v>gsii/532410-labs-imaging-5-2.pdf</v>
      </c>
      <c r="E1623">
        <v>119960</v>
      </c>
      <c r="F1623">
        <v>532410</v>
      </c>
      <c r="G1623" t="s">
        <v>9</v>
      </c>
      <c r="H1623" t="s">
        <v>147</v>
      </c>
      <c r="I1623" t="s">
        <v>181</v>
      </c>
    </row>
    <row r="1624" spans="1:9" x14ac:dyDescent="0.2">
      <c r="A1624" t="s">
        <v>1293</v>
      </c>
      <c r="D1624" t="str">
        <f>HYPERLINK("http://nlpdeep.cs.uic.edu:8080/proofing/t5/532410-labs-imaging-5-3.pdf","t5/532410-labs-imaging-5-3.pdf")</f>
        <v>t5/532410-labs-imaging-5-3.pdf</v>
      </c>
      <c r="E1624">
        <v>119960</v>
      </c>
      <c r="F1624">
        <v>532410</v>
      </c>
      <c r="G1624" t="s">
        <v>9</v>
      </c>
      <c r="H1624" t="s">
        <v>147</v>
      </c>
      <c r="I1624" t="s">
        <v>183</v>
      </c>
    </row>
    <row r="1625" spans="1:9" x14ac:dyDescent="0.2">
      <c r="A1625" t="s">
        <v>1293</v>
      </c>
      <c r="D1625" t="str">
        <f>HYPERLINK("http://nlpdeep.cs.uic.edu:8080/proofing/gsii/532410-labs-imaging-5-3.pdf","gsii/532410-labs-imaging-5-3.pdf")</f>
        <v>gsii/532410-labs-imaging-5-3.pdf</v>
      </c>
      <c r="E1625">
        <v>119960</v>
      </c>
      <c r="F1625">
        <v>532410</v>
      </c>
      <c r="G1625" t="s">
        <v>9</v>
      </c>
      <c r="H1625" t="s">
        <v>147</v>
      </c>
      <c r="I1625" t="s">
        <v>183</v>
      </c>
    </row>
    <row r="1626" spans="1:9" x14ac:dyDescent="0.2">
      <c r="A1626" t="s">
        <v>1294</v>
      </c>
      <c r="D1626" t="str">
        <f>HYPERLINK("http://nlpdeep.cs.uic.edu:8080/proofing/t5/532410-labs-imaging-5-4.pdf","t5/532410-labs-imaging-5-4.pdf")</f>
        <v>t5/532410-labs-imaging-5-4.pdf</v>
      </c>
      <c r="E1626">
        <v>119960</v>
      </c>
      <c r="F1626">
        <v>532410</v>
      </c>
      <c r="G1626" t="s">
        <v>9</v>
      </c>
      <c r="H1626" t="s">
        <v>147</v>
      </c>
      <c r="I1626" t="s">
        <v>185</v>
      </c>
    </row>
    <row r="1627" spans="1:9" x14ac:dyDescent="0.2">
      <c r="A1627" t="s">
        <v>1294</v>
      </c>
      <c r="D1627" t="str">
        <f>HYPERLINK("http://nlpdeep.cs.uic.edu:8080/proofing/gsii/532410-labs-imaging-5-4.pdf","gsii/532410-labs-imaging-5-4.pdf")</f>
        <v>gsii/532410-labs-imaging-5-4.pdf</v>
      </c>
      <c r="E1627">
        <v>119960</v>
      </c>
      <c r="F1627">
        <v>532410</v>
      </c>
      <c r="G1627" t="s">
        <v>9</v>
      </c>
      <c r="H1627" t="s">
        <v>147</v>
      </c>
      <c r="I1627" t="s">
        <v>185</v>
      </c>
    </row>
    <row r="1628" spans="1:9" x14ac:dyDescent="0.2">
      <c r="A1628" t="s">
        <v>1295</v>
      </c>
      <c r="D1628" t="str">
        <f>HYPERLINK("http://nlpdeep.cs.uic.edu:8080/proofing/t5/532410-labs-imaging-6-0.pdf","t5/532410-labs-imaging-6-0.pdf")</f>
        <v>t5/532410-labs-imaging-6-0.pdf</v>
      </c>
      <c r="E1628">
        <v>119960</v>
      </c>
      <c r="F1628">
        <v>532410</v>
      </c>
      <c r="G1628" t="s">
        <v>9</v>
      </c>
      <c r="H1628" t="s">
        <v>147</v>
      </c>
      <c r="I1628" t="s">
        <v>187</v>
      </c>
    </row>
    <row r="1629" spans="1:9" x14ac:dyDescent="0.2">
      <c r="A1629" t="s">
        <v>1295</v>
      </c>
      <c r="D1629" t="str">
        <f>HYPERLINK("http://nlpdeep.cs.uic.edu:8080/proofing/gsii/532410-labs-imaging-6-0.pdf","gsii/532410-labs-imaging-6-0.pdf")</f>
        <v>gsii/532410-labs-imaging-6-0.pdf</v>
      </c>
      <c r="E1629">
        <v>119960</v>
      </c>
      <c r="F1629">
        <v>532410</v>
      </c>
      <c r="G1629" t="s">
        <v>9</v>
      </c>
      <c r="H1629" t="s">
        <v>147</v>
      </c>
      <c r="I1629" t="s">
        <v>187</v>
      </c>
    </row>
    <row r="1630" spans="1:9" x14ac:dyDescent="0.2">
      <c r="A1630" t="s">
        <v>1296</v>
      </c>
      <c r="D1630" t="str">
        <f>HYPERLINK("http://nlpdeep.cs.uic.edu:8080/proofing/t5/532410-labs-imaging-6-1.pdf","t5/532410-labs-imaging-6-1.pdf")</f>
        <v>t5/532410-labs-imaging-6-1.pdf</v>
      </c>
      <c r="E1630">
        <v>119960</v>
      </c>
      <c r="F1630">
        <v>532410</v>
      </c>
      <c r="G1630" t="s">
        <v>9</v>
      </c>
      <c r="H1630" t="s">
        <v>147</v>
      </c>
      <c r="I1630" t="s">
        <v>189</v>
      </c>
    </row>
    <row r="1631" spans="1:9" x14ac:dyDescent="0.2">
      <c r="A1631" t="s">
        <v>1296</v>
      </c>
      <c r="D1631" t="str">
        <f>HYPERLINK("http://nlpdeep.cs.uic.edu:8080/proofing/gsii/532410-labs-imaging-6-1.pdf","gsii/532410-labs-imaging-6-1.pdf")</f>
        <v>gsii/532410-labs-imaging-6-1.pdf</v>
      </c>
      <c r="E1631">
        <v>119960</v>
      </c>
      <c r="F1631">
        <v>532410</v>
      </c>
      <c r="G1631" t="s">
        <v>9</v>
      </c>
      <c r="H1631" t="s">
        <v>147</v>
      </c>
      <c r="I1631" t="s">
        <v>189</v>
      </c>
    </row>
    <row r="1632" spans="1:9" x14ac:dyDescent="0.2">
      <c r="A1632" t="s">
        <v>1297</v>
      </c>
      <c r="D1632" t="str">
        <f>HYPERLINK("http://nlpdeep.cs.uic.edu:8080/proofing/t5/532410-labs-imaging-6-2.pdf","t5/532410-labs-imaging-6-2.pdf")</f>
        <v>t5/532410-labs-imaging-6-2.pdf</v>
      </c>
      <c r="E1632">
        <v>119960</v>
      </c>
      <c r="F1632">
        <v>532410</v>
      </c>
      <c r="G1632" t="s">
        <v>9</v>
      </c>
      <c r="H1632" t="s">
        <v>147</v>
      </c>
      <c r="I1632" t="s">
        <v>191</v>
      </c>
    </row>
    <row r="1633" spans="1:9" x14ac:dyDescent="0.2">
      <c r="A1633" t="s">
        <v>1297</v>
      </c>
      <c r="D1633" t="str">
        <f>HYPERLINK("http://nlpdeep.cs.uic.edu:8080/proofing/gsii/532410-labs-imaging-6-2.pdf","gsii/532410-labs-imaging-6-2.pdf")</f>
        <v>gsii/532410-labs-imaging-6-2.pdf</v>
      </c>
      <c r="E1633">
        <v>119960</v>
      </c>
      <c r="F1633">
        <v>532410</v>
      </c>
      <c r="G1633" t="s">
        <v>9</v>
      </c>
      <c r="H1633" t="s">
        <v>147</v>
      </c>
      <c r="I1633" t="s">
        <v>191</v>
      </c>
    </row>
    <row r="1634" spans="1:9" x14ac:dyDescent="0.2">
      <c r="A1634" t="s">
        <v>1298</v>
      </c>
      <c r="D1634" t="str">
        <f>HYPERLINK("http://nlpdeep.cs.uic.edu:8080/proofing/t5/532410-labs-imaging-6-3.pdf","t5/532410-labs-imaging-6-3.pdf")</f>
        <v>t5/532410-labs-imaging-6-3.pdf</v>
      </c>
      <c r="E1634">
        <v>119960</v>
      </c>
      <c r="F1634">
        <v>532410</v>
      </c>
      <c r="G1634" t="s">
        <v>9</v>
      </c>
      <c r="H1634" t="s">
        <v>147</v>
      </c>
      <c r="I1634" t="s">
        <v>193</v>
      </c>
    </row>
    <row r="1635" spans="1:9" x14ac:dyDescent="0.2">
      <c r="A1635" t="s">
        <v>1298</v>
      </c>
      <c r="D1635" t="str">
        <f>HYPERLINK("http://nlpdeep.cs.uic.edu:8080/proofing/gsii/532410-labs-imaging-6-3.pdf","gsii/532410-labs-imaging-6-3.pdf")</f>
        <v>gsii/532410-labs-imaging-6-3.pdf</v>
      </c>
      <c r="E1635">
        <v>119960</v>
      </c>
      <c r="F1635">
        <v>532410</v>
      </c>
      <c r="G1635" t="s">
        <v>9</v>
      </c>
      <c r="H1635" t="s">
        <v>147</v>
      </c>
      <c r="I1635" t="s">
        <v>193</v>
      </c>
    </row>
    <row r="1636" spans="1:9" x14ac:dyDescent="0.2">
      <c r="A1636" t="s">
        <v>1299</v>
      </c>
      <c r="D1636" t="str">
        <f>HYPERLINK("http://nlpdeep.cs.uic.edu:8080/proofing/t5/532410-assessment-and-plan-0-0.pdf","t5/532410-assessment-and-plan-0-0.pdf")</f>
        <v>t5/532410-assessment-and-plan-0-0.pdf</v>
      </c>
      <c r="E1636">
        <v>119960</v>
      </c>
      <c r="F1636">
        <v>532410</v>
      </c>
      <c r="G1636" t="s">
        <v>9</v>
      </c>
      <c r="H1636" t="s">
        <v>195</v>
      </c>
      <c r="I1636" t="s">
        <v>196</v>
      </c>
    </row>
    <row r="1637" spans="1:9" x14ac:dyDescent="0.2">
      <c r="A1637" t="s">
        <v>1299</v>
      </c>
      <c r="D1637" t="str">
        <f>HYPERLINK("http://nlpdeep.cs.uic.edu:8080/proofing/gsii/532410-assessment-and-plan-0-0.pdf","gsii/532410-assessment-and-plan-0-0.pdf")</f>
        <v>gsii/532410-assessment-and-plan-0-0.pdf</v>
      </c>
      <c r="E1637">
        <v>119960</v>
      </c>
      <c r="F1637">
        <v>532410</v>
      </c>
      <c r="G1637" t="s">
        <v>9</v>
      </c>
      <c r="H1637" t="s">
        <v>195</v>
      </c>
      <c r="I1637" t="s">
        <v>196</v>
      </c>
    </row>
    <row r="1638" spans="1:9" x14ac:dyDescent="0.2">
      <c r="A1638" t="s">
        <v>1300</v>
      </c>
      <c r="D1638" t="str">
        <f>HYPERLINK("http://nlpdeep.cs.uic.edu:8080/proofing/t5/532410-communication-0-0.pdf","t5/532410-communication-0-0.pdf")</f>
        <v>t5/532410-communication-0-0.pdf</v>
      </c>
      <c r="E1638">
        <v>119960</v>
      </c>
      <c r="F1638">
        <v>532410</v>
      </c>
      <c r="G1638" t="s">
        <v>9</v>
      </c>
      <c r="H1638" t="s">
        <v>198</v>
      </c>
      <c r="I1638" t="s">
        <v>199</v>
      </c>
    </row>
    <row r="1639" spans="1:9" x14ac:dyDescent="0.2">
      <c r="A1639" t="s">
        <v>1300</v>
      </c>
      <c r="D1639" t="str">
        <f>HYPERLINK("http://nlpdeep.cs.uic.edu:8080/proofing/gsii/532410-communication-0-0.pdf","gsii/532410-communication-0-0.pdf")</f>
        <v>gsii/532410-communication-0-0.pdf</v>
      </c>
      <c r="E1639">
        <v>119960</v>
      </c>
      <c r="F1639">
        <v>532410</v>
      </c>
      <c r="G1639" t="s">
        <v>9</v>
      </c>
      <c r="H1639" t="s">
        <v>198</v>
      </c>
      <c r="I1639" t="s">
        <v>199</v>
      </c>
    </row>
    <row r="1640" spans="1:9" x14ac:dyDescent="0.2">
      <c r="A1640" t="s">
        <v>1301</v>
      </c>
      <c r="D1640" t="str">
        <f>HYPERLINK("http://nlpdeep.cs.uic.edu:8080/proofing/t5/532410-code-status-0-0.pdf","t5/532410-code-status-0-0.pdf")</f>
        <v>t5/532410-code-status-0-0.pdf</v>
      </c>
      <c r="E1640">
        <v>119960</v>
      </c>
      <c r="F1640">
        <v>532410</v>
      </c>
      <c r="G1640" t="s">
        <v>9</v>
      </c>
      <c r="H1640" t="s">
        <v>201</v>
      </c>
      <c r="I1640" t="s">
        <v>202</v>
      </c>
    </row>
    <row r="1641" spans="1:9" x14ac:dyDescent="0.2">
      <c r="A1641" t="s">
        <v>1301</v>
      </c>
      <c r="D1641" t="str">
        <f>HYPERLINK("http://nlpdeep.cs.uic.edu:8080/proofing/gsii/532410-code-status-0-0.pdf","gsii/532410-code-status-0-0.pdf")</f>
        <v>gsii/532410-code-status-0-0.pdf</v>
      </c>
      <c r="E1641">
        <v>119960</v>
      </c>
      <c r="F1641">
        <v>532410</v>
      </c>
      <c r="G1641" t="s">
        <v>9</v>
      </c>
      <c r="H1641" t="s">
        <v>201</v>
      </c>
      <c r="I1641" t="s">
        <v>202</v>
      </c>
    </row>
    <row r="1642" spans="1:9" x14ac:dyDescent="0.2">
      <c r="A1642" t="s">
        <v>1302</v>
      </c>
      <c r="D1642" t="str">
        <f>HYPERLINK("http://nlpdeep.cs.uic.edu:8080/proofing/t5/532410-disposition-0-0.pdf","t5/532410-disposition-0-0.pdf")</f>
        <v>t5/532410-disposition-0-0.pdf</v>
      </c>
      <c r="E1642">
        <v>119960</v>
      </c>
      <c r="F1642">
        <v>532410</v>
      </c>
      <c r="G1642" t="s">
        <v>9</v>
      </c>
      <c r="H1642" t="s">
        <v>204</v>
      </c>
      <c r="I1642" t="s">
        <v>205</v>
      </c>
    </row>
    <row r="1643" spans="1:9" x14ac:dyDescent="0.2">
      <c r="A1643" t="s">
        <v>1302</v>
      </c>
      <c r="D1643" t="str">
        <f>HYPERLINK("http://nlpdeep.cs.uic.edu:8080/proofing/gsii/532410-disposition-0-0.pdf","gsii/532410-disposition-0-0.pdf")</f>
        <v>gsii/532410-disposition-0-0.pdf</v>
      </c>
      <c r="E1643">
        <v>119960</v>
      </c>
      <c r="F1643">
        <v>532410</v>
      </c>
      <c r="G1643" t="s">
        <v>9</v>
      </c>
      <c r="H1643" t="s">
        <v>204</v>
      </c>
      <c r="I1643" t="s">
        <v>205</v>
      </c>
    </row>
    <row r="1644" spans="1:9" x14ac:dyDescent="0.2">
      <c r="A1644" t="s">
        <v>1303</v>
      </c>
      <c r="D1644" t="str">
        <f>HYPERLINK("http://nlpdeep.cs.uic.edu:8080/proofing/t5/532405-chief-complaint-0-0.pdf","t5/532405-chief-complaint-0-0.pdf")</f>
        <v>t5/532405-chief-complaint-0-0.pdf</v>
      </c>
      <c r="E1644">
        <v>119960</v>
      </c>
      <c r="F1644">
        <v>532405</v>
      </c>
      <c r="G1644" t="s">
        <v>9</v>
      </c>
      <c r="H1644" t="s">
        <v>10</v>
      </c>
      <c r="I1644" t="s">
        <v>11</v>
      </c>
    </row>
    <row r="1645" spans="1:9" x14ac:dyDescent="0.2">
      <c r="A1645" t="s">
        <v>1303</v>
      </c>
      <c r="D1645" t="str">
        <f>HYPERLINK("http://nlpdeep.cs.uic.edu:8080/proofing/gsii/532405-chief-complaint-0-0.pdf","gsii/532405-chief-complaint-0-0.pdf")</f>
        <v>gsii/532405-chief-complaint-0-0.pdf</v>
      </c>
      <c r="E1645">
        <v>119960</v>
      </c>
      <c r="F1645">
        <v>532405</v>
      </c>
      <c r="G1645" t="s">
        <v>9</v>
      </c>
      <c r="H1645" t="s">
        <v>10</v>
      </c>
      <c r="I1645" t="s">
        <v>11</v>
      </c>
    </row>
    <row r="1646" spans="1:9" x14ac:dyDescent="0.2">
      <c r="A1646" t="s">
        <v>1304</v>
      </c>
      <c r="D1646" t="str">
        <f>HYPERLINK("http://nlpdeep.cs.uic.edu:8080/proofing/t5/532405-history-of-present-illness-0-0.pdf","t5/532405-history-of-present-illness-0-0.pdf")</f>
        <v>t5/532405-history-of-present-illness-0-0.pdf</v>
      </c>
      <c r="E1646">
        <v>119960</v>
      </c>
      <c r="F1646">
        <v>532405</v>
      </c>
      <c r="G1646" t="s">
        <v>9</v>
      </c>
      <c r="H1646" t="s">
        <v>13</v>
      </c>
      <c r="I1646" t="s">
        <v>14</v>
      </c>
    </row>
    <row r="1647" spans="1:9" x14ac:dyDescent="0.2">
      <c r="A1647" t="s">
        <v>1304</v>
      </c>
      <c r="D1647" t="str">
        <f>HYPERLINK("http://nlpdeep.cs.uic.edu:8080/proofing/gsii/532405-history-of-present-illness-0-0.pdf","gsii/532405-history-of-present-illness-0-0.pdf")</f>
        <v>gsii/532405-history-of-present-illness-0-0.pdf</v>
      </c>
      <c r="E1647">
        <v>119960</v>
      </c>
      <c r="F1647">
        <v>532405</v>
      </c>
      <c r="G1647" t="s">
        <v>9</v>
      </c>
      <c r="H1647" t="s">
        <v>13</v>
      </c>
      <c r="I1647" t="s">
        <v>14</v>
      </c>
    </row>
    <row r="1648" spans="1:9" x14ac:dyDescent="0.2">
      <c r="A1648" t="s">
        <v>1305</v>
      </c>
      <c r="D1648" t="str">
        <f>HYPERLINK("http://nlpdeep.cs.uic.edu:8080/proofing/t5/532405-history-of-present-illness-0-1.pdf","t5/532405-history-of-present-illness-0-1.pdf")</f>
        <v>t5/532405-history-of-present-illness-0-1.pdf</v>
      </c>
      <c r="E1648">
        <v>119960</v>
      </c>
      <c r="F1648">
        <v>532405</v>
      </c>
      <c r="G1648" t="s">
        <v>9</v>
      </c>
      <c r="H1648" t="s">
        <v>13</v>
      </c>
      <c r="I1648" t="s">
        <v>16</v>
      </c>
    </row>
    <row r="1649" spans="1:9" x14ac:dyDescent="0.2">
      <c r="A1649" t="s">
        <v>1305</v>
      </c>
      <c r="D1649" t="str">
        <f>HYPERLINK("http://nlpdeep.cs.uic.edu:8080/proofing/gsii/532405-history-of-present-illness-0-1.pdf","gsii/532405-history-of-present-illness-0-1.pdf")</f>
        <v>gsii/532405-history-of-present-illness-0-1.pdf</v>
      </c>
      <c r="E1649">
        <v>119960</v>
      </c>
      <c r="F1649">
        <v>532405</v>
      </c>
      <c r="G1649" t="s">
        <v>9</v>
      </c>
      <c r="H1649" t="s">
        <v>13</v>
      </c>
      <c r="I1649" t="s">
        <v>16</v>
      </c>
    </row>
    <row r="1650" spans="1:9" x14ac:dyDescent="0.2">
      <c r="A1650" t="s">
        <v>1306</v>
      </c>
      <c r="D1650" t="str">
        <f>HYPERLINK("http://nlpdeep.cs.uic.edu:8080/proofing/t5/532405-history-of-present-illness-0-2.pdf","t5/532405-history-of-present-illness-0-2.pdf")</f>
        <v>t5/532405-history-of-present-illness-0-2.pdf</v>
      </c>
      <c r="E1650">
        <v>119960</v>
      </c>
      <c r="F1650">
        <v>532405</v>
      </c>
      <c r="G1650" t="s">
        <v>9</v>
      </c>
      <c r="H1650" t="s">
        <v>13</v>
      </c>
      <c r="I1650" t="s">
        <v>18</v>
      </c>
    </row>
    <row r="1651" spans="1:9" x14ac:dyDescent="0.2">
      <c r="A1651" t="s">
        <v>1306</v>
      </c>
      <c r="D1651" t="str">
        <f>HYPERLINK("http://nlpdeep.cs.uic.edu:8080/proofing/gsii/532405-history-of-present-illness-0-2.pdf","gsii/532405-history-of-present-illness-0-2.pdf")</f>
        <v>gsii/532405-history-of-present-illness-0-2.pdf</v>
      </c>
      <c r="E1651">
        <v>119960</v>
      </c>
      <c r="F1651">
        <v>532405</v>
      </c>
      <c r="G1651" t="s">
        <v>9</v>
      </c>
      <c r="H1651" t="s">
        <v>13</v>
      </c>
      <c r="I1651" t="s">
        <v>18</v>
      </c>
    </row>
    <row r="1652" spans="1:9" x14ac:dyDescent="0.2">
      <c r="A1652" t="s">
        <v>1307</v>
      </c>
      <c r="D1652" t="str">
        <f>HYPERLINK("http://nlpdeep.cs.uic.edu:8080/proofing/t5/532405-history-of-present-illness-0-3.pdf","t5/532405-history-of-present-illness-0-3.pdf")</f>
        <v>t5/532405-history-of-present-illness-0-3.pdf</v>
      </c>
      <c r="E1652">
        <v>119960</v>
      </c>
      <c r="F1652">
        <v>532405</v>
      </c>
      <c r="G1652" t="s">
        <v>9</v>
      </c>
      <c r="H1652" t="s">
        <v>13</v>
      </c>
      <c r="I1652" t="s">
        <v>20</v>
      </c>
    </row>
    <row r="1653" spans="1:9" x14ac:dyDescent="0.2">
      <c r="A1653" t="s">
        <v>1307</v>
      </c>
      <c r="D1653" t="str">
        <f>HYPERLINK("http://nlpdeep.cs.uic.edu:8080/proofing/gsii/532405-history-of-present-illness-0-3.pdf","gsii/532405-history-of-present-illness-0-3.pdf")</f>
        <v>gsii/532405-history-of-present-illness-0-3.pdf</v>
      </c>
      <c r="E1653">
        <v>119960</v>
      </c>
      <c r="F1653">
        <v>532405</v>
      </c>
      <c r="G1653" t="s">
        <v>9</v>
      </c>
      <c r="H1653" t="s">
        <v>13</v>
      </c>
      <c r="I1653" t="s">
        <v>20</v>
      </c>
    </row>
    <row r="1654" spans="1:9" x14ac:dyDescent="0.2">
      <c r="A1654" t="s">
        <v>1308</v>
      </c>
      <c r="D1654" t="str">
        <f>HYPERLINK("http://nlpdeep.cs.uic.edu:8080/proofing/t5/532405-history-of-present-illness-0-4.pdf","t5/532405-history-of-present-illness-0-4.pdf")</f>
        <v>t5/532405-history-of-present-illness-0-4.pdf</v>
      </c>
      <c r="E1654">
        <v>119960</v>
      </c>
      <c r="F1654">
        <v>532405</v>
      </c>
      <c r="G1654" t="s">
        <v>9</v>
      </c>
      <c r="H1654" t="s">
        <v>13</v>
      </c>
      <c r="I1654" t="s">
        <v>22</v>
      </c>
    </row>
    <row r="1655" spans="1:9" x14ac:dyDescent="0.2">
      <c r="A1655" t="s">
        <v>1308</v>
      </c>
      <c r="D1655" t="str">
        <f>HYPERLINK("http://nlpdeep.cs.uic.edu:8080/proofing/gsii/532405-history-of-present-illness-0-4.pdf","gsii/532405-history-of-present-illness-0-4.pdf")</f>
        <v>gsii/532405-history-of-present-illness-0-4.pdf</v>
      </c>
      <c r="E1655">
        <v>119960</v>
      </c>
      <c r="F1655">
        <v>532405</v>
      </c>
      <c r="G1655" t="s">
        <v>9</v>
      </c>
      <c r="H1655" t="s">
        <v>13</v>
      </c>
      <c r="I1655" t="s">
        <v>22</v>
      </c>
    </row>
    <row r="1656" spans="1:9" x14ac:dyDescent="0.2">
      <c r="A1656" t="s">
        <v>1309</v>
      </c>
      <c r="D1656" t="str">
        <f>HYPERLINK("http://nlpdeep.cs.uic.edu:8080/proofing/t5/532405-history-of-present-illness-0-5.pdf","t5/532405-history-of-present-illness-0-5.pdf")</f>
        <v>t5/532405-history-of-present-illness-0-5.pdf</v>
      </c>
      <c r="E1656">
        <v>119960</v>
      </c>
      <c r="F1656">
        <v>532405</v>
      </c>
      <c r="G1656" t="s">
        <v>9</v>
      </c>
      <c r="H1656" t="s">
        <v>13</v>
      </c>
      <c r="I1656" t="s">
        <v>24</v>
      </c>
    </row>
    <row r="1657" spans="1:9" x14ac:dyDescent="0.2">
      <c r="A1657" t="s">
        <v>1309</v>
      </c>
      <c r="D1657" t="str">
        <f>HYPERLINK("http://nlpdeep.cs.uic.edu:8080/proofing/gsii/532405-history-of-present-illness-0-5.pdf","gsii/532405-history-of-present-illness-0-5.pdf")</f>
        <v>gsii/532405-history-of-present-illness-0-5.pdf</v>
      </c>
      <c r="E1657">
        <v>119960</v>
      </c>
      <c r="F1657">
        <v>532405</v>
      </c>
      <c r="G1657" t="s">
        <v>9</v>
      </c>
      <c r="H1657" t="s">
        <v>13</v>
      </c>
      <c r="I1657" t="s">
        <v>24</v>
      </c>
    </row>
    <row r="1658" spans="1:9" x14ac:dyDescent="0.2">
      <c r="A1658" t="s">
        <v>1310</v>
      </c>
      <c r="D1658" t="str">
        <f>HYPERLINK("http://nlpdeep.cs.uic.edu:8080/proofing/t5/532405-history-of-present-illness-0-6.pdf","t5/532405-history-of-present-illness-0-6.pdf")</f>
        <v>t5/532405-history-of-present-illness-0-6.pdf</v>
      </c>
      <c r="E1658">
        <v>119960</v>
      </c>
      <c r="F1658">
        <v>532405</v>
      </c>
      <c r="G1658" t="s">
        <v>9</v>
      </c>
      <c r="H1658" t="s">
        <v>13</v>
      </c>
      <c r="I1658" t="s">
        <v>26</v>
      </c>
    </row>
    <row r="1659" spans="1:9" x14ac:dyDescent="0.2">
      <c r="A1659" t="s">
        <v>1310</v>
      </c>
      <c r="D1659" t="str">
        <f>HYPERLINK("http://nlpdeep.cs.uic.edu:8080/proofing/gsii/532405-history-of-present-illness-0-6.pdf","gsii/532405-history-of-present-illness-0-6.pdf")</f>
        <v>gsii/532405-history-of-present-illness-0-6.pdf</v>
      </c>
      <c r="E1659">
        <v>119960</v>
      </c>
      <c r="F1659">
        <v>532405</v>
      </c>
      <c r="G1659" t="s">
        <v>9</v>
      </c>
      <c r="H1659" t="s">
        <v>13</v>
      </c>
      <c r="I1659" t="s">
        <v>26</v>
      </c>
    </row>
    <row r="1660" spans="1:9" x14ac:dyDescent="0.2">
      <c r="A1660" t="s">
        <v>1311</v>
      </c>
      <c r="D1660" t="str">
        <f>HYPERLINK("http://nlpdeep.cs.uic.edu:8080/proofing/t5/532405-history-of-present-illness-1-0.pdf","t5/532405-history-of-present-illness-1-0.pdf")</f>
        <v>t5/532405-history-of-present-illness-1-0.pdf</v>
      </c>
      <c r="E1660">
        <v>119960</v>
      </c>
      <c r="F1660">
        <v>532405</v>
      </c>
      <c r="G1660" t="s">
        <v>9</v>
      </c>
      <c r="H1660" t="s">
        <v>13</v>
      </c>
      <c r="I1660" t="s">
        <v>28</v>
      </c>
    </row>
    <row r="1661" spans="1:9" x14ac:dyDescent="0.2">
      <c r="A1661" t="s">
        <v>1311</v>
      </c>
      <c r="D1661" t="str">
        <f>HYPERLINK("http://nlpdeep.cs.uic.edu:8080/proofing/gsii/532405-history-of-present-illness-1-0.pdf","gsii/532405-history-of-present-illness-1-0.pdf")</f>
        <v>gsii/532405-history-of-present-illness-1-0.pdf</v>
      </c>
      <c r="E1661">
        <v>119960</v>
      </c>
      <c r="F1661">
        <v>532405</v>
      </c>
      <c r="G1661" t="s">
        <v>9</v>
      </c>
      <c r="H1661" t="s">
        <v>13</v>
      </c>
      <c r="I1661" t="s">
        <v>28</v>
      </c>
    </row>
    <row r="1662" spans="1:9" x14ac:dyDescent="0.2">
      <c r="A1662" t="s">
        <v>1312</v>
      </c>
      <c r="D1662" t="str">
        <f>HYPERLINK("http://nlpdeep.cs.uic.edu:8080/proofing/t5/532405-history-of-present-illness-1-1.pdf","t5/532405-history-of-present-illness-1-1.pdf")</f>
        <v>t5/532405-history-of-present-illness-1-1.pdf</v>
      </c>
      <c r="E1662">
        <v>119960</v>
      </c>
      <c r="F1662">
        <v>532405</v>
      </c>
      <c r="G1662" t="s">
        <v>9</v>
      </c>
      <c r="H1662" t="s">
        <v>13</v>
      </c>
      <c r="I1662" t="s">
        <v>30</v>
      </c>
    </row>
    <row r="1663" spans="1:9" x14ac:dyDescent="0.2">
      <c r="A1663" t="s">
        <v>1312</v>
      </c>
      <c r="D1663" t="str">
        <f>HYPERLINK("http://nlpdeep.cs.uic.edu:8080/proofing/gsii/532405-history-of-present-illness-1-1.pdf","gsii/532405-history-of-present-illness-1-1.pdf")</f>
        <v>gsii/532405-history-of-present-illness-1-1.pdf</v>
      </c>
      <c r="E1663">
        <v>119960</v>
      </c>
      <c r="F1663">
        <v>532405</v>
      </c>
      <c r="G1663" t="s">
        <v>9</v>
      </c>
      <c r="H1663" t="s">
        <v>13</v>
      </c>
      <c r="I1663" t="s">
        <v>30</v>
      </c>
    </row>
    <row r="1664" spans="1:9" x14ac:dyDescent="0.2">
      <c r="A1664" t="s">
        <v>1313</v>
      </c>
      <c r="D1664" t="str">
        <f>HYPERLINK("http://nlpdeep.cs.uic.edu:8080/proofing/t5/532405-history-of-present-illness-1-2.pdf","t5/532405-history-of-present-illness-1-2.pdf")</f>
        <v>t5/532405-history-of-present-illness-1-2.pdf</v>
      </c>
      <c r="E1664">
        <v>119960</v>
      </c>
      <c r="F1664">
        <v>532405</v>
      </c>
      <c r="G1664" t="s">
        <v>9</v>
      </c>
      <c r="H1664" t="s">
        <v>13</v>
      </c>
      <c r="I1664" t="s">
        <v>32</v>
      </c>
    </row>
    <row r="1665" spans="1:9" x14ac:dyDescent="0.2">
      <c r="A1665" t="s">
        <v>1313</v>
      </c>
      <c r="D1665" t="str">
        <f>HYPERLINK("http://nlpdeep.cs.uic.edu:8080/proofing/gsii/532405-history-of-present-illness-1-2.pdf","gsii/532405-history-of-present-illness-1-2.pdf")</f>
        <v>gsii/532405-history-of-present-illness-1-2.pdf</v>
      </c>
      <c r="E1665">
        <v>119960</v>
      </c>
      <c r="F1665">
        <v>532405</v>
      </c>
      <c r="G1665" t="s">
        <v>9</v>
      </c>
      <c r="H1665" t="s">
        <v>13</v>
      </c>
      <c r="I1665" t="s">
        <v>32</v>
      </c>
    </row>
    <row r="1666" spans="1:9" x14ac:dyDescent="0.2">
      <c r="A1666" t="s">
        <v>1314</v>
      </c>
      <c r="D1666" t="str">
        <f>HYPERLINK("http://nlpdeep.cs.uic.edu:8080/proofing/t5/532405-history-of-present-illness-1-3.pdf","t5/532405-history-of-present-illness-1-3.pdf")</f>
        <v>t5/532405-history-of-present-illness-1-3.pdf</v>
      </c>
      <c r="E1666">
        <v>119960</v>
      </c>
      <c r="F1666">
        <v>532405</v>
      </c>
      <c r="G1666" t="s">
        <v>9</v>
      </c>
      <c r="H1666" t="s">
        <v>13</v>
      </c>
      <c r="I1666" t="s">
        <v>34</v>
      </c>
    </row>
    <row r="1667" spans="1:9" x14ac:dyDescent="0.2">
      <c r="A1667" t="s">
        <v>1314</v>
      </c>
      <c r="D1667" t="str">
        <f>HYPERLINK("http://nlpdeep.cs.uic.edu:8080/proofing/gsii/532405-history-of-present-illness-1-3.pdf","gsii/532405-history-of-present-illness-1-3.pdf")</f>
        <v>gsii/532405-history-of-present-illness-1-3.pdf</v>
      </c>
      <c r="E1667">
        <v>119960</v>
      </c>
      <c r="F1667">
        <v>532405</v>
      </c>
      <c r="G1667" t="s">
        <v>9</v>
      </c>
      <c r="H1667" t="s">
        <v>13</v>
      </c>
      <c r="I1667" t="s">
        <v>34</v>
      </c>
    </row>
    <row r="1668" spans="1:9" x14ac:dyDescent="0.2">
      <c r="A1668" t="s">
        <v>1315</v>
      </c>
      <c r="D1668" t="str">
        <f>HYPERLINK("http://nlpdeep.cs.uic.edu:8080/proofing/t5/532405-history-of-present-illness-1-4.pdf","t5/532405-history-of-present-illness-1-4.pdf")</f>
        <v>t5/532405-history-of-present-illness-1-4.pdf</v>
      </c>
      <c r="E1668">
        <v>119960</v>
      </c>
      <c r="F1668">
        <v>532405</v>
      </c>
      <c r="G1668" t="s">
        <v>9</v>
      </c>
      <c r="H1668" t="s">
        <v>13</v>
      </c>
      <c r="I1668" t="s">
        <v>36</v>
      </c>
    </row>
    <row r="1669" spans="1:9" x14ac:dyDescent="0.2">
      <c r="A1669" t="s">
        <v>1315</v>
      </c>
      <c r="D1669" t="str">
        <f>HYPERLINK("http://nlpdeep.cs.uic.edu:8080/proofing/gsii/532405-history-of-present-illness-1-4.pdf","gsii/532405-history-of-present-illness-1-4.pdf")</f>
        <v>gsii/532405-history-of-present-illness-1-4.pdf</v>
      </c>
      <c r="E1669">
        <v>119960</v>
      </c>
      <c r="F1669">
        <v>532405</v>
      </c>
      <c r="G1669" t="s">
        <v>9</v>
      </c>
      <c r="H1669" t="s">
        <v>13</v>
      </c>
      <c r="I1669" t="s">
        <v>36</v>
      </c>
    </row>
    <row r="1670" spans="1:9" x14ac:dyDescent="0.2">
      <c r="A1670" t="s">
        <v>1316</v>
      </c>
      <c r="D1670" t="str">
        <f>HYPERLINK("http://nlpdeep.cs.uic.edu:8080/proofing/t5/532405-history-of-present-illness-2-0.pdf","t5/532405-history-of-present-illness-2-0.pdf")</f>
        <v>t5/532405-history-of-present-illness-2-0.pdf</v>
      </c>
      <c r="E1670">
        <v>119960</v>
      </c>
      <c r="F1670">
        <v>532405</v>
      </c>
      <c r="G1670" t="s">
        <v>9</v>
      </c>
      <c r="H1670" t="s">
        <v>13</v>
      </c>
      <c r="I1670" t="s">
        <v>38</v>
      </c>
    </row>
    <row r="1671" spans="1:9" x14ac:dyDescent="0.2">
      <c r="A1671" t="s">
        <v>1316</v>
      </c>
      <c r="D1671" t="str">
        <f>HYPERLINK("http://nlpdeep.cs.uic.edu:8080/proofing/gsii/532405-history-of-present-illness-2-0.pdf","gsii/532405-history-of-present-illness-2-0.pdf")</f>
        <v>gsii/532405-history-of-present-illness-2-0.pdf</v>
      </c>
      <c r="E1671">
        <v>119960</v>
      </c>
      <c r="F1671">
        <v>532405</v>
      </c>
      <c r="G1671" t="s">
        <v>9</v>
      </c>
      <c r="H1671" t="s">
        <v>13</v>
      </c>
      <c r="I1671" t="s">
        <v>38</v>
      </c>
    </row>
    <row r="1672" spans="1:9" x14ac:dyDescent="0.2">
      <c r="A1672" t="s">
        <v>1317</v>
      </c>
      <c r="D1672" t="str">
        <f>HYPERLINK("http://nlpdeep.cs.uic.edu:8080/proofing/t5/532405-history-of-present-illness-2-1.pdf","t5/532405-history-of-present-illness-2-1.pdf")</f>
        <v>t5/532405-history-of-present-illness-2-1.pdf</v>
      </c>
      <c r="E1672">
        <v>119960</v>
      </c>
      <c r="F1672">
        <v>532405</v>
      </c>
      <c r="G1672" t="s">
        <v>9</v>
      </c>
      <c r="H1672" t="s">
        <v>13</v>
      </c>
      <c r="I1672" t="s">
        <v>40</v>
      </c>
    </row>
    <row r="1673" spans="1:9" x14ac:dyDescent="0.2">
      <c r="A1673" t="s">
        <v>1317</v>
      </c>
      <c r="D1673" t="str">
        <f>HYPERLINK("http://nlpdeep.cs.uic.edu:8080/proofing/gsii/532405-history-of-present-illness-2-1.pdf","gsii/532405-history-of-present-illness-2-1.pdf")</f>
        <v>gsii/532405-history-of-present-illness-2-1.pdf</v>
      </c>
      <c r="E1673">
        <v>119960</v>
      </c>
      <c r="F1673">
        <v>532405</v>
      </c>
      <c r="G1673" t="s">
        <v>9</v>
      </c>
      <c r="H1673" t="s">
        <v>13</v>
      </c>
      <c r="I1673" t="s">
        <v>40</v>
      </c>
    </row>
    <row r="1674" spans="1:9" x14ac:dyDescent="0.2">
      <c r="A1674" t="s">
        <v>1318</v>
      </c>
      <c r="D1674" t="str">
        <f>HYPERLINK("http://nlpdeep.cs.uic.edu:8080/proofing/t5/532405-history-of-present-illness-2-2.pdf","t5/532405-history-of-present-illness-2-2.pdf")</f>
        <v>t5/532405-history-of-present-illness-2-2.pdf</v>
      </c>
      <c r="E1674">
        <v>119960</v>
      </c>
      <c r="F1674">
        <v>532405</v>
      </c>
      <c r="G1674" t="s">
        <v>9</v>
      </c>
      <c r="H1674" t="s">
        <v>13</v>
      </c>
      <c r="I1674" t="s">
        <v>42</v>
      </c>
    </row>
    <row r="1675" spans="1:9" x14ac:dyDescent="0.2">
      <c r="A1675" t="s">
        <v>1318</v>
      </c>
      <c r="D1675" t="str">
        <f>HYPERLINK("http://nlpdeep.cs.uic.edu:8080/proofing/gsii/532405-history-of-present-illness-2-2.pdf","gsii/532405-history-of-present-illness-2-2.pdf")</f>
        <v>gsii/532405-history-of-present-illness-2-2.pdf</v>
      </c>
      <c r="E1675">
        <v>119960</v>
      </c>
      <c r="F1675">
        <v>532405</v>
      </c>
      <c r="G1675" t="s">
        <v>9</v>
      </c>
      <c r="H1675" t="s">
        <v>13</v>
      </c>
      <c r="I1675" t="s">
        <v>42</v>
      </c>
    </row>
    <row r="1676" spans="1:9" x14ac:dyDescent="0.2">
      <c r="A1676" t="s">
        <v>1319</v>
      </c>
      <c r="D1676" t="str">
        <f>HYPERLINK("http://nlpdeep.cs.uic.edu:8080/proofing/t5/532405-history-of-present-illness-2-3.pdf","t5/532405-history-of-present-illness-2-3.pdf")</f>
        <v>t5/532405-history-of-present-illness-2-3.pdf</v>
      </c>
      <c r="E1676">
        <v>119960</v>
      </c>
      <c r="F1676">
        <v>532405</v>
      </c>
      <c r="G1676" t="s">
        <v>9</v>
      </c>
      <c r="H1676" t="s">
        <v>13</v>
      </c>
      <c r="I1676" t="s">
        <v>44</v>
      </c>
    </row>
    <row r="1677" spans="1:9" x14ac:dyDescent="0.2">
      <c r="A1677" t="s">
        <v>1319</v>
      </c>
      <c r="D1677" t="str">
        <f>HYPERLINK("http://nlpdeep.cs.uic.edu:8080/proofing/gsii/532405-history-of-present-illness-2-3.pdf","gsii/532405-history-of-present-illness-2-3.pdf")</f>
        <v>gsii/532405-history-of-present-illness-2-3.pdf</v>
      </c>
      <c r="E1677">
        <v>119960</v>
      </c>
      <c r="F1677">
        <v>532405</v>
      </c>
      <c r="G1677" t="s">
        <v>9</v>
      </c>
      <c r="H1677" t="s">
        <v>13</v>
      </c>
      <c r="I1677" t="s">
        <v>44</v>
      </c>
    </row>
    <row r="1678" spans="1:9" x14ac:dyDescent="0.2">
      <c r="A1678" t="s">
        <v>1320</v>
      </c>
      <c r="D1678" t="str">
        <f>HYPERLINK("http://nlpdeep.cs.uic.edu:8080/proofing/t5/532405-history-of-present-illness-2-4.pdf","t5/532405-history-of-present-illness-2-4.pdf")</f>
        <v>t5/532405-history-of-present-illness-2-4.pdf</v>
      </c>
      <c r="E1678">
        <v>119960</v>
      </c>
      <c r="F1678">
        <v>532405</v>
      </c>
      <c r="G1678" t="s">
        <v>9</v>
      </c>
      <c r="H1678" t="s">
        <v>13</v>
      </c>
      <c r="I1678" t="s">
        <v>46</v>
      </c>
    </row>
    <row r="1679" spans="1:9" x14ac:dyDescent="0.2">
      <c r="A1679" t="s">
        <v>1320</v>
      </c>
      <c r="D1679" t="str">
        <f>HYPERLINK("http://nlpdeep.cs.uic.edu:8080/proofing/gsii/532405-history-of-present-illness-2-4.pdf","gsii/532405-history-of-present-illness-2-4.pdf")</f>
        <v>gsii/532405-history-of-present-illness-2-4.pdf</v>
      </c>
      <c r="E1679">
        <v>119960</v>
      </c>
      <c r="F1679">
        <v>532405</v>
      </c>
      <c r="G1679" t="s">
        <v>9</v>
      </c>
      <c r="H1679" t="s">
        <v>13</v>
      </c>
      <c r="I1679" t="s">
        <v>46</v>
      </c>
    </row>
    <row r="1680" spans="1:9" x14ac:dyDescent="0.2">
      <c r="A1680" t="s">
        <v>1321</v>
      </c>
      <c r="D1680" t="str">
        <f>HYPERLINK("http://nlpdeep.cs.uic.edu:8080/proofing/t5/532405-history-of-present-illness-2-5.pdf","t5/532405-history-of-present-illness-2-5.pdf")</f>
        <v>t5/532405-history-of-present-illness-2-5.pdf</v>
      </c>
      <c r="E1680">
        <v>119960</v>
      </c>
      <c r="F1680">
        <v>532405</v>
      </c>
      <c r="G1680" t="s">
        <v>9</v>
      </c>
      <c r="H1680" t="s">
        <v>13</v>
      </c>
      <c r="I1680" t="s">
        <v>48</v>
      </c>
    </row>
    <row r="1681" spans="1:9" x14ac:dyDescent="0.2">
      <c r="A1681" t="s">
        <v>1321</v>
      </c>
      <c r="D1681" t="str">
        <f>HYPERLINK("http://nlpdeep.cs.uic.edu:8080/proofing/gsii/532405-history-of-present-illness-2-5.pdf","gsii/532405-history-of-present-illness-2-5.pdf")</f>
        <v>gsii/532405-history-of-present-illness-2-5.pdf</v>
      </c>
      <c r="E1681">
        <v>119960</v>
      </c>
      <c r="F1681">
        <v>532405</v>
      </c>
      <c r="G1681" t="s">
        <v>9</v>
      </c>
      <c r="H1681" t="s">
        <v>13</v>
      </c>
      <c r="I1681" t="s">
        <v>48</v>
      </c>
    </row>
    <row r="1682" spans="1:9" x14ac:dyDescent="0.2">
      <c r="A1682" t="s">
        <v>1322</v>
      </c>
      <c r="D1682" t="str">
        <f>HYPERLINK("http://nlpdeep.cs.uic.edu:8080/proofing/t5/532405-history-of-present-illness-2-6.pdf","t5/532405-history-of-present-illness-2-6.pdf")</f>
        <v>t5/532405-history-of-present-illness-2-6.pdf</v>
      </c>
      <c r="E1682">
        <v>119960</v>
      </c>
      <c r="F1682">
        <v>532405</v>
      </c>
      <c r="G1682" t="s">
        <v>9</v>
      </c>
      <c r="H1682" t="s">
        <v>13</v>
      </c>
      <c r="I1682" t="s">
        <v>50</v>
      </c>
    </row>
    <row r="1683" spans="1:9" x14ac:dyDescent="0.2">
      <c r="A1683" t="s">
        <v>1322</v>
      </c>
      <c r="D1683" t="str">
        <f>HYPERLINK("http://nlpdeep.cs.uic.edu:8080/proofing/gsii/532405-history-of-present-illness-2-6.pdf","gsii/532405-history-of-present-illness-2-6.pdf")</f>
        <v>gsii/532405-history-of-present-illness-2-6.pdf</v>
      </c>
      <c r="E1683">
        <v>119960</v>
      </c>
      <c r="F1683">
        <v>532405</v>
      </c>
      <c r="G1683" t="s">
        <v>9</v>
      </c>
      <c r="H1683" t="s">
        <v>13</v>
      </c>
      <c r="I1683" t="s">
        <v>50</v>
      </c>
    </row>
    <row r="1684" spans="1:9" x14ac:dyDescent="0.2">
      <c r="A1684" t="s">
        <v>1323</v>
      </c>
      <c r="D1684" t="str">
        <f>HYPERLINK("http://nlpdeep.cs.uic.edu:8080/proofing/t5/532405-history-of-present-illness-2-7.pdf","t5/532405-history-of-present-illness-2-7.pdf")</f>
        <v>t5/532405-history-of-present-illness-2-7.pdf</v>
      </c>
      <c r="E1684">
        <v>119960</v>
      </c>
      <c r="F1684">
        <v>532405</v>
      </c>
      <c r="G1684" t="s">
        <v>9</v>
      </c>
      <c r="H1684" t="s">
        <v>13</v>
      </c>
      <c r="I1684" t="s">
        <v>52</v>
      </c>
    </row>
    <row r="1685" spans="1:9" x14ac:dyDescent="0.2">
      <c r="A1685" t="s">
        <v>1323</v>
      </c>
      <c r="D1685" t="str">
        <f>HYPERLINK("http://nlpdeep.cs.uic.edu:8080/proofing/gsii/532405-history-of-present-illness-2-7.pdf","gsii/532405-history-of-present-illness-2-7.pdf")</f>
        <v>gsii/532405-history-of-present-illness-2-7.pdf</v>
      </c>
      <c r="E1685">
        <v>119960</v>
      </c>
      <c r="F1685">
        <v>532405</v>
      </c>
      <c r="G1685" t="s">
        <v>9</v>
      </c>
      <c r="H1685" t="s">
        <v>13</v>
      </c>
      <c r="I1685" t="s">
        <v>52</v>
      </c>
    </row>
    <row r="1686" spans="1:9" x14ac:dyDescent="0.2">
      <c r="A1686" t="s">
        <v>1324</v>
      </c>
      <c r="D1686" t="str">
        <f>HYPERLINK("http://nlpdeep.cs.uic.edu:8080/proofing/t5/532405-history-of-present-illness-2-8.pdf","t5/532405-history-of-present-illness-2-8.pdf")</f>
        <v>t5/532405-history-of-present-illness-2-8.pdf</v>
      </c>
      <c r="E1686">
        <v>119960</v>
      </c>
      <c r="F1686">
        <v>532405</v>
      </c>
      <c r="G1686" t="s">
        <v>9</v>
      </c>
      <c r="H1686" t="s">
        <v>13</v>
      </c>
      <c r="I1686" t="s">
        <v>54</v>
      </c>
    </row>
    <row r="1687" spans="1:9" x14ac:dyDescent="0.2">
      <c r="A1687" t="s">
        <v>1324</v>
      </c>
      <c r="D1687" t="str">
        <f>HYPERLINK("http://nlpdeep.cs.uic.edu:8080/proofing/gsii/532405-history-of-present-illness-2-8.pdf","gsii/532405-history-of-present-illness-2-8.pdf")</f>
        <v>gsii/532405-history-of-present-illness-2-8.pdf</v>
      </c>
      <c r="E1687">
        <v>119960</v>
      </c>
      <c r="F1687">
        <v>532405</v>
      </c>
      <c r="G1687" t="s">
        <v>9</v>
      </c>
      <c r="H1687" t="s">
        <v>13</v>
      </c>
      <c r="I1687" t="s">
        <v>54</v>
      </c>
    </row>
    <row r="1688" spans="1:9" x14ac:dyDescent="0.2">
      <c r="A1688" t="s">
        <v>1325</v>
      </c>
      <c r="D1688" t="str">
        <f>HYPERLINK("http://nlpdeep.cs.uic.edu:8080/proofing/t5/532405-history-of-present-illness-3-0.pdf","t5/532405-history-of-present-illness-3-0.pdf")</f>
        <v>t5/532405-history-of-present-illness-3-0.pdf</v>
      </c>
      <c r="E1688">
        <v>119960</v>
      </c>
      <c r="F1688">
        <v>532405</v>
      </c>
      <c r="G1688" t="s">
        <v>9</v>
      </c>
      <c r="H1688" t="s">
        <v>13</v>
      </c>
      <c r="I1688" t="s">
        <v>56</v>
      </c>
    </row>
    <row r="1689" spans="1:9" x14ac:dyDescent="0.2">
      <c r="A1689" t="s">
        <v>1325</v>
      </c>
      <c r="D1689" t="str">
        <f>HYPERLINK("http://nlpdeep.cs.uic.edu:8080/proofing/gsii/532405-history-of-present-illness-3-0.pdf","gsii/532405-history-of-present-illness-3-0.pdf")</f>
        <v>gsii/532405-history-of-present-illness-3-0.pdf</v>
      </c>
      <c r="E1689">
        <v>119960</v>
      </c>
      <c r="F1689">
        <v>532405</v>
      </c>
      <c r="G1689" t="s">
        <v>9</v>
      </c>
      <c r="H1689" t="s">
        <v>13</v>
      </c>
      <c r="I1689" t="s">
        <v>56</v>
      </c>
    </row>
    <row r="1690" spans="1:9" x14ac:dyDescent="0.2">
      <c r="A1690" t="s">
        <v>1326</v>
      </c>
      <c r="D1690" t="str">
        <f>HYPERLINK("http://nlpdeep.cs.uic.edu:8080/proofing/t5/532405-history-of-present-illness-4-0.pdf","t5/532405-history-of-present-illness-4-0.pdf")</f>
        <v>t5/532405-history-of-present-illness-4-0.pdf</v>
      </c>
      <c r="E1690">
        <v>119960</v>
      </c>
      <c r="F1690">
        <v>532405</v>
      </c>
      <c r="G1690" t="s">
        <v>9</v>
      </c>
      <c r="H1690" t="s">
        <v>13</v>
      </c>
      <c r="I1690" t="s">
        <v>58</v>
      </c>
    </row>
    <row r="1691" spans="1:9" x14ac:dyDescent="0.2">
      <c r="A1691" t="s">
        <v>1326</v>
      </c>
      <c r="D1691" t="str">
        <f>HYPERLINK("http://nlpdeep.cs.uic.edu:8080/proofing/gsii/532405-history-of-present-illness-4-0.pdf","gsii/532405-history-of-present-illness-4-0.pdf")</f>
        <v>gsii/532405-history-of-present-illness-4-0.pdf</v>
      </c>
      <c r="E1691">
        <v>119960</v>
      </c>
      <c r="F1691">
        <v>532405</v>
      </c>
      <c r="G1691" t="s">
        <v>9</v>
      </c>
      <c r="H1691" t="s">
        <v>13</v>
      </c>
      <c r="I1691" t="s">
        <v>58</v>
      </c>
    </row>
    <row r="1692" spans="1:9" x14ac:dyDescent="0.2">
      <c r="A1692" t="s">
        <v>1327</v>
      </c>
      <c r="D1692" t="str">
        <f>HYPERLINK("http://nlpdeep.cs.uic.edu:8080/proofing/t5/532405-history-of-present-illness-4-1.pdf","t5/532405-history-of-present-illness-4-1.pdf")</f>
        <v>t5/532405-history-of-present-illness-4-1.pdf</v>
      </c>
      <c r="E1692">
        <v>119960</v>
      </c>
      <c r="F1692">
        <v>532405</v>
      </c>
      <c r="G1692" t="s">
        <v>9</v>
      </c>
      <c r="H1692" t="s">
        <v>13</v>
      </c>
      <c r="I1692" t="s">
        <v>60</v>
      </c>
    </row>
    <row r="1693" spans="1:9" x14ac:dyDescent="0.2">
      <c r="A1693" t="s">
        <v>1327</v>
      </c>
      <c r="D1693" t="str">
        <f>HYPERLINK("http://nlpdeep.cs.uic.edu:8080/proofing/gsii/532405-history-of-present-illness-4-1.pdf","gsii/532405-history-of-present-illness-4-1.pdf")</f>
        <v>gsii/532405-history-of-present-illness-4-1.pdf</v>
      </c>
      <c r="E1693">
        <v>119960</v>
      </c>
      <c r="F1693">
        <v>532405</v>
      </c>
      <c r="G1693" t="s">
        <v>9</v>
      </c>
      <c r="H1693" t="s">
        <v>13</v>
      </c>
      <c r="I1693" t="s">
        <v>60</v>
      </c>
    </row>
    <row r="1694" spans="1:9" x14ac:dyDescent="0.2">
      <c r="A1694" t="s">
        <v>1328</v>
      </c>
      <c r="D1694" t="str">
        <f>HYPERLINK("http://nlpdeep.cs.uic.edu:8080/proofing/t5/532405-history-of-present-illness-4-2.pdf","t5/532405-history-of-present-illness-4-2.pdf")</f>
        <v>t5/532405-history-of-present-illness-4-2.pdf</v>
      </c>
      <c r="E1694">
        <v>119960</v>
      </c>
      <c r="F1694">
        <v>532405</v>
      </c>
      <c r="G1694" t="s">
        <v>9</v>
      </c>
      <c r="H1694" t="s">
        <v>13</v>
      </c>
      <c r="I1694" t="s">
        <v>62</v>
      </c>
    </row>
    <row r="1695" spans="1:9" x14ac:dyDescent="0.2">
      <c r="A1695" t="s">
        <v>1328</v>
      </c>
      <c r="D1695" t="str">
        <f>HYPERLINK("http://nlpdeep.cs.uic.edu:8080/proofing/gsii/532405-history-of-present-illness-4-2.pdf","gsii/532405-history-of-present-illness-4-2.pdf")</f>
        <v>gsii/532405-history-of-present-illness-4-2.pdf</v>
      </c>
      <c r="E1695">
        <v>119960</v>
      </c>
      <c r="F1695">
        <v>532405</v>
      </c>
      <c r="G1695" t="s">
        <v>9</v>
      </c>
      <c r="H1695" t="s">
        <v>13</v>
      </c>
      <c r="I1695" t="s">
        <v>62</v>
      </c>
    </row>
    <row r="1696" spans="1:9" x14ac:dyDescent="0.2">
      <c r="A1696" t="s">
        <v>1329</v>
      </c>
      <c r="D1696" t="str">
        <f>HYPERLINK("http://nlpdeep.cs.uic.edu:8080/proofing/t5/532405-allergies-0-0.pdf","t5/532405-allergies-0-0.pdf")</f>
        <v>t5/532405-allergies-0-0.pdf</v>
      </c>
      <c r="E1696">
        <v>119960</v>
      </c>
      <c r="F1696">
        <v>532405</v>
      </c>
      <c r="G1696" t="s">
        <v>9</v>
      </c>
      <c r="H1696" t="s">
        <v>64</v>
      </c>
      <c r="I1696" t="s">
        <v>65</v>
      </c>
    </row>
    <row r="1697" spans="1:9" x14ac:dyDescent="0.2">
      <c r="A1697" t="s">
        <v>1329</v>
      </c>
      <c r="D1697" t="str">
        <f>HYPERLINK("http://nlpdeep.cs.uic.edu:8080/proofing/gsii/532405-allergies-0-0.pdf","gsii/532405-allergies-0-0.pdf")</f>
        <v>gsii/532405-allergies-0-0.pdf</v>
      </c>
      <c r="E1697">
        <v>119960</v>
      </c>
      <c r="F1697">
        <v>532405</v>
      </c>
      <c r="G1697" t="s">
        <v>9</v>
      </c>
      <c r="H1697" t="s">
        <v>64</v>
      </c>
      <c r="I1697" t="s">
        <v>65</v>
      </c>
    </row>
    <row r="1698" spans="1:9" x14ac:dyDescent="0.2">
      <c r="A1698" t="s">
        <v>1330</v>
      </c>
      <c r="D1698" t="str">
        <f>HYPERLINK("http://nlpdeep.cs.uic.edu:8080/proofing/t5/532405-other-medications-0-0.pdf","t5/532405-other-medications-0-0.pdf")</f>
        <v>t5/532405-other-medications-0-0.pdf</v>
      </c>
      <c r="E1698">
        <v>119960</v>
      </c>
      <c r="F1698">
        <v>532405</v>
      </c>
      <c r="G1698" t="s">
        <v>9</v>
      </c>
      <c r="H1698" t="s">
        <v>67</v>
      </c>
      <c r="I1698" t="s">
        <v>68</v>
      </c>
    </row>
    <row r="1699" spans="1:9" x14ac:dyDescent="0.2">
      <c r="A1699" t="s">
        <v>1330</v>
      </c>
      <c r="D1699" t="str">
        <f>HYPERLINK("http://nlpdeep.cs.uic.edu:8080/proofing/gsii/532405-other-medications-0-0.pdf","gsii/532405-other-medications-0-0.pdf")</f>
        <v>gsii/532405-other-medications-0-0.pdf</v>
      </c>
      <c r="E1699">
        <v>119960</v>
      </c>
      <c r="F1699">
        <v>532405</v>
      </c>
      <c r="G1699" t="s">
        <v>9</v>
      </c>
      <c r="H1699" t="s">
        <v>67</v>
      </c>
      <c r="I1699" t="s">
        <v>68</v>
      </c>
    </row>
    <row r="1700" spans="1:9" x14ac:dyDescent="0.2">
      <c r="A1700" t="s">
        <v>1331</v>
      </c>
      <c r="D1700" t="str">
        <f>HYPERLINK("http://nlpdeep.cs.uic.edu:8080/proofing/t5/532405-other-medications-0-1.pdf","t5/532405-other-medications-0-1.pdf")</f>
        <v>t5/532405-other-medications-0-1.pdf</v>
      </c>
      <c r="E1700">
        <v>119960</v>
      </c>
      <c r="F1700">
        <v>532405</v>
      </c>
      <c r="G1700" t="s">
        <v>9</v>
      </c>
      <c r="H1700" t="s">
        <v>67</v>
      </c>
      <c r="I1700" t="s">
        <v>70</v>
      </c>
    </row>
    <row r="1701" spans="1:9" x14ac:dyDescent="0.2">
      <c r="A1701" t="s">
        <v>1331</v>
      </c>
      <c r="D1701" t="str">
        <f>HYPERLINK("http://nlpdeep.cs.uic.edu:8080/proofing/gsii/532405-other-medications-0-1.pdf","gsii/532405-other-medications-0-1.pdf")</f>
        <v>gsii/532405-other-medications-0-1.pdf</v>
      </c>
      <c r="E1701">
        <v>119960</v>
      </c>
      <c r="F1701">
        <v>532405</v>
      </c>
      <c r="G1701" t="s">
        <v>9</v>
      </c>
      <c r="H1701" t="s">
        <v>67</v>
      </c>
      <c r="I1701" t="s">
        <v>70</v>
      </c>
    </row>
    <row r="1702" spans="1:9" x14ac:dyDescent="0.2">
      <c r="A1702" t="s">
        <v>1332</v>
      </c>
      <c r="D1702" t="str">
        <f>HYPERLINK("http://nlpdeep.cs.uic.edu:8080/proofing/t5/532405-other-medications-0-2.pdf","t5/532405-other-medications-0-2.pdf")</f>
        <v>t5/532405-other-medications-0-2.pdf</v>
      </c>
      <c r="E1702">
        <v>119960</v>
      </c>
      <c r="F1702">
        <v>532405</v>
      </c>
      <c r="G1702" t="s">
        <v>9</v>
      </c>
      <c r="H1702" t="s">
        <v>67</v>
      </c>
      <c r="I1702" t="s">
        <v>72</v>
      </c>
    </row>
    <row r="1703" spans="1:9" x14ac:dyDescent="0.2">
      <c r="A1703" t="s">
        <v>1332</v>
      </c>
      <c r="D1703" t="str">
        <f>HYPERLINK("http://nlpdeep.cs.uic.edu:8080/proofing/gsii/532405-other-medications-0-2.pdf","gsii/532405-other-medications-0-2.pdf")</f>
        <v>gsii/532405-other-medications-0-2.pdf</v>
      </c>
      <c r="E1703">
        <v>119960</v>
      </c>
      <c r="F1703">
        <v>532405</v>
      </c>
      <c r="G1703" t="s">
        <v>9</v>
      </c>
      <c r="H1703" t="s">
        <v>67</v>
      </c>
      <c r="I1703" t="s">
        <v>72</v>
      </c>
    </row>
    <row r="1704" spans="1:9" x14ac:dyDescent="0.2">
      <c r="A1704" t="s">
        <v>1333</v>
      </c>
      <c r="D1704" t="str">
        <f>HYPERLINK("http://nlpdeep.cs.uic.edu:8080/proofing/t5/532405-other-medications-0-3.pdf","t5/532405-other-medications-0-3.pdf")</f>
        <v>t5/532405-other-medications-0-3.pdf</v>
      </c>
      <c r="E1704">
        <v>119960</v>
      </c>
      <c r="F1704">
        <v>532405</v>
      </c>
      <c r="G1704" t="s">
        <v>9</v>
      </c>
      <c r="H1704" t="s">
        <v>67</v>
      </c>
      <c r="I1704" t="s">
        <v>74</v>
      </c>
    </row>
    <row r="1705" spans="1:9" x14ac:dyDescent="0.2">
      <c r="A1705" t="s">
        <v>1333</v>
      </c>
      <c r="D1705" t="str">
        <f>HYPERLINK("http://nlpdeep.cs.uic.edu:8080/proofing/gsii/532405-other-medications-0-3.pdf","gsii/532405-other-medications-0-3.pdf")</f>
        <v>gsii/532405-other-medications-0-3.pdf</v>
      </c>
      <c r="E1705">
        <v>119960</v>
      </c>
      <c r="F1705">
        <v>532405</v>
      </c>
      <c r="G1705" t="s">
        <v>9</v>
      </c>
      <c r="H1705" t="s">
        <v>67</v>
      </c>
      <c r="I1705" t="s">
        <v>74</v>
      </c>
    </row>
    <row r="1706" spans="1:9" x14ac:dyDescent="0.2">
      <c r="A1706" t="s">
        <v>1334</v>
      </c>
      <c r="D1706" t="str">
        <f>HYPERLINK("http://nlpdeep.cs.uic.edu:8080/proofing/t5/532405-past-medical-history-0-0.pdf","t5/532405-past-medical-history-0-0.pdf")</f>
        <v>t5/532405-past-medical-history-0-0.pdf</v>
      </c>
      <c r="E1706">
        <v>119960</v>
      </c>
      <c r="F1706">
        <v>532405</v>
      </c>
      <c r="G1706" t="s">
        <v>9</v>
      </c>
      <c r="H1706" t="s">
        <v>76</v>
      </c>
      <c r="I1706" t="s">
        <v>77</v>
      </c>
    </row>
    <row r="1707" spans="1:9" x14ac:dyDescent="0.2">
      <c r="A1707" t="s">
        <v>1334</v>
      </c>
      <c r="D1707" t="str">
        <f>HYPERLINK("http://nlpdeep.cs.uic.edu:8080/proofing/gsii/532405-past-medical-history-0-0.pdf","gsii/532405-past-medical-history-0-0.pdf")</f>
        <v>gsii/532405-past-medical-history-0-0.pdf</v>
      </c>
      <c r="E1707">
        <v>119960</v>
      </c>
      <c r="F1707">
        <v>532405</v>
      </c>
      <c r="G1707" t="s">
        <v>9</v>
      </c>
      <c r="H1707" t="s">
        <v>76</v>
      </c>
      <c r="I1707" t="s">
        <v>77</v>
      </c>
    </row>
    <row r="1708" spans="1:9" x14ac:dyDescent="0.2">
      <c r="A1708" t="s">
        <v>1335</v>
      </c>
      <c r="D1708" t="str">
        <f>HYPERLINK("http://nlpdeep.cs.uic.edu:8080/proofing/t5/532405-past-medical-history-0-1.pdf","t5/532405-past-medical-history-0-1.pdf")</f>
        <v>t5/532405-past-medical-history-0-1.pdf</v>
      </c>
      <c r="E1708">
        <v>119960</v>
      </c>
      <c r="F1708">
        <v>532405</v>
      </c>
      <c r="G1708" t="s">
        <v>9</v>
      </c>
      <c r="H1708" t="s">
        <v>76</v>
      </c>
      <c r="I1708" t="s">
        <v>79</v>
      </c>
    </row>
    <row r="1709" spans="1:9" x14ac:dyDescent="0.2">
      <c r="A1709" t="s">
        <v>1335</v>
      </c>
      <c r="D1709" t="str">
        <f>HYPERLINK("http://nlpdeep.cs.uic.edu:8080/proofing/gsii/532405-past-medical-history-0-1.pdf","gsii/532405-past-medical-history-0-1.pdf")</f>
        <v>gsii/532405-past-medical-history-0-1.pdf</v>
      </c>
      <c r="E1709">
        <v>119960</v>
      </c>
      <c r="F1709">
        <v>532405</v>
      </c>
      <c r="G1709" t="s">
        <v>9</v>
      </c>
      <c r="H1709" t="s">
        <v>76</v>
      </c>
      <c r="I1709" t="s">
        <v>79</v>
      </c>
    </row>
    <row r="1710" spans="1:9" x14ac:dyDescent="0.2">
      <c r="A1710" t="s">
        <v>1336</v>
      </c>
      <c r="D1710" t="str">
        <f>HYPERLINK("http://nlpdeep.cs.uic.edu:8080/proofing/t5/532405-past-medical-history-0-2.pdf","t5/532405-past-medical-history-0-2.pdf")</f>
        <v>t5/532405-past-medical-history-0-2.pdf</v>
      </c>
      <c r="E1710">
        <v>119960</v>
      </c>
      <c r="F1710">
        <v>532405</v>
      </c>
      <c r="G1710" t="s">
        <v>9</v>
      </c>
      <c r="H1710" t="s">
        <v>76</v>
      </c>
      <c r="I1710" t="s">
        <v>81</v>
      </c>
    </row>
    <row r="1711" spans="1:9" x14ac:dyDescent="0.2">
      <c r="A1711" t="s">
        <v>1336</v>
      </c>
      <c r="D1711" t="str">
        <f>HYPERLINK("http://nlpdeep.cs.uic.edu:8080/proofing/gsii/532405-past-medical-history-0-2.pdf","gsii/532405-past-medical-history-0-2.pdf")</f>
        <v>gsii/532405-past-medical-history-0-2.pdf</v>
      </c>
      <c r="E1711">
        <v>119960</v>
      </c>
      <c r="F1711">
        <v>532405</v>
      </c>
      <c r="G1711" t="s">
        <v>9</v>
      </c>
      <c r="H1711" t="s">
        <v>76</v>
      </c>
      <c r="I1711" t="s">
        <v>81</v>
      </c>
    </row>
    <row r="1712" spans="1:9" x14ac:dyDescent="0.2">
      <c r="A1712" t="s">
        <v>1337</v>
      </c>
      <c r="D1712" t="str">
        <f>HYPERLINK("http://nlpdeep.cs.uic.edu:8080/proofing/t5/532405-past-medical-history-0-3.pdf","t5/532405-past-medical-history-0-3.pdf")</f>
        <v>t5/532405-past-medical-history-0-3.pdf</v>
      </c>
      <c r="E1712">
        <v>119960</v>
      </c>
      <c r="F1712">
        <v>532405</v>
      </c>
      <c r="G1712" t="s">
        <v>9</v>
      </c>
      <c r="H1712" t="s">
        <v>76</v>
      </c>
      <c r="I1712" t="s">
        <v>83</v>
      </c>
    </row>
    <row r="1713" spans="1:9" x14ac:dyDescent="0.2">
      <c r="A1713" t="s">
        <v>1337</v>
      </c>
      <c r="D1713" t="str">
        <f>HYPERLINK("http://nlpdeep.cs.uic.edu:8080/proofing/gsii/532405-past-medical-history-0-3.pdf","gsii/532405-past-medical-history-0-3.pdf")</f>
        <v>gsii/532405-past-medical-history-0-3.pdf</v>
      </c>
      <c r="E1713">
        <v>119960</v>
      </c>
      <c r="F1713">
        <v>532405</v>
      </c>
      <c r="G1713" t="s">
        <v>9</v>
      </c>
      <c r="H1713" t="s">
        <v>76</v>
      </c>
      <c r="I1713" t="s">
        <v>83</v>
      </c>
    </row>
    <row r="1714" spans="1:9" x14ac:dyDescent="0.2">
      <c r="A1714" t="s">
        <v>1338</v>
      </c>
      <c r="D1714" t="str">
        <f>HYPERLINK("http://nlpdeep.cs.uic.edu:8080/proofing/t5/532405-past-medical-history-0-4.pdf","t5/532405-past-medical-history-0-4.pdf")</f>
        <v>t5/532405-past-medical-history-0-4.pdf</v>
      </c>
      <c r="E1714">
        <v>119960</v>
      </c>
      <c r="F1714">
        <v>532405</v>
      </c>
      <c r="G1714" t="s">
        <v>9</v>
      </c>
      <c r="H1714" t="s">
        <v>76</v>
      </c>
      <c r="I1714" t="s">
        <v>85</v>
      </c>
    </row>
    <row r="1715" spans="1:9" x14ac:dyDescent="0.2">
      <c r="A1715" t="s">
        <v>1338</v>
      </c>
      <c r="D1715" t="str">
        <f>HYPERLINK("http://nlpdeep.cs.uic.edu:8080/proofing/gsii/532405-past-medical-history-0-4.pdf","gsii/532405-past-medical-history-0-4.pdf")</f>
        <v>gsii/532405-past-medical-history-0-4.pdf</v>
      </c>
      <c r="E1715">
        <v>119960</v>
      </c>
      <c r="F1715">
        <v>532405</v>
      </c>
      <c r="G1715" t="s">
        <v>9</v>
      </c>
      <c r="H1715" t="s">
        <v>76</v>
      </c>
      <c r="I1715" t="s">
        <v>85</v>
      </c>
    </row>
    <row r="1716" spans="1:9" x14ac:dyDescent="0.2">
      <c r="A1716" t="s">
        <v>1339</v>
      </c>
      <c r="D1716" t="str">
        <f>HYPERLINK("http://nlpdeep.cs.uic.edu:8080/proofing/t5/532405-past-medical-history-0-5.pdf","t5/532405-past-medical-history-0-5.pdf")</f>
        <v>t5/532405-past-medical-history-0-5.pdf</v>
      </c>
      <c r="E1716">
        <v>119960</v>
      </c>
      <c r="F1716">
        <v>532405</v>
      </c>
      <c r="G1716" t="s">
        <v>9</v>
      </c>
      <c r="H1716" t="s">
        <v>76</v>
      </c>
    </row>
    <row r="1717" spans="1:9" x14ac:dyDescent="0.2">
      <c r="A1717" t="s">
        <v>1339</v>
      </c>
      <c r="D1717" t="str">
        <f>HYPERLINK("http://nlpdeep.cs.uic.edu:8080/proofing/gsii/532405-past-medical-history-0-5.pdf","gsii/532405-past-medical-history-0-5.pdf")</f>
        <v>gsii/532405-past-medical-history-0-5.pdf</v>
      </c>
      <c r="E1717">
        <v>119960</v>
      </c>
      <c r="F1717">
        <v>532405</v>
      </c>
      <c r="G1717" t="s">
        <v>9</v>
      </c>
      <c r="H1717" t="s">
        <v>76</v>
      </c>
    </row>
    <row r="1718" spans="1:9" x14ac:dyDescent="0.2">
      <c r="A1718" t="s">
        <v>1340</v>
      </c>
      <c r="D1718" t="str">
        <f>HYPERLINK("http://nlpdeep.cs.uic.edu:8080/proofing/t5/532405-past-medical-history-1-0.pdf","t5/532405-past-medical-history-1-0.pdf")</f>
        <v>t5/532405-past-medical-history-1-0.pdf</v>
      </c>
      <c r="E1718">
        <v>119960</v>
      </c>
      <c r="F1718">
        <v>532405</v>
      </c>
      <c r="G1718" t="s">
        <v>9</v>
      </c>
      <c r="H1718" t="s">
        <v>76</v>
      </c>
    </row>
    <row r="1719" spans="1:9" x14ac:dyDescent="0.2">
      <c r="A1719" t="s">
        <v>1340</v>
      </c>
      <c r="D1719" t="str">
        <f>HYPERLINK("http://nlpdeep.cs.uic.edu:8080/proofing/gsii/532405-past-medical-history-1-0.pdf","gsii/532405-past-medical-history-1-0.pdf")</f>
        <v>gsii/532405-past-medical-history-1-0.pdf</v>
      </c>
      <c r="E1719">
        <v>119960</v>
      </c>
      <c r="F1719">
        <v>532405</v>
      </c>
      <c r="G1719" t="s">
        <v>9</v>
      </c>
      <c r="H1719" t="s">
        <v>76</v>
      </c>
    </row>
    <row r="1720" spans="1:9" x14ac:dyDescent="0.2">
      <c r="A1720" t="s">
        <v>1341</v>
      </c>
      <c r="D1720" t="str">
        <f>HYPERLINK("http://nlpdeep.cs.uic.edu:8080/proofing/t5/532405-past-medical-history-2-0.pdf","t5/532405-past-medical-history-2-0.pdf")</f>
        <v>t5/532405-past-medical-history-2-0.pdf</v>
      </c>
      <c r="E1720">
        <v>119960</v>
      </c>
      <c r="F1720">
        <v>532405</v>
      </c>
      <c r="G1720" t="s">
        <v>9</v>
      </c>
      <c r="H1720" t="s">
        <v>76</v>
      </c>
      <c r="I1720" t="s">
        <v>89</v>
      </c>
    </row>
    <row r="1721" spans="1:9" x14ac:dyDescent="0.2">
      <c r="A1721" t="s">
        <v>1341</v>
      </c>
      <c r="D1721" t="str">
        <f>HYPERLINK("http://nlpdeep.cs.uic.edu:8080/proofing/gsii/532405-past-medical-history-2-0.pdf","gsii/532405-past-medical-history-2-0.pdf")</f>
        <v>gsii/532405-past-medical-history-2-0.pdf</v>
      </c>
      <c r="E1721">
        <v>119960</v>
      </c>
      <c r="F1721">
        <v>532405</v>
      </c>
      <c r="G1721" t="s">
        <v>9</v>
      </c>
      <c r="H1721" t="s">
        <v>76</v>
      </c>
      <c r="I1721" t="s">
        <v>89</v>
      </c>
    </row>
    <row r="1722" spans="1:9" x14ac:dyDescent="0.2">
      <c r="A1722" t="s">
        <v>1342</v>
      </c>
      <c r="D1722" t="str">
        <f>HYPERLINK("http://nlpdeep.cs.uic.edu:8080/proofing/t5/532405-past-medical-history-2-1.pdf","t5/532405-past-medical-history-2-1.pdf")</f>
        <v>t5/532405-past-medical-history-2-1.pdf</v>
      </c>
      <c r="E1722">
        <v>119960</v>
      </c>
      <c r="F1722">
        <v>532405</v>
      </c>
      <c r="G1722" t="s">
        <v>9</v>
      </c>
      <c r="H1722" t="s">
        <v>76</v>
      </c>
    </row>
    <row r="1723" spans="1:9" x14ac:dyDescent="0.2">
      <c r="A1723" t="s">
        <v>1342</v>
      </c>
      <c r="D1723" t="str">
        <f>HYPERLINK("http://nlpdeep.cs.uic.edu:8080/proofing/gsii/532405-past-medical-history-2-1.pdf","gsii/532405-past-medical-history-2-1.pdf")</f>
        <v>gsii/532405-past-medical-history-2-1.pdf</v>
      </c>
      <c r="E1723">
        <v>119960</v>
      </c>
      <c r="F1723">
        <v>532405</v>
      </c>
      <c r="G1723" t="s">
        <v>9</v>
      </c>
      <c r="H1723" t="s">
        <v>76</v>
      </c>
    </row>
    <row r="1724" spans="1:9" x14ac:dyDescent="0.2">
      <c r="A1724" t="s">
        <v>1343</v>
      </c>
      <c r="D1724" t="str">
        <f>HYPERLINK("http://nlpdeep.cs.uic.edu:8080/proofing/t5/532405-past-medical-history-3-0.pdf","t5/532405-past-medical-history-3-0.pdf")</f>
        <v>t5/532405-past-medical-history-3-0.pdf</v>
      </c>
      <c r="E1724">
        <v>119960</v>
      </c>
      <c r="F1724">
        <v>532405</v>
      </c>
      <c r="G1724" t="s">
        <v>9</v>
      </c>
      <c r="H1724" t="s">
        <v>76</v>
      </c>
    </row>
    <row r="1725" spans="1:9" x14ac:dyDescent="0.2">
      <c r="A1725" t="s">
        <v>1343</v>
      </c>
      <c r="D1725" t="str">
        <f>HYPERLINK("http://nlpdeep.cs.uic.edu:8080/proofing/gsii/532405-past-medical-history-3-0.pdf","gsii/532405-past-medical-history-3-0.pdf")</f>
        <v>gsii/532405-past-medical-history-3-0.pdf</v>
      </c>
      <c r="E1725">
        <v>119960</v>
      </c>
      <c r="F1725">
        <v>532405</v>
      </c>
      <c r="G1725" t="s">
        <v>9</v>
      </c>
      <c r="H1725" t="s">
        <v>76</v>
      </c>
    </row>
    <row r="1726" spans="1:9" x14ac:dyDescent="0.2">
      <c r="A1726" t="s">
        <v>1344</v>
      </c>
      <c r="D1726" t="str">
        <f>HYPERLINK("http://nlpdeep.cs.uic.edu:8080/proofing/t5/532405-past-medical-history-4-0.pdf","t5/532405-past-medical-history-4-0.pdf")</f>
        <v>t5/532405-past-medical-history-4-0.pdf</v>
      </c>
      <c r="E1726">
        <v>119960</v>
      </c>
      <c r="F1726">
        <v>532405</v>
      </c>
      <c r="G1726" t="s">
        <v>9</v>
      </c>
      <c r="H1726" t="s">
        <v>76</v>
      </c>
      <c r="I1726" t="s">
        <v>93</v>
      </c>
    </row>
    <row r="1727" spans="1:9" x14ac:dyDescent="0.2">
      <c r="A1727" t="s">
        <v>1344</v>
      </c>
      <c r="D1727" t="str">
        <f>HYPERLINK("http://nlpdeep.cs.uic.edu:8080/proofing/gsii/532405-past-medical-history-4-0.pdf","gsii/532405-past-medical-history-4-0.pdf")</f>
        <v>gsii/532405-past-medical-history-4-0.pdf</v>
      </c>
      <c r="E1727">
        <v>119960</v>
      </c>
      <c r="F1727">
        <v>532405</v>
      </c>
      <c r="G1727" t="s">
        <v>9</v>
      </c>
      <c r="H1727" t="s">
        <v>76</v>
      </c>
      <c r="I1727" t="s">
        <v>93</v>
      </c>
    </row>
    <row r="1728" spans="1:9" x14ac:dyDescent="0.2">
      <c r="A1728" t="s">
        <v>1345</v>
      </c>
      <c r="D1728" t="str">
        <f>HYPERLINK("http://nlpdeep.cs.uic.edu:8080/proofing/t5/532405-past-medical-history-4-1.pdf","t5/532405-past-medical-history-4-1.pdf")</f>
        <v>t5/532405-past-medical-history-4-1.pdf</v>
      </c>
      <c r="E1728">
        <v>119960</v>
      </c>
      <c r="F1728">
        <v>532405</v>
      </c>
      <c r="G1728" t="s">
        <v>9</v>
      </c>
      <c r="H1728" t="s">
        <v>76</v>
      </c>
      <c r="I1728" t="s">
        <v>95</v>
      </c>
    </row>
    <row r="1729" spans="1:9" x14ac:dyDescent="0.2">
      <c r="A1729" t="s">
        <v>1345</v>
      </c>
      <c r="D1729" t="str">
        <f>HYPERLINK("http://nlpdeep.cs.uic.edu:8080/proofing/gsii/532405-past-medical-history-4-1.pdf","gsii/532405-past-medical-history-4-1.pdf")</f>
        <v>gsii/532405-past-medical-history-4-1.pdf</v>
      </c>
      <c r="E1729">
        <v>119960</v>
      </c>
      <c r="F1729">
        <v>532405</v>
      </c>
      <c r="G1729" t="s">
        <v>9</v>
      </c>
      <c r="H1729" t="s">
        <v>76</v>
      </c>
      <c r="I1729" t="s">
        <v>95</v>
      </c>
    </row>
    <row r="1730" spans="1:9" x14ac:dyDescent="0.2">
      <c r="A1730" t="s">
        <v>1346</v>
      </c>
      <c r="D1730" t="str">
        <f>HYPERLINK("http://nlpdeep.cs.uic.edu:8080/proofing/t5/532405-past-medical-history-4-2.pdf","t5/532405-past-medical-history-4-2.pdf")</f>
        <v>t5/532405-past-medical-history-4-2.pdf</v>
      </c>
      <c r="E1730">
        <v>119960</v>
      </c>
      <c r="F1730">
        <v>532405</v>
      </c>
      <c r="G1730" t="s">
        <v>9</v>
      </c>
      <c r="H1730" t="s">
        <v>76</v>
      </c>
      <c r="I1730" t="s">
        <v>97</v>
      </c>
    </row>
    <row r="1731" spans="1:9" x14ac:dyDescent="0.2">
      <c r="A1731" t="s">
        <v>1346</v>
      </c>
      <c r="D1731" t="str">
        <f>HYPERLINK("http://nlpdeep.cs.uic.edu:8080/proofing/gsii/532405-past-medical-history-4-2.pdf","gsii/532405-past-medical-history-4-2.pdf")</f>
        <v>gsii/532405-past-medical-history-4-2.pdf</v>
      </c>
      <c r="E1731">
        <v>119960</v>
      </c>
      <c r="F1731">
        <v>532405</v>
      </c>
      <c r="G1731" t="s">
        <v>9</v>
      </c>
      <c r="H1731" t="s">
        <v>76</v>
      </c>
      <c r="I1731" t="s">
        <v>97</v>
      </c>
    </row>
    <row r="1732" spans="1:9" x14ac:dyDescent="0.2">
      <c r="A1732" t="s">
        <v>1347</v>
      </c>
      <c r="D1732" t="str">
        <f>HYPERLINK("http://nlpdeep.cs.uic.edu:8080/proofing/t5/532405-past-medical-history-4-3.pdf","t5/532405-past-medical-history-4-3.pdf")</f>
        <v>t5/532405-past-medical-history-4-3.pdf</v>
      </c>
      <c r="E1732">
        <v>119960</v>
      </c>
      <c r="F1732">
        <v>532405</v>
      </c>
      <c r="G1732" t="s">
        <v>9</v>
      </c>
      <c r="H1732" t="s">
        <v>76</v>
      </c>
      <c r="I1732" t="s">
        <v>99</v>
      </c>
    </row>
    <row r="1733" spans="1:9" x14ac:dyDescent="0.2">
      <c r="A1733" t="s">
        <v>1347</v>
      </c>
      <c r="D1733" t="str">
        <f>HYPERLINK("http://nlpdeep.cs.uic.edu:8080/proofing/gsii/532405-past-medical-history-4-3.pdf","gsii/532405-past-medical-history-4-3.pdf")</f>
        <v>gsii/532405-past-medical-history-4-3.pdf</v>
      </c>
      <c r="E1733">
        <v>119960</v>
      </c>
      <c r="F1733">
        <v>532405</v>
      </c>
      <c r="G1733" t="s">
        <v>9</v>
      </c>
      <c r="H1733" t="s">
        <v>76</v>
      </c>
      <c r="I1733" t="s">
        <v>99</v>
      </c>
    </row>
    <row r="1734" spans="1:9" x14ac:dyDescent="0.2">
      <c r="A1734" t="s">
        <v>1348</v>
      </c>
      <c r="D1734" t="str">
        <f>HYPERLINK("http://nlpdeep.cs.uic.edu:8080/proofing/t5/532405-past-medical-history-4-4.pdf","t5/532405-past-medical-history-4-4.pdf")</f>
        <v>t5/532405-past-medical-history-4-4.pdf</v>
      </c>
      <c r="E1734">
        <v>119960</v>
      </c>
      <c r="F1734">
        <v>532405</v>
      </c>
      <c r="G1734" t="s">
        <v>9</v>
      </c>
      <c r="H1734" t="s">
        <v>76</v>
      </c>
      <c r="I1734" t="s">
        <v>101</v>
      </c>
    </row>
    <row r="1735" spans="1:9" x14ac:dyDescent="0.2">
      <c r="A1735" t="s">
        <v>1348</v>
      </c>
      <c r="D1735" t="str">
        <f>HYPERLINK("http://nlpdeep.cs.uic.edu:8080/proofing/gsii/532405-past-medical-history-4-4.pdf","gsii/532405-past-medical-history-4-4.pdf")</f>
        <v>gsii/532405-past-medical-history-4-4.pdf</v>
      </c>
      <c r="E1735">
        <v>119960</v>
      </c>
      <c r="F1735">
        <v>532405</v>
      </c>
      <c r="G1735" t="s">
        <v>9</v>
      </c>
      <c r="H1735" t="s">
        <v>76</v>
      </c>
      <c r="I1735" t="s">
        <v>101</v>
      </c>
    </row>
    <row r="1736" spans="1:9" x14ac:dyDescent="0.2">
      <c r="A1736" t="s">
        <v>1349</v>
      </c>
      <c r="D1736" t="str">
        <f>HYPERLINK("http://nlpdeep.cs.uic.edu:8080/proofing/t5/532405-past-medical-history-4-5.pdf","t5/532405-past-medical-history-4-5.pdf")</f>
        <v>t5/532405-past-medical-history-4-5.pdf</v>
      </c>
      <c r="E1736">
        <v>119960</v>
      </c>
      <c r="F1736">
        <v>532405</v>
      </c>
      <c r="G1736" t="s">
        <v>9</v>
      </c>
      <c r="H1736" t="s">
        <v>76</v>
      </c>
      <c r="I1736" t="s">
        <v>103</v>
      </c>
    </row>
    <row r="1737" spans="1:9" x14ac:dyDescent="0.2">
      <c r="A1737" t="s">
        <v>1349</v>
      </c>
      <c r="D1737" t="str">
        <f>HYPERLINK("http://nlpdeep.cs.uic.edu:8080/proofing/gsii/532405-past-medical-history-4-5.pdf","gsii/532405-past-medical-history-4-5.pdf")</f>
        <v>gsii/532405-past-medical-history-4-5.pdf</v>
      </c>
      <c r="E1737">
        <v>119960</v>
      </c>
      <c r="F1737">
        <v>532405</v>
      </c>
      <c r="G1737" t="s">
        <v>9</v>
      </c>
      <c r="H1737" t="s">
        <v>76</v>
      </c>
      <c r="I1737" t="s">
        <v>103</v>
      </c>
    </row>
    <row r="1738" spans="1:9" x14ac:dyDescent="0.2">
      <c r="A1738" t="s">
        <v>1350</v>
      </c>
      <c r="D1738" t="str">
        <f>HYPERLINK("http://nlpdeep.cs.uic.edu:8080/proofing/t5/532405-past-medical-history-4-6.pdf","t5/532405-past-medical-history-4-6.pdf")</f>
        <v>t5/532405-past-medical-history-4-6.pdf</v>
      </c>
      <c r="E1738">
        <v>119960</v>
      </c>
      <c r="F1738">
        <v>532405</v>
      </c>
      <c r="G1738" t="s">
        <v>9</v>
      </c>
      <c r="H1738" t="s">
        <v>76</v>
      </c>
      <c r="I1738" t="s">
        <v>105</v>
      </c>
    </row>
    <row r="1739" spans="1:9" x14ac:dyDescent="0.2">
      <c r="A1739" t="s">
        <v>1350</v>
      </c>
      <c r="D1739" t="str">
        <f>HYPERLINK("http://nlpdeep.cs.uic.edu:8080/proofing/gsii/532405-past-medical-history-4-6.pdf","gsii/532405-past-medical-history-4-6.pdf")</f>
        <v>gsii/532405-past-medical-history-4-6.pdf</v>
      </c>
      <c r="E1739">
        <v>119960</v>
      </c>
      <c r="F1739">
        <v>532405</v>
      </c>
      <c r="G1739" t="s">
        <v>9</v>
      </c>
      <c r="H1739" t="s">
        <v>76</v>
      </c>
      <c r="I1739" t="s">
        <v>105</v>
      </c>
    </row>
    <row r="1740" spans="1:9" x14ac:dyDescent="0.2">
      <c r="A1740" t="s">
        <v>1351</v>
      </c>
      <c r="D1740" t="str">
        <f>HYPERLINK("http://nlpdeep.cs.uic.edu:8080/proofing/t5/532405-family-history-0-0.pdf","t5/532405-family-history-0-0.pdf")</f>
        <v>t5/532405-family-history-0-0.pdf</v>
      </c>
      <c r="E1740">
        <v>119960</v>
      </c>
      <c r="F1740">
        <v>532405</v>
      </c>
      <c r="G1740" t="s">
        <v>9</v>
      </c>
      <c r="H1740" t="s">
        <v>107</v>
      </c>
      <c r="I1740" t="s">
        <v>108</v>
      </c>
    </row>
    <row r="1741" spans="1:9" x14ac:dyDescent="0.2">
      <c r="A1741" t="s">
        <v>1351</v>
      </c>
      <c r="D1741" t="str">
        <f>HYPERLINK("http://nlpdeep.cs.uic.edu:8080/proofing/gsii/532405-family-history-0-0.pdf","gsii/532405-family-history-0-0.pdf")</f>
        <v>gsii/532405-family-history-0-0.pdf</v>
      </c>
      <c r="E1741">
        <v>119960</v>
      </c>
      <c r="F1741">
        <v>532405</v>
      </c>
      <c r="G1741" t="s">
        <v>9</v>
      </c>
      <c r="H1741" t="s">
        <v>107</v>
      </c>
      <c r="I1741" t="s">
        <v>108</v>
      </c>
    </row>
    <row r="1742" spans="1:9" x14ac:dyDescent="0.2">
      <c r="A1742" t="s">
        <v>1352</v>
      </c>
      <c r="D1742" t="str">
        <f>HYPERLINK("http://nlpdeep.cs.uic.edu:8080/proofing/t5/532405-family-history-0-1.pdf","t5/532405-family-history-0-1.pdf")</f>
        <v>t5/532405-family-history-0-1.pdf</v>
      </c>
      <c r="E1742">
        <v>119960</v>
      </c>
      <c r="F1742">
        <v>532405</v>
      </c>
      <c r="G1742" t="s">
        <v>9</v>
      </c>
      <c r="H1742" t="s">
        <v>107</v>
      </c>
      <c r="I1742" t="s">
        <v>110</v>
      </c>
    </row>
    <row r="1743" spans="1:9" x14ac:dyDescent="0.2">
      <c r="A1743" t="s">
        <v>1352</v>
      </c>
      <c r="D1743" t="str">
        <f>HYPERLINK("http://nlpdeep.cs.uic.edu:8080/proofing/gsii/532405-family-history-0-1.pdf","gsii/532405-family-history-0-1.pdf")</f>
        <v>gsii/532405-family-history-0-1.pdf</v>
      </c>
      <c r="E1743">
        <v>119960</v>
      </c>
      <c r="F1743">
        <v>532405</v>
      </c>
      <c r="G1743" t="s">
        <v>9</v>
      </c>
      <c r="H1743" t="s">
        <v>107</v>
      </c>
      <c r="I1743" t="s">
        <v>110</v>
      </c>
    </row>
    <row r="1744" spans="1:9" x14ac:dyDescent="0.2">
      <c r="A1744" t="s">
        <v>1353</v>
      </c>
      <c r="D1744" t="str">
        <f>HYPERLINK("http://nlpdeep.cs.uic.edu:8080/proofing/t5/532405-family-history-0-2.pdf","t5/532405-family-history-0-2.pdf")</f>
        <v>t5/532405-family-history-0-2.pdf</v>
      </c>
      <c r="E1744">
        <v>119960</v>
      </c>
      <c r="F1744">
        <v>532405</v>
      </c>
      <c r="G1744" t="s">
        <v>9</v>
      </c>
      <c r="H1744" t="s">
        <v>107</v>
      </c>
      <c r="I1744" t="s">
        <v>112</v>
      </c>
    </row>
    <row r="1745" spans="1:9" x14ac:dyDescent="0.2">
      <c r="A1745" t="s">
        <v>1353</v>
      </c>
      <c r="D1745" t="str">
        <f>HYPERLINK("http://nlpdeep.cs.uic.edu:8080/proofing/gsii/532405-family-history-0-2.pdf","gsii/532405-family-history-0-2.pdf")</f>
        <v>gsii/532405-family-history-0-2.pdf</v>
      </c>
      <c r="E1745">
        <v>119960</v>
      </c>
      <c r="F1745">
        <v>532405</v>
      </c>
      <c r="G1745" t="s">
        <v>9</v>
      </c>
      <c r="H1745" t="s">
        <v>107</v>
      </c>
      <c r="I1745" t="s">
        <v>112</v>
      </c>
    </row>
    <row r="1746" spans="1:9" x14ac:dyDescent="0.2">
      <c r="A1746" t="s">
        <v>1354</v>
      </c>
      <c r="D1746" t="str">
        <f>HYPERLINK("http://nlpdeep.cs.uic.edu:8080/proofing/t5/532405-family-history-0-3.pdf","t5/532405-family-history-0-3.pdf")</f>
        <v>t5/532405-family-history-0-3.pdf</v>
      </c>
      <c r="E1746">
        <v>119960</v>
      </c>
      <c r="F1746">
        <v>532405</v>
      </c>
      <c r="G1746" t="s">
        <v>9</v>
      </c>
      <c r="H1746" t="s">
        <v>107</v>
      </c>
      <c r="I1746" t="s">
        <v>114</v>
      </c>
    </row>
    <row r="1747" spans="1:9" x14ac:dyDescent="0.2">
      <c r="A1747" t="s">
        <v>1354</v>
      </c>
      <c r="D1747" t="str">
        <f>HYPERLINK("http://nlpdeep.cs.uic.edu:8080/proofing/gsii/532405-family-history-0-3.pdf","gsii/532405-family-history-0-3.pdf")</f>
        <v>gsii/532405-family-history-0-3.pdf</v>
      </c>
      <c r="E1747">
        <v>119960</v>
      </c>
      <c r="F1747">
        <v>532405</v>
      </c>
      <c r="G1747" t="s">
        <v>9</v>
      </c>
      <c r="H1747" t="s">
        <v>107</v>
      </c>
      <c r="I1747" t="s">
        <v>114</v>
      </c>
    </row>
    <row r="1748" spans="1:9" x14ac:dyDescent="0.2">
      <c r="A1748" t="s">
        <v>1355</v>
      </c>
      <c r="D1748" t="str">
        <f>HYPERLINK("http://nlpdeep.cs.uic.edu:8080/proofing/t5/532405-family-history-0-4.pdf","t5/532405-family-history-0-4.pdf")</f>
        <v>t5/532405-family-history-0-4.pdf</v>
      </c>
      <c r="E1748">
        <v>119960</v>
      </c>
      <c r="F1748">
        <v>532405</v>
      </c>
      <c r="G1748" t="s">
        <v>9</v>
      </c>
      <c r="H1748" t="s">
        <v>107</v>
      </c>
      <c r="I1748" t="s">
        <v>116</v>
      </c>
    </row>
    <row r="1749" spans="1:9" x14ac:dyDescent="0.2">
      <c r="A1749" t="s">
        <v>1355</v>
      </c>
      <c r="D1749" t="str">
        <f>HYPERLINK("http://nlpdeep.cs.uic.edu:8080/proofing/gsii/532405-family-history-0-4.pdf","gsii/532405-family-history-0-4.pdf")</f>
        <v>gsii/532405-family-history-0-4.pdf</v>
      </c>
      <c r="E1749">
        <v>119960</v>
      </c>
      <c r="F1749">
        <v>532405</v>
      </c>
      <c r="G1749" t="s">
        <v>9</v>
      </c>
      <c r="H1749" t="s">
        <v>107</v>
      </c>
      <c r="I1749" t="s">
        <v>116</v>
      </c>
    </row>
    <row r="1750" spans="1:9" x14ac:dyDescent="0.2">
      <c r="A1750" t="s">
        <v>1356</v>
      </c>
      <c r="D1750" t="str">
        <f>HYPERLINK("http://nlpdeep.cs.uic.edu:8080/proofing/t5/532405-social-history-0-0.pdf","t5/532405-social-history-0-0.pdf")</f>
        <v>t5/532405-social-history-0-0.pdf</v>
      </c>
      <c r="E1750">
        <v>119960</v>
      </c>
      <c r="F1750">
        <v>532405</v>
      </c>
      <c r="G1750" t="s">
        <v>9</v>
      </c>
      <c r="H1750" t="s">
        <v>118</v>
      </c>
      <c r="I1750" t="s">
        <v>119</v>
      </c>
    </row>
    <row r="1751" spans="1:9" x14ac:dyDescent="0.2">
      <c r="A1751" t="s">
        <v>1356</v>
      </c>
      <c r="D1751" t="str">
        <f>HYPERLINK("http://nlpdeep.cs.uic.edu:8080/proofing/gsii/532405-social-history-0-0.pdf","gsii/532405-social-history-0-0.pdf")</f>
        <v>gsii/532405-social-history-0-0.pdf</v>
      </c>
      <c r="E1751">
        <v>119960</v>
      </c>
      <c r="F1751">
        <v>532405</v>
      </c>
      <c r="G1751" t="s">
        <v>9</v>
      </c>
      <c r="H1751" t="s">
        <v>118</v>
      </c>
      <c r="I1751" t="s">
        <v>119</v>
      </c>
    </row>
    <row r="1752" spans="1:9" x14ac:dyDescent="0.2">
      <c r="A1752" t="s">
        <v>1357</v>
      </c>
      <c r="D1752" t="str">
        <f>HYPERLINK("http://nlpdeep.cs.uic.edu:8080/proofing/t5/532405-social-history-0-1.pdf","t5/532405-social-history-0-1.pdf")</f>
        <v>t5/532405-social-history-0-1.pdf</v>
      </c>
      <c r="E1752">
        <v>119960</v>
      </c>
      <c r="F1752">
        <v>532405</v>
      </c>
      <c r="G1752" t="s">
        <v>9</v>
      </c>
      <c r="H1752" t="s">
        <v>118</v>
      </c>
      <c r="I1752" t="s">
        <v>121</v>
      </c>
    </row>
    <row r="1753" spans="1:9" x14ac:dyDescent="0.2">
      <c r="A1753" t="s">
        <v>1357</v>
      </c>
      <c r="D1753" t="str">
        <f>HYPERLINK("http://nlpdeep.cs.uic.edu:8080/proofing/gsii/532405-social-history-0-1.pdf","gsii/532405-social-history-0-1.pdf")</f>
        <v>gsii/532405-social-history-0-1.pdf</v>
      </c>
      <c r="E1753">
        <v>119960</v>
      </c>
      <c r="F1753">
        <v>532405</v>
      </c>
      <c r="G1753" t="s">
        <v>9</v>
      </c>
      <c r="H1753" t="s">
        <v>118</v>
      </c>
      <c r="I1753" t="s">
        <v>121</v>
      </c>
    </row>
    <row r="1754" spans="1:9" x14ac:dyDescent="0.2">
      <c r="A1754" t="s">
        <v>1358</v>
      </c>
      <c r="D1754" t="str">
        <f>HYPERLINK("http://nlpdeep.cs.uic.edu:8080/proofing/t5/532405-social-history-0-2.pdf","t5/532405-social-history-0-2.pdf")</f>
        <v>t5/532405-social-history-0-2.pdf</v>
      </c>
      <c r="E1754">
        <v>119960</v>
      </c>
      <c r="F1754">
        <v>532405</v>
      </c>
      <c r="G1754" t="s">
        <v>9</v>
      </c>
      <c r="H1754" t="s">
        <v>118</v>
      </c>
      <c r="I1754" t="s">
        <v>123</v>
      </c>
    </row>
    <row r="1755" spans="1:9" x14ac:dyDescent="0.2">
      <c r="A1755" t="s">
        <v>1358</v>
      </c>
      <c r="D1755" t="str">
        <f>HYPERLINK("http://nlpdeep.cs.uic.edu:8080/proofing/gsii/532405-social-history-0-2.pdf","gsii/532405-social-history-0-2.pdf")</f>
        <v>gsii/532405-social-history-0-2.pdf</v>
      </c>
      <c r="E1755">
        <v>119960</v>
      </c>
      <c r="F1755">
        <v>532405</v>
      </c>
      <c r="G1755" t="s">
        <v>9</v>
      </c>
      <c r="H1755" t="s">
        <v>118</v>
      </c>
      <c r="I1755" t="s">
        <v>123</v>
      </c>
    </row>
    <row r="1756" spans="1:9" x14ac:dyDescent="0.2">
      <c r="A1756" t="s">
        <v>1359</v>
      </c>
      <c r="D1756" t="str">
        <f>HYPERLINK("http://nlpdeep.cs.uic.edu:8080/proofing/t5/532405-social-history-0-3.pdf","t5/532405-social-history-0-3.pdf")</f>
        <v>t5/532405-social-history-0-3.pdf</v>
      </c>
      <c r="E1756">
        <v>119960</v>
      </c>
      <c r="F1756">
        <v>532405</v>
      </c>
      <c r="G1756" t="s">
        <v>9</v>
      </c>
      <c r="H1756" t="s">
        <v>118</v>
      </c>
      <c r="I1756" t="s">
        <v>125</v>
      </c>
    </row>
    <row r="1757" spans="1:9" x14ac:dyDescent="0.2">
      <c r="A1757" t="s">
        <v>1359</v>
      </c>
      <c r="D1757" t="str">
        <f>HYPERLINK("http://nlpdeep.cs.uic.edu:8080/proofing/gsii/532405-social-history-0-3.pdf","gsii/532405-social-history-0-3.pdf")</f>
        <v>gsii/532405-social-history-0-3.pdf</v>
      </c>
      <c r="E1757">
        <v>119960</v>
      </c>
      <c r="F1757">
        <v>532405</v>
      </c>
      <c r="G1757" t="s">
        <v>9</v>
      </c>
      <c r="H1757" t="s">
        <v>118</v>
      </c>
      <c r="I1757" t="s">
        <v>125</v>
      </c>
    </row>
    <row r="1758" spans="1:9" x14ac:dyDescent="0.2">
      <c r="A1758" t="s">
        <v>1360</v>
      </c>
      <c r="D1758" t="str">
        <f>HYPERLINK("http://nlpdeep.cs.uic.edu:8080/proofing/t5/532405-social-history-0-4.pdf","t5/532405-social-history-0-4.pdf")</f>
        <v>t5/532405-social-history-0-4.pdf</v>
      </c>
      <c r="E1758">
        <v>119960</v>
      </c>
      <c r="F1758">
        <v>532405</v>
      </c>
      <c r="G1758" t="s">
        <v>9</v>
      </c>
      <c r="H1758" t="s">
        <v>118</v>
      </c>
      <c r="I1758" t="s">
        <v>127</v>
      </c>
    </row>
    <row r="1759" spans="1:9" x14ac:dyDescent="0.2">
      <c r="A1759" t="s">
        <v>1360</v>
      </c>
      <c r="D1759" t="str">
        <f>HYPERLINK("http://nlpdeep.cs.uic.edu:8080/proofing/gsii/532405-social-history-0-4.pdf","gsii/532405-social-history-0-4.pdf")</f>
        <v>gsii/532405-social-history-0-4.pdf</v>
      </c>
      <c r="E1759">
        <v>119960</v>
      </c>
      <c r="F1759">
        <v>532405</v>
      </c>
      <c r="G1759" t="s">
        <v>9</v>
      </c>
      <c r="H1759" t="s">
        <v>118</v>
      </c>
      <c r="I1759" t="s">
        <v>127</v>
      </c>
    </row>
    <row r="1760" spans="1:9" x14ac:dyDescent="0.2">
      <c r="A1760" t="s">
        <v>1361</v>
      </c>
      <c r="D1760" t="str">
        <f>HYPERLINK("http://nlpdeep.cs.uic.edu:8080/proofing/t5/532405-social-history-0-5.pdf","t5/532405-social-history-0-5.pdf")</f>
        <v>t5/532405-social-history-0-5.pdf</v>
      </c>
      <c r="E1760">
        <v>119960</v>
      </c>
      <c r="F1760">
        <v>532405</v>
      </c>
      <c r="G1760" t="s">
        <v>9</v>
      </c>
      <c r="H1760" t="s">
        <v>118</v>
      </c>
      <c r="I1760" t="s">
        <v>129</v>
      </c>
    </row>
    <row r="1761" spans="1:9" x14ac:dyDescent="0.2">
      <c r="A1761" t="s">
        <v>1361</v>
      </c>
      <c r="D1761" t="str">
        <f>HYPERLINK("http://nlpdeep.cs.uic.edu:8080/proofing/gsii/532405-social-history-0-5.pdf","gsii/532405-social-history-0-5.pdf")</f>
        <v>gsii/532405-social-history-0-5.pdf</v>
      </c>
      <c r="E1761">
        <v>119960</v>
      </c>
      <c r="F1761">
        <v>532405</v>
      </c>
      <c r="G1761" t="s">
        <v>9</v>
      </c>
      <c r="H1761" t="s">
        <v>118</v>
      </c>
      <c r="I1761" t="s">
        <v>129</v>
      </c>
    </row>
    <row r="1762" spans="1:9" x14ac:dyDescent="0.2">
      <c r="A1762" t="s">
        <v>1362</v>
      </c>
      <c r="D1762" t="str">
        <f>HYPERLINK("http://nlpdeep.cs.uic.edu:8080/proofing/t5/532405-social-history-0-6.pdf","t5/532405-social-history-0-6.pdf")</f>
        <v>t5/532405-social-history-0-6.pdf</v>
      </c>
      <c r="E1762">
        <v>119960</v>
      </c>
      <c r="F1762">
        <v>532405</v>
      </c>
      <c r="G1762" t="s">
        <v>9</v>
      </c>
      <c r="H1762" t="s">
        <v>118</v>
      </c>
      <c r="I1762" t="s">
        <v>131</v>
      </c>
    </row>
    <row r="1763" spans="1:9" x14ac:dyDescent="0.2">
      <c r="A1763" t="s">
        <v>1362</v>
      </c>
      <c r="D1763" t="str">
        <f>HYPERLINK("http://nlpdeep.cs.uic.edu:8080/proofing/gsii/532405-social-history-0-6.pdf","gsii/532405-social-history-0-6.pdf")</f>
        <v>gsii/532405-social-history-0-6.pdf</v>
      </c>
      <c r="E1763">
        <v>119960</v>
      </c>
      <c r="F1763">
        <v>532405</v>
      </c>
      <c r="G1763" t="s">
        <v>9</v>
      </c>
      <c r="H1763" t="s">
        <v>118</v>
      </c>
      <c r="I1763" t="s">
        <v>131</v>
      </c>
    </row>
    <row r="1764" spans="1:9" x14ac:dyDescent="0.2">
      <c r="A1764" t="s">
        <v>1363</v>
      </c>
      <c r="D1764" t="str">
        <f>HYPERLINK("http://nlpdeep.cs.uic.edu:8080/proofing/t5/532405-social-history-0-7.pdf","t5/532405-social-history-0-7.pdf")</f>
        <v>t5/532405-social-history-0-7.pdf</v>
      </c>
      <c r="E1764">
        <v>119960</v>
      </c>
      <c r="F1764">
        <v>532405</v>
      </c>
      <c r="G1764" t="s">
        <v>9</v>
      </c>
      <c r="H1764" t="s">
        <v>118</v>
      </c>
      <c r="I1764" t="s">
        <v>133</v>
      </c>
    </row>
    <row r="1765" spans="1:9" x14ac:dyDescent="0.2">
      <c r="A1765" t="s">
        <v>1363</v>
      </c>
      <c r="D1765" t="str">
        <f>HYPERLINK("http://nlpdeep.cs.uic.edu:8080/proofing/gsii/532405-social-history-0-7.pdf","gsii/532405-social-history-0-7.pdf")</f>
        <v>gsii/532405-social-history-0-7.pdf</v>
      </c>
      <c r="E1765">
        <v>119960</v>
      </c>
      <c r="F1765">
        <v>532405</v>
      </c>
      <c r="G1765" t="s">
        <v>9</v>
      </c>
      <c r="H1765" t="s">
        <v>118</v>
      </c>
      <c r="I1765" t="s">
        <v>133</v>
      </c>
    </row>
    <row r="1766" spans="1:9" x14ac:dyDescent="0.2">
      <c r="A1766" t="s">
        <v>1364</v>
      </c>
      <c r="D1766" t="str">
        <f>HYPERLINK("http://nlpdeep.cs.uic.edu:8080/proofing/t5/532405-flowsheet-data-vitals-0-0.pdf","t5/532405-flowsheet-data-vitals-0-0.pdf")</f>
        <v>t5/532405-flowsheet-data-vitals-0-0.pdf</v>
      </c>
      <c r="E1766">
        <v>119960</v>
      </c>
      <c r="F1766">
        <v>532405</v>
      </c>
      <c r="G1766" t="s">
        <v>9</v>
      </c>
      <c r="H1766" t="s">
        <v>135</v>
      </c>
      <c r="I1766" t="s">
        <v>136</v>
      </c>
    </row>
    <row r="1767" spans="1:9" x14ac:dyDescent="0.2">
      <c r="A1767" t="s">
        <v>1364</v>
      </c>
      <c r="D1767" t="str">
        <f>HYPERLINK("http://nlpdeep.cs.uic.edu:8080/proofing/gsii/532405-flowsheet-data-vitals-0-0.pdf","gsii/532405-flowsheet-data-vitals-0-0.pdf")</f>
        <v>gsii/532405-flowsheet-data-vitals-0-0.pdf</v>
      </c>
      <c r="E1767">
        <v>119960</v>
      </c>
      <c r="F1767">
        <v>532405</v>
      </c>
      <c r="G1767" t="s">
        <v>9</v>
      </c>
      <c r="H1767" t="s">
        <v>135</v>
      </c>
      <c r="I1767" t="s">
        <v>136</v>
      </c>
    </row>
    <row r="1768" spans="1:9" x14ac:dyDescent="0.2">
      <c r="A1768" t="s">
        <v>1365</v>
      </c>
      <c r="D1768" t="str">
        <f>HYPERLINK("http://nlpdeep.cs.uic.edu:8080/proofing/t5/532405-physical-examination-0-0.pdf","t5/532405-physical-examination-0-0.pdf")</f>
        <v>t5/532405-physical-examination-0-0.pdf</v>
      </c>
      <c r="E1768">
        <v>119960</v>
      </c>
      <c r="F1768">
        <v>532405</v>
      </c>
      <c r="G1768" t="s">
        <v>9</v>
      </c>
      <c r="H1768" t="s">
        <v>138</v>
      </c>
      <c r="I1768" t="s">
        <v>139</v>
      </c>
    </row>
    <row r="1769" spans="1:9" x14ac:dyDescent="0.2">
      <c r="A1769" t="s">
        <v>1365</v>
      </c>
      <c r="D1769" t="str">
        <f>HYPERLINK("http://nlpdeep.cs.uic.edu:8080/proofing/gsii/532405-physical-examination-0-0.pdf","gsii/532405-physical-examination-0-0.pdf")</f>
        <v>gsii/532405-physical-examination-0-0.pdf</v>
      </c>
      <c r="E1769">
        <v>119960</v>
      </c>
      <c r="F1769">
        <v>532405</v>
      </c>
      <c r="G1769" t="s">
        <v>9</v>
      </c>
      <c r="H1769" t="s">
        <v>138</v>
      </c>
      <c r="I1769" t="s">
        <v>139</v>
      </c>
    </row>
    <row r="1770" spans="1:9" x14ac:dyDescent="0.2">
      <c r="A1770" t="s">
        <v>1366</v>
      </c>
      <c r="D1770" t="str">
        <f>HYPERLINK("http://nlpdeep.cs.uic.edu:8080/proofing/t5/532405-physical-examination-0-1.pdf","t5/532405-physical-examination-0-1.pdf")</f>
        <v>t5/532405-physical-examination-0-1.pdf</v>
      </c>
      <c r="E1770">
        <v>119960</v>
      </c>
      <c r="F1770">
        <v>532405</v>
      </c>
      <c r="G1770" t="s">
        <v>9</v>
      </c>
      <c r="H1770" t="s">
        <v>138</v>
      </c>
      <c r="I1770" t="s">
        <v>141</v>
      </c>
    </row>
    <row r="1771" spans="1:9" x14ac:dyDescent="0.2">
      <c r="A1771" t="s">
        <v>1366</v>
      </c>
      <c r="D1771" t="str">
        <f>HYPERLINK("http://nlpdeep.cs.uic.edu:8080/proofing/gsii/532405-physical-examination-0-1.pdf","gsii/532405-physical-examination-0-1.pdf")</f>
        <v>gsii/532405-physical-examination-0-1.pdf</v>
      </c>
      <c r="E1771">
        <v>119960</v>
      </c>
      <c r="F1771">
        <v>532405</v>
      </c>
      <c r="G1771" t="s">
        <v>9</v>
      </c>
      <c r="H1771" t="s">
        <v>138</v>
      </c>
      <c r="I1771" t="s">
        <v>141</v>
      </c>
    </row>
    <row r="1772" spans="1:9" x14ac:dyDescent="0.2">
      <c r="A1772" t="s">
        <v>1367</v>
      </c>
      <c r="D1772" t="str">
        <f>HYPERLINK("http://nlpdeep.cs.uic.edu:8080/proofing/t5/532405-physical-examination-0-2.pdf","t5/532405-physical-examination-0-2.pdf")</f>
        <v>t5/532405-physical-examination-0-2.pdf</v>
      </c>
      <c r="E1772">
        <v>119960</v>
      </c>
      <c r="F1772">
        <v>532405</v>
      </c>
      <c r="G1772" t="s">
        <v>9</v>
      </c>
      <c r="H1772" t="s">
        <v>138</v>
      </c>
      <c r="I1772" t="s">
        <v>143</v>
      </c>
    </row>
    <row r="1773" spans="1:9" x14ac:dyDescent="0.2">
      <c r="A1773" t="s">
        <v>1367</v>
      </c>
      <c r="D1773" t="str">
        <f>HYPERLINK("http://nlpdeep.cs.uic.edu:8080/proofing/gsii/532405-physical-examination-0-2.pdf","gsii/532405-physical-examination-0-2.pdf")</f>
        <v>gsii/532405-physical-examination-0-2.pdf</v>
      </c>
      <c r="E1773">
        <v>119960</v>
      </c>
      <c r="F1773">
        <v>532405</v>
      </c>
      <c r="G1773" t="s">
        <v>9</v>
      </c>
      <c r="H1773" t="s">
        <v>138</v>
      </c>
      <c r="I1773" t="s">
        <v>143</v>
      </c>
    </row>
    <row r="1774" spans="1:9" x14ac:dyDescent="0.2">
      <c r="A1774" t="s">
        <v>1368</v>
      </c>
      <c r="D1774" t="str">
        <f>HYPERLINK("http://nlpdeep.cs.uic.edu:8080/proofing/t5/532405-physical-examination-0-3.pdf","t5/532405-physical-examination-0-3.pdf")</f>
        <v>t5/532405-physical-examination-0-3.pdf</v>
      </c>
      <c r="E1774">
        <v>119960</v>
      </c>
      <c r="F1774">
        <v>532405</v>
      </c>
      <c r="G1774" t="s">
        <v>9</v>
      </c>
      <c r="H1774" t="s">
        <v>138</v>
      </c>
      <c r="I1774" t="s">
        <v>145</v>
      </c>
    </row>
    <row r="1775" spans="1:9" x14ac:dyDescent="0.2">
      <c r="A1775" t="s">
        <v>1368</v>
      </c>
      <c r="D1775" t="str">
        <f>HYPERLINK("http://nlpdeep.cs.uic.edu:8080/proofing/gsii/532405-physical-examination-0-3.pdf","gsii/532405-physical-examination-0-3.pdf")</f>
        <v>gsii/532405-physical-examination-0-3.pdf</v>
      </c>
      <c r="E1775">
        <v>119960</v>
      </c>
      <c r="F1775">
        <v>532405</v>
      </c>
      <c r="G1775" t="s">
        <v>9</v>
      </c>
      <c r="H1775" t="s">
        <v>138</v>
      </c>
      <c r="I1775" t="s">
        <v>145</v>
      </c>
    </row>
    <row r="1776" spans="1:9" x14ac:dyDescent="0.2">
      <c r="A1776" t="s">
        <v>1369</v>
      </c>
      <c r="D1776" t="str">
        <f>HYPERLINK("http://nlpdeep.cs.uic.edu:8080/proofing/t5/532405-labs-imaging-0-0.pdf","t5/532405-labs-imaging-0-0.pdf")</f>
        <v>t5/532405-labs-imaging-0-0.pdf</v>
      </c>
      <c r="E1776">
        <v>119960</v>
      </c>
      <c r="F1776">
        <v>532405</v>
      </c>
      <c r="G1776" t="s">
        <v>9</v>
      </c>
      <c r="H1776" t="s">
        <v>147</v>
      </c>
      <c r="I1776" t="s">
        <v>148</v>
      </c>
    </row>
    <row r="1777" spans="1:9" x14ac:dyDescent="0.2">
      <c r="A1777" t="s">
        <v>1369</v>
      </c>
      <c r="D1777" t="str">
        <f>HYPERLINK("http://nlpdeep.cs.uic.edu:8080/proofing/gsii/532405-labs-imaging-0-0.pdf","gsii/532405-labs-imaging-0-0.pdf")</f>
        <v>gsii/532405-labs-imaging-0-0.pdf</v>
      </c>
      <c r="E1777">
        <v>119960</v>
      </c>
      <c r="F1777">
        <v>532405</v>
      </c>
      <c r="G1777" t="s">
        <v>9</v>
      </c>
      <c r="H1777" t="s">
        <v>147</v>
      </c>
      <c r="I1777" t="s">
        <v>148</v>
      </c>
    </row>
    <row r="1778" spans="1:9" x14ac:dyDescent="0.2">
      <c r="A1778" t="s">
        <v>1370</v>
      </c>
      <c r="D1778" t="str">
        <f>HYPERLINK("http://nlpdeep.cs.uic.edu:8080/proofing/t5/532405-labs-imaging-0-1.pdf","t5/532405-labs-imaging-0-1.pdf")</f>
        <v>t5/532405-labs-imaging-0-1.pdf</v>
      </c>
      <c r="E1778">
        <v>119960</v>
      </c>
      <c r="F1778">
        <v>532405</v>
      </c>
      <c r="G1778" t="s">
        <v>9</v>
      </c>
      <c r="H1778" t="s">
        <v>147</v>
      </c>
      <c r="I1778" t="s">
        <v>150</v>
      </c>
    </row>
    <row r="1779" spans="1:9" x14ac:dyDescent="0.2">
      <c r="A1779" t="s">
        <v>1370</v>
      </c>
      <c r="D1779" t="str">
        <f>HYPERLINK("http://nlpdeep.cs.uic.edu:8080/proofing/gsii/532405-labs-imaging-0-1.pdf","gsii/532405-labs-imaging-0-1.pdf")</f>
        <v>gsii/532405-labs-imaging-0-1.pdf</v>
      </c>
      <c r="E1779">
        <v>119960</v>
      </c>
      <c r="F1779">
        <v>532405</v>
      </c>
      <c r="G1779" t="s">
        <v>9</v>
      </c>
      <c r="H1779" t="s">
        <v>147</v>
      </c>
      <c r="I1779" t="s">
        <v>150</v>
      </c>
    </row>
    <row r="1780" spans="1:9" x14ac:dyDescent="0.2">
      <c r="A1780" t="s">
        <v>1371</v>
      </c>
      <c r="D1780" t="str">
        <f>HYPERLINK("http://nlpdeep.cs.uic.edu:8080/proofing/t5/532405-labs-imaging-0-2.pdf","t5/532405-labs-imaging-0-2.pdf")</f>
        <v>t5/532405-labs-imaging-0-2.pdf</v>
      </c>
      <c r="E1780">
        <v>119960</v>
      </c>
      <c r="F1780">
        <v>532405</v>
      </c>
      <c r="G1780" t="s">
        <v>9</v>
      </c>
      <c r="H1780" t="s">
        <v>147</v>
      </c>
      <c r="I1780" t="s">
        <v>152</v>
      </c>
    </row>
    <row r="1781" spans="1:9" x14ac:dyDescent="0.2">
      <c r="A1781" t="s">
        <v>1371</v>
      </c>
      <c r="D1781" t="str">
        <f>HYPERLINK("http://nlpdeep.cs.uic.edu:8080/proofing/gsii/532405-labs-imaging-0-2.pdf","gsii/532405-labs-imaging-0-2.pdf")</f>
        <v>gsii/532405-labs-imaging-0-2.pdf</v>
      </c>
      <c r="E1781">
        <v>119960</v>
      </c>
      <c r="F1781">
        <v>532405</v>
      </c>
      <c r="G1781" t="s">
        <v>9</v>
      </c>
      <c r="H1781" t="s">
        <v>147</v>
      </c>
      <c r="I1781" t="s">
        <v>152</v>
      </c>
    </row>
    <row r="1782" spans="1:9" x14ac:dyDescent="0.2">
      <c r="A1782" t="s">
        <v>1372</v>
      </c>
      <c r="D1782" t="str">
        <f>HYPERLINK("http://nlpdeep.cs.uic.edu:8080/proofing/t5/532405-labs-imaging-0-3.pdf","t5/532405-labs-imaging-0-3.pdf")</f>
        <v>t5/532405-labs-imaging-0-3.pdf</v>
      </c>
      <c r="E1782">
        <v>119960</v>
      </c>
      <c r="F1782">
        <v>532405</v>
      </c>
      <c r="G1782" t="s">
        <v>9</v>
      </c>
      <c r="H1782" t="s">
        <v>147</v>
      </c>
      <c r="I1782" t="s">
        <v>154</v>
      </c>
    </row>
    <row r="1783" spans="1:9" x14ac:dyDescent="0.2">
      <c r="A1783" t="s">
        <v>1372</v>
      </c>
      <c r="D1783" t="str">
        <f>HYPERLINK("http://nlpdeep.cs.uic.edu:8080/proofing/gsii/532405-labs-imaging-0-3.pdf","gsii/532405-labs-imaging-0-3.pdf")</f>
        <v>gsii/532405-labs-imaging-0-3.pdf</v>
      </c>
      <c r="E1783">
        <v>119960</v>
      </c>
      <c r="F1783">
        <v>532405</v>
      </c>
      <c r="G1783" t="s">
        <v>9</v>
      </c>
      <c r="H1783" t="s">
        <v>147</v>
      </c>
      <c r="I1783" t="s">
        <v>154</v>
      </c>
    </row>
    <row r="1784" spans="1:9" x14ac:dyDescent="0.2">
      <c r="A1784" t="s">
        <v>1373</v>
      </c>
      <c r="D1784" t="str">
        <f>HYPERLINK("http://nlpdeep.cs.uic.edu:8080/proofing/t5/532405-labs-imaging-0-4.pdf","t5/532405-labs-imaging-0-4.pdf")</f>
        <v>t5/532405-labs-imaging-0-4.pdf</v>
      </c>
      <c r="E1784">
        <v>119960</v>
      </c>
      <c r="F1784">
        <v>532405</v>
      </c>
      <c r="G1784" t="s">
        <v>9</v>
      </c>
      <c r="H1784" t="s">
        <v>147</v>
      </c>
      <c r="I1784" t="s">
        <v>156</v>
      </c>
    </row>
    <row r="1785" spans="1:9" x14ac:dyDescent="0.2">
      <c r="A1785" t="s">
        <v>1373</v>
      </c>
      <c r="D1785" t="str">
        <f>HYPERLINK("http://nlpdeep.cs.uic.edu:8080/proofing/gsii/532405-labs-imaging-0-4.pdf","gsii/532405-labs-imaging-0-4.pdf")</f>
        <v>gsii/532405-labs-imaging-0-4.pdf</v>
      </c>
      <c r="E1785">
        <v>119960</v>
      </c>
      <c r="F1785">
        <v>532405</v>
      </c>
      <c r="G1785" t="s">
        <v>9</v>
      </c>
      <c r="H1785" t="s">
        <v>147</v>
      </c>
      <c r="I1785" t="s">
        <v>156</v>
      </c>
    </row>
    <row r="1786" spans="1:9" x14ac:dyDescent="0.2">
      <c r="A1786" t="s">
        <v>1374</v>
      </c>
      <c r="D1786" t="str">
        <f>HYPERLINK("http://nlpdeep.cs.uic.edu:8080/proofing/t5/532405-labs-imaging-0-5.pdf","t5/532405-labs-imaging-0-5.pdf")</f>
        <v>t5/532405-labs-imaging-0-5.pdf</v>
      </c>
      <c r="E1786">
        <v>119960</v>
      </c>
      <c r="F1786">
        <v>532405</v>
      </c>
      <c r="G1786" t="s">
        <v>9</v>
      </c>
      <c r="H1786" t="s">
        <v>147</v>
      </c>
      <c r="I1786" t="s">
        <v>158</v>
      </c>
    </row>
    <row r="1787" spans="1:9" x14ac:dyDescent="0.2">
      <c r="A1787" t="s">
        <v>1374</v>
      </c>
      <c r="D1787" t="str">
        <f>HYPERLINK("http://nlpdeep.cs.uic.edu:8080/proofing/gsii/532405-labs-imaging-0-5.pdf","gsii/532405-labs-imaging-0-5.pdf")</f>
        <v>gsii/532405-labs-imaging-0-5.pdf</v>
      </c>
      <c r="E1787">
        <v>119960</v>
      </c>
      <c r="F1787">
        <v>532405</v>
      </c>
      <c r="G1787" t="s">
        <v>9</v>
      </c>
      <c r="H1787" t="s">
        <v>147</v>
      </c>
      <c r="I1787" t="s">
        <v>158</v>
      </c>
    </row>
    <row r="1788" spans="1:9" x14ac:dyDescent="0.2">
      <c r="A1788" t="s">
        <v>1375</v>
      </c>
      <c r="D1788" t="str">
        <f>HYPERLINK("http://nlpdeep.cs.uic.edu:8080/proofing/t5/532405-labs-imaging-0-6.pdf","t5/532405-labs-imaging-0-6.pdf")</f>
        <v>t5/532405-labs-imaging-0-6.pdf</v>
      </c>
      <c r="E1788">
        <v>119960</v>
      </c>
      <c r="F1788">
        <v>532405</v>
      </c>
      <c r="G1788" t="s">
        <v>9</v>
      </c>
      <c r="H1788" t="s">
        <v>147</v>
      </c>
      <c r="I1788" t="s">
        <v>160</v>
      </c>
    </row>
    <row r="1789" spans="1:9" x14ac:dyDescent="0.2">
      <c r="A1789" t="s">
        <v>1375</v>
      </c>
      <c r="D1789" t="str">
        <f>HYPERLINK("http://nlpdeep.cs.uic.edu:8080/proofing/gsii/532405-labs-imaging-0-6.pdf","gsii/532405-labs-imaging-0-6.pdf")</f>
        <v>gsii/532405-labs-imaging-0-6.pdf</v>
      </c>
      <c r="E1789">
        <v>119960</v>
      </c>
      <c r="F1789">
        <v>532405</v>
      </c>
      <c r="G1789" t="s">
        <v>9</v>
      </c>
      <c r="H1789" t="s">
        <v>147</v>
      </c>
      <c r="I1789" t="s">
        <v>160</v>
      </c>
    </row>
    <row r="1790" spans="1:9" x14ac:dyDescent="0.2">
      <c r="A1790" t="s">
        <v>1376</v>
      </c>
      <c r="D1790" t="str">
        <f>HYPERLINK("http://nlpdeep.cs.uic.edu:8080/proofing/t5/532405-labs-imaging-0-7.pdf","t5/532405-labs-imaging-0-7.pdf")</f>
        <v>t5/532405-labs-imaging-0-7.pdf</v>
      </c>
      <c r="E1790">
        <v>119960</v>
      </c>
      <c r="F1790">
        <v>532405</v>
      </c>
      <c r="G1790" t="s">
        <v>9</v>
      </c>
      <c r="H1790" t="s">
        <v>147</v>
      </c>
      <c r="I1790" t="s">
        <v>162</v>
      </c>
    </row>
    <row r="1791" spans="1:9" x14ac:dyDescent="0.2">
      <c r="A1791" t="s">
        <v>1376</v>
      </c>
      <c r="D1791" t="str">
        <f>HYPERLINK("http://nlpdeep.cs.uic.edu:8080/proofing/gsii/532405-labs-imaging-0-7.pdf","gsii/532405-labs-imaging-0-7.pdf")</f>
        <v>gsii/532405-labs-imaging-0-7.pdf</v>
      </c>
      <c r="E1791">
        <v>119960</v>
      </c>
      <c r="F1791">
        <v>532405</v>
      </c>
      <c r="G1791" t="s">
        <v>9</v>
      </c>
      <c r="H1791" t="s">
        <v>147</v>
      </c>
      <c r="I1791" t="s">
        <v>162</v>
      </c>
    </row>
    <row r="1792" spans="1:9" x14ac:dyDescent="0.2">
      <c r="A1792" t="s">
        <v>1377</v>
      </c>
      <c r="D1792" t="str">
        <f>HYPERLINK("http://nlpdeep.cs.uic.edu:8080/proofing/t5/532405-labs-imaging-0-8.pdf","t5/532405-labs-imaging-0-8.pdf")</f>
        <v>t5/532405-labs-imaging-0-8.pdf</v>
      </c>
      <c r="E1792">
        <v>119960</v>
      </c>
      <c r="F1792">
        <v>532405</v>
      </c>
      <c r="G1792" t="s">
        <v>9</v>
      </c>
      <c r="H1792" t="s">
        <v>147</v>
      </c>
      <c r="I1792" t="s">
        <v>164</v>
      </c>
    </row>
    <row r="1793" spans="1:9" x14ac:dyDescent="0.2">
      <c r="A1793" t="s">
        <v>1377</v>
      </c>
      <c r="D1793" t="str">
        <f>HYPERLINK("http://nlpdeep.cs.uic.edu:8080/proofing/gsii/532405-labs-imaging-0-8.pdf","gsii/532405-labs-imaging-0-8.pdf")</f>
        <v>gsii/532405-labs-imaging-0-8.pdf</v>
      </c>
      <c r="E1793">
        <v>119960</v>
      </c>
      <c r="F1793">
        <v>532405</v>
      </c>
      <c r="G1793" t="s">
        <v>9</v>
      </c>
      <c r="H1793" t="s">
        <v>147</v>
      </c>
      <c r="I1793" t="s">
        <v>164</v>
      </c>
    </row>
    <row r="1794" spans="1:9" x14ac:dyDescent="0.2">
      <c r="A1794" t="s">
        <v>1378</v>
      </c>
      <c r="D1794" t="str">
        <f>HYPERLINK("http://nlpdeep.cs.uic.edu:8080/proofing/t5/532405-labs-imaging-1-0.pdf","t5/532405-labs-imaging-1-0.pdf")</f>
        <v>t5/532405-labs-imaging-1-0.pdf</v>
      </c>
      <c r="E1794">
        <v>119960</v>
      </c>
      <c r="F1794">
        <v>532405</v>
      </c>
      <c r="G1794" t="s">
        <v>9</v>
      </c>
      <c r="H1794" t="s">
        <v>147</v>
      </c>
    </row>
    <row r="1795" spans="1:9" x14ac:dyDescent="0.2">
      <c r="A1795" t="s">
        <v>1378</v>
      </c>
      <c r="D1795" t="str">
        <f>HYPERLINK("http://nlpdeep.cs.uic.edu:8080/proofing/gsii/532405-labs-imaging-1-0.pdf","gsii/532405-labs-imaging-1-0.pdf")</f>
        <v>gsii/532405-labs-imaging-1-0.pdf</v>
      </c>
      <c r="E1795">
        <v>119960</v>
      </c>
      <c r="F1795">
        <v>532405</v>
      </c>
      <c r="G1795" t="s">
        <v>9</v>
      </c>
      <c r="H1795" t="s">
        <v>147</v>
      </c>
    </row>
    <row r="1796" spans="1:9" x14ac:dyDescent="0.2">
      <c r="A1796" t="s">
        <v>1379</v>
      </c>
      <c r="D1796" t="str">
        <f>HYPERLINK("http://nlpdeep.cs.uic.edu:8080/proofing/t5/532405-labs-imaging-2-0.pdf","t5/532405-labs-imaging-2-0.pdf")</f>
        <v>t5/532405-labs-imaging-2-0.pdf</v>
      </c>
      <c r="E1796">
        <v>119960</v>
      </c>
      <c r="F1796">
        <v>532405</v>
      </c>
      <c r="G1796" t="s">
        <v>9</v>
      </c>
      <c r="H1796" t="s">
        <v>147</v>
      </c>
    </row>
    <row r="1797" spans="1:9" x14ac:dyDescent="0.2">
      <c r="A1797" t="s">
        <v>1379</v>
      </c>
      <c r="D1797" t="str">
        <f>HYPERLINK("http://nlpdeep.cs.uic.edu:8080/proofing/gsii/532405-labs-imaging-2-0.pdf","gsii/532405-labs-imaging-2-0.pdf")</f>
        <v>gsii/532405-labs-imaging-2-0.pdf</v>
      </c>
      <c r="E1797">
        <v>119960</v>
      </c>
      <c r="F1797">
        <v>532405</v>
      </c>
      <c r="G1797" t="s">
        <v>9</v>
      </c>
      <c r="H1797" t="s">
        <v>147</v>
      </c>
    </row>
    <row r="1798" spans="1:9" x14ac:dyDescent="0.2">
      <c r="A1798" t="s">
        <v>1380</v>
      </c>
      <c r="D1798" t="str">
        <f>HYPERLINK("http://nlpdeep.cs.uic.edu:8080/proofing/t5/532405-labs-imaging-3-0.pdf","t5/532405-labs-imaging-3-0.pdf")</f>
        <v>t5/532405-labs-imaging-3-0.pdf</v>
      </c>
      <c r="E1798">
        <v>119960</v>
      </c>
      <c r="F1798">
        <v>532405</v>
      </c>
      <c r="G1798" t="s">
        <v>9</v>
      </c>
      <c r="H1798" t="s">
        <v>147</v>
      </c>
    </row>
    <row r="1799" spans="1:9" x14ac:dyDescent="0.2">
      <c r="A1799" t="s">
        <v>1380</v>
      </c>
      <c r="D1799" t="str">
        <f>HYPERLINK("http://nlpdeep.cs.uic.edu:8080/proofing/gsii/532405-labs-imaging-3-0.pdf","gsii/532405-labs-imaging-3-0.pdf")</f>
        <v>gsii/532405-labs-imaging-3-0.pdf</v>
      </c>
      <c r="E1799">
        <v>119960</v>
      </c>
      <c r="F1799">
        <v>532405</v>
      </c>
      <c r="G1799" t="s">
        <v>9</v>
      </c>
      <c r="H1799" t="s">
        <v>147</v>
      </c>
    </row>
    <row r="1800" spans="1:9" x14ac:dyDescent="0.2">
      <c r="A1800" t="s">
        <v>1381</v>
      </c>
      <c r="D1800" t="str">
        <f>HYPERLINK("http://nlpdeep.cs.uic.edu:8080/proofing/t5/532405-labs-imaging-4-0.pdf","t5/532405-labs-imaging-4-0.pdf")</f>
        <v>t5/532405-labs-imaging-4-0.pdf</v>
      </c>
      <c r="E1800">
        <v>119960</v>
      </c>
      <c r="F1800">
        <v>532405</v>
      </c>
      <c r="G1800" t="s">
        <v>9</v>
      </c>
      <c r="H1800" t="s">
        <v>147</v>
      </c>
      <c r="I1800" t="s">
        <v>169</v>
      </c>
    </row>
    <row r="1801" spans="1:9" x14ac:dyDescent="0.2">
      <c r="A1801" t="s">
        <v>1381</v>
      </c>
      <c r="D1801" t="str">
        <f>HYPERLINK("http://nlpdeep.cs.uic.edu:8080/proofing/gsii/532405-labs-imaging-4-0.pdf","gsii/532405-labs-imaging-4-0.pdf")</f>
        <v>gsii/532405-labs-imaging-4-0.pdf</v>
      </c>
      <c r="E1801">
        <v>119960</v>
      </c>
      <c r="F1801">
        <v>532405</v>
      </c>
      <c r="G1801" t="s">
        <v>9</v>
      </c>
      <c r="H1801" t="s">
        <v>147</v>
      </c>
      <c r="I1801" t="s">
        <v>169</v>
      </c>
    </row>
    <row r="1802" spans="1:9" x14ac:dyDescent="0.2">
      <c r="A1802" t="s">
        <v>1382</v>
      </c>
      <c r="D1802" t="str">
        <f>HYPERLINK("http://nlpdeep.cs.uic.edu:8080/proofing/t5/532405-labs-imaging-4-1.pdf","t5/532405-labs-imaging-4-1.pdf")</f>
        <v>t5/532405-labs-imaging-4-1.pdf</v>
      </c>
      <c r="E1802">
        <v>119960</v>
      </c>
      <c r="F1802">
        <v>532405</v>
      </c>
      <c r="G1802" t="s">
        <v>9</v>
      </c>
      <c r="H1802" t="s">
        <v>147</v>
      </c>
      <c r="I1802" t="s">
        <v>171</v>
      </c>
    </row>
    <row r="1803" spans="1:9" x14ac:dyDescent="0.2">
      <c r="A1803" t="s">
        <v>1382</v>
      </c>
      <c r="D1803" t="str">
        <f>HYPERLINK("http://nlpdeep.cs.uic.edu:8080/proofing/gsii/532405-labs-imaging-4-1.pdf","gsii/532405-labs-imaging-4-1.pdf")</f>
        <v>gsii/532405-labs-imaging-4-1.pdf</v>
      </c>
      <c r="E1803">
        <v>119960</v>
      </c>
      <c r="F1803">
        <v>532405</v>
      </c>
      <c r="G1803" t="s">
        <v>9</v>
      </c>
      <c r="H1803" t="s">
        <v>147</v>
      </c>
      <c r="I1803" t="s">
        <v>171</v>
      </c>
    </row>
    <row r="1804" spans="1:9" x14ac:dyDescent="0.2">
      <c r="A1804" t="s">
        <v>1383</v>
      </c>
      <c r="D1804" t="str">
        <f>HYPERLINK("http://nlpdeep.cs.uic.edu:8080/proofing/t5/532405-labs-imaging-4-2.pdf","t5/532405-labs-imaging-4-2.pdf")</f>
        <v>t5/532405-labs-imaging-4-2.pdf</v>
      </c>
      <c r="E1804">
        <v>119960</v>
      </c>
      <c r="F1804">
        <v>532405</v>
      </c>
      <c r="G1804" t="s">
        <v>9</v>
      </c>
      <c r="H1804" t="s">
        <v>147</v>
      </c>
      <c r="I1804" t="s">
        <v>173</v>
      </c>
    </row>
    <row r="1805" spans="1:9" x14ac:dyDescent="0.2">
      <c r="A1805" t="s">
        <v>1383</v>
      </c>
      <c r="D1805" t="str">
        <f>HYPERLINK("http://nlpdeep.cs.uic.edu:8080/proofing/gsii/532405-labs-imaging-4-2.pdf","gsii/532405-labs-imaging-4-2.pdf")</f>
        <v>gsii/532405-labs-imaging-4-2.pdf</v>
      </c>
      <c r="E1805">
        <v>119960</v>
      </c>
      <c r="F1805">
        <v>532405</v>
      </c>
      <c r="G1805" t="s">
        <v>9</v>
      </c>
      <c r="H1805" t="s">
        <v>147</v>
      </c>
      <c r="I1805" t="s">
        <v>173</v>
      </c>
    </row>
    <row r="1806" spans="1:9" x14ac:dyDescent="0.2">
      <c r="A1806" t="s">
        <v>1384</v>
      </c>
      <c r="D1806" t="str">
        <f>HYPERLINK("http://nlpdeep.cs.uic.edu:8080/proofing/t5/532405-labs-imaging-4-3.pdf","t5/532405-labs-imaging-4-3.pdf")</f>
        <v>t5/532405-labs-imaging-4-3.pdf</v>
      </c>
      <c r="E1806">
        <v>119960</v>
      </c>
      <c r="F1806">
        <v>532405</v>
      </c>
      <c r="G1806" t="s">
        <v>9</v>
      </c>
      <c r="H1806" t="s">
        <v>147</v>
      </c>
      <c r="I1806" t="s">
        <v>175</v>
      </c>
    </row>
    <row r="1807" spans="1:9" x14ac:dyDescent="0.2">
      <c r="A1807" t="s">
        <v>1384</v>
      </c>
      <c r="D1807" t="str">
        <f>HYPERLINK("http://nlpdeep.cs.uic.edu:8080/proofing/gsii/532405-labs-imaging-4-3.pdf","gsii/532405-labs-imaging-4-3.pdf")</f>
        <v>gsii/532405-labs-imaging-4-3.pdf</v>
      </c>
      <c r="E1807">
        <v>119960</v>
      </c>
      <c r="F1807">
        <v>532405</v>
      </c>
      <c r="G1807" t="s">
        <v>9</v>
      </c>
      <c r="H1807" t="s">
        <v>147</v>
      </c>
      <c r="I1807" t="s">
        <v>175</v>
      </c>
    </row>
    <row r="1808" spans="1:9" x14ac:dyDescent="0.2">
      <c r="A1808" t="s">
        <v>1385</v>
      </c>
      <c r="D1808" t="str">
        <f>HYPERLINK("http://nlpdeep.cs.uic.edu:8080/proofing/t5/532405-labs-imaging-5-0.pdf","t5/532405-labs-imaging-5-0.pdf")</f>
        <v>t5/532405-labs-imaging-5-0.pdf</v>
      </c>
      <c r="E1808">
        <v>119960</v>
      </c>
      <c r="F1808">
        <v>532405</v>
      </c>
      <c r="G1808" t="s">
        <v>9</v>
      </c>
      <c r="H1808" t="s">
        <v>147</v>
      </c>
      <c r="I1808" t="s">
        <v>177</v>
      </c>
    </row>
    <row r="1809" spans="1:9" x14ac:dyDescent="0.2">
      <c r="A1809" t="s">
        <v>1385</v>
      </c>
      <c r="D1809" t="str">
        <f>HYPERLINK("http://nlpdeep.cs.uic.edu:8080/proofing/gsii/532405-labs-imaging-5-0.pdf","gsii/532405-labs-imaging-5-0.pdf")</f>
        <v>gsii/532405-labs-imaging-5-0.pdf</v>
      </c>
      <c r="E1809">
        <v>119960</v>
      </c>
      <c r="F1809">
        <v>532405</v>
      </c>
      <c r="G1809" t="s">
        <v>9</v>
      </c>
      <c r="H1809" t="s">
        <v>147</v>
      </c>
      <c r="I1809" t="s">
        <v>177</v>
      </c>
    </row>
    <row r="1810" spans="1:9" x14ac:dyDescent="0.2">
      <c r="A1810" t="s">
        <v>1386</v>
      </c>
      <c r="D1810" t="str">
        <f>HYPERLINK("http://nlpdeep.cs.uic.edu:8080/proofing/t5/532405-labs-imaging-5-1.pdf","t5/532405-labs-imaging-5-1.pdf")</f>
        <v>t5/532405-labs-imaging-5-1.pdf</v>
      </c>
      <c r="E1810">
        <v>119960</v>
      </c>
      <c r="F1810">
        <v>532405</v>
      </c>
      <c r="G1810" t="s">
        <v>9</v>
      </c>
      <c r="H1810" t="s">
        <v>147</v>
      </c>
      <c r="I1810" t="s">
        <v>179</v>
      </c>
    </row>
    <row r="1811" spans="1:9" x14ac:dyDescent="0.2">
      <c r="A1811" t="s">
        <v>1386</v>
      </c>
      <c r="D1811" t="str">
        <f>HYPERLINK("http://nlpdeep.cs.uic.edu:8080/proofing/gsii/532405-labs-imaging-5-1.pdf","gsii/532405-labs-imaging-5-1.pdf")</f>
        <v>gsii/532405-labs-imaging-5-1.pdf</v>
      </c>
      <c r="E1811">
        <v>119960</v>
      </c>
      <c r="F1811">
        <v>532405</v>
      </c>
      <c r="G1811" t="s">
        <v>9</v>
      </c>
      <c r="H1811" t="s">
        <v>147</v>
      </c>
      <c r="I1811" t="s">
        <v>179</v>
      </c>
    </row>
    <row r="1812" spans="1:9" x14ac:dyDescent="0.2">
      <c r="A1812" t="s">
        <v>1387</v>
      </c>
      <c r="D1812" t="str">
        <f>HYPERLINK("http://nlpdeep.cs.uic.edu:8080/proofing/t5/532405-labs-imaging-5-2.pdf","t5/532405-labs-imaging-5-2.pdf")</f>
        <v>t5/532405-labs-imaging-5-2.pdf</v>
      </c>
      <c r="E1812">
        <v>119960</v>
      </c>
      <c r="F1812">
        <v>532405</v>
      </c>
      <c r="G1812" t="s">
        <v>9</v>
      </c>
      <c r="H1812" t="s">
        <v>147</v>
      </c>
      <c r="I1812" t="s">
        <v>181</v>
      </c>
    </row>
    <row r="1813" spans="1:9" x14ac:dyDescent="0.2">
      <c r="A1813" t="s">
        <v>1387</v>
      </c>
      <c r="D1813" t="str">
        <f>HYPERLINK("http://nlpdeep.cs.uic.edu:8080/proofing/gsii/532405-labs-imaging-5-2.pdf","gsii/532405-labs-imaging-5-2.pdf")</f>
        <v>gsii/532405-labs-imaging-5-2.pdf</v>
      </c>
      <c r="E1813">
        <v>119960</v>
      </c>
      <c r="F1813">
        <v>532405</v>
      </c>
      <c r="G1813" t="s">
        <v>9</v>
      </c>
      <c r="H1813" t="s">
        <v>147</v>
      </c>
      <c r="I1813" t="s">
        <v>181</v>
      </c>
    </row>
    <row r="1814" spans="1:9" x14ac:dyDescent="0.2">
      <c r="A1814" t="s">
        <v>1388</v>
      </c>
      <c r="D1814" t="str">
        <f>HYPERLINK("http://nlpdeep.cs.uic.edu:8080/proofing/t5/532405-labs-imaging-5-3.pdf","t5/532405-labs-imaging-5-3.pdf")</f>
        <v>t5/532405-labs-imaging-5-3.pdf</v>
      </c>
      <c r="E1814">
        <v>119960</v>
      </c>
      <c r="F1814">
        <v>532405</v>
      </c>
      <c r="G1814" t="s">
        <v>9</v>
      </c>
      <c r="H1814" t="s">
        <v>147</v>
      </c>
      <c r="I1814" t="s">
        <v>183</v>
      </c>
    </row>
    <row r="1815" spans="1:9" x14ac:dyDescent="0.2">
      <c r="A1815" t="s">
        <v>1388</v>
      </c>
      <c r="D1815" t="str">
        <f>HYPERLINK("http://nlpdeep.cs.uic.edu:8080/proofing/gsii/532405-labs-imaging-5-3.pdf","gsii/532405-labs-imaging-5-3.pdf")</f>
        <v>gsii/532405-labs-imaging-5-3.pdf</v>
      </c>
      <c r="E1815">
        <v>119960</v>
      </c>
      <c r="F1815">
        <v>532405</v>
      </c>
      <c r="G1815" t="s">
        <v>9</v>
      </c>
      <c r="H1815" t="s">
        <v>147</v>
      </c>
      <c r="I1815" t="s">
        <v>183</v>
      </c>
    </row>
    <row r="1816" spans="1:9" x14ac:dyDescent="0.2">
      <c r="A1816" t="s">
        <v>1389</v>
      </c>
      <c r="D1816" t="str">
        <f>HYPERLINK("http://nlpdeep.cs.uic.edu:8080/proofing/t5/532405-labs-imaging-5-4.pdf","t5/532405-labs-imaging-5-4.pdf")</f>
        <v>t5/532405-labs-imaging-5-4.pdf</v>
      </c>
      <c r="E1816">
        <v>119960</v>
      </c>
      <c r="F1816">
        <v>532405</v>
      </c>
      <c r="G1816" t="s">
        <v>9</v>
      </c>
      <c r="H1816" t="s">
        <v>147</v>
      </c>
      <c r="I1816" t="s">
        <v>185</v>
      </c>
    </row>
    <row r="1817" spans="1:9" x14ac:dyDescent="0.2">
      <c r="A1817" t="s">
        <v>1389</v>
      </c>
      <c r="D1817" t="str">
        <f>HYPERLINK("http://nlpdeep.cs.uic.edu:8080/proofing/gsii/532405-labs-imaging-5-4.pdf","gsii/532405-labs-imaging-5-4.pdf")</f>
        <v>gsii/532405-labs-imaging-5-4.pdf</v>
      </c>
      <c r="E1817">
        <v>119960</v>
      </c>
      <c r="F1817">
        <v>532405</v>
      </c>
      <c r="G1817" t="s">
        <v>9</v>
      </c>
      <c r="H1817" t="s">
        <v>147</v>
      </c>
      <c r="I1817" t="s">
        <v>185</v>
      </c>
    </row>
    <row r="1818" spans="1:9" x14ac:dyDescent="0.2">
      <c r="A1818" t="s">
        <v>1390</v>
      </c>
      <c r="D1818" t="str">
        <f>HYPERLINK("http://nlpdeep.cs.uic.edu:8080/proofing/t5/532405-labs-imaging-6-0.pdf","t5/532405-labs-imaging-6-0.pdf")</f>
        <v>t5/532405-labs-imaging-6-0.pdf</v>
      </c>
      <c r="E1818">
        <v>119960</v>
      </c>
      <c r="F1818">
        <v>532405</v>
      </c>
      <c r="G1818" t="s">
        <v>9</v>
      </c>
      <c r="H1818" t="s">
        <v>147</v>
      </c>
      <c r="I1818" t="s">
        <v>187</v>
      </c>
    </row>
    <row r="1819" spans="1:9" x14ac:dyDescent="0.2">
      <c r="A1819" t="s">
        <v>1390</v>
      </c>
      <c r="D1819" t="str">
        <f>HYPERLINK("http://nlpdeep.cs.uic.edu:8080/proofing/gsii/532405-labs-imaging-6-0.pdf","gsii/532405-labs-imaging-6-0.pdf")</f>
        <v>gsii/532405-labs-imaging-6-0.pdf</v>
      </c>
      <c r="E1819">
        <v>119960</v>
      </c>
      <c r="F1819">
        <v>532405</v>
      </c>
      <c r="G1819" t="s">
        <v>9</v>
      </c>
      <c r="H1819" t="s">
        <v>147</v>
      </c>
      <c r="I1819" t="s">
        <v>187</v>
      </c>
    </row>
    <row r="1820" spans="1:9" x14ac:dyDescent="0.2">
      <c r="A1820" t="s">
        <v>1391</v>
      </c>
      <c r="D1820" t="str">
        <f>HYPERLINK("http://nlpdeep.cs.uic.edu:8080/proofing/t5/532405-labs-imaging-6-1.pdf","t5/532405-labs-imaging-6-1.pdf")</f>
        <v>t5/532405-labs-imaging-6-1.pdf</v>
      </c>
      <c r="E1820">
        <v>119960</v>
      </c>
      <c r="F1820">
        <v>532405</v>
      </c>
      <c r="G1820" t="s">
        <v>9</v>
      </c>
      <c r="H1820" t="s">
        <v>147</v>
      </c>
      <c r="I1820" t="s">
        <v>189</v>
      </c>
    </row>
    <row r="1821" spans="1:9" x14ac:dyDescent="0.2">
      <c r="A1821" t="s">
        <v>1391</v>
      </c>
      <c r="D1821" t="str">
        <f>HYPERLINK("http://nlpdeep.cs.uic.edu:8080/proofing/gsii/532405-labs-imaging-6-1.pdf","gsii/532405-labs-imaging-6-1.pdf")</f>
        <v>gsii/532405-labs-imaging-6-1.pdf</v>
      </c>
      <c r="E1821">
        <v>119960</v>
      </c>
      <c r="F1821">
        <v>532405</v>
      </c>
      <c r="G1821" t="s">
        <v>9</v>
      </c>
      <c r="H1821" t="s">
        <v>147</v>
      </c>
      <c r="I1821" t="s">
        <v>189</v>
      </c>
    </row>
    <row r="1822" spans="1:9" x14ac:dyDescent="0.2">
      <c r="A1822" t="s">
        <v>1392</v>
      </c>
      <c r="D1822" t="str">
        <f>HYPERLINK("http://nlpdeep.cs.uic.edu:8080/proofing/t5/532405-labs-imaging-6-2.pdf","t5/532405-labs-imaging-6-2.pdf")</f>
        <v>t5/532405-labs-imaging-6-2.pdf</v>
      </c>
      <c r="E1822">
        <v>119960</v>
      </c>
      <c r="F1822">
        <v>532405</v>
      </c>
      <c r="G1822" t="s">
        <v>9</v>
      </c>
      <c r="H1822" t="s">
        <v>147</v>
      </c>
      <c r="I1822" t="s">
        <v>191</v>
      </c>
    </row>
    <row r="1823" spans="1:9" x14ac:dyDescent="0.2">
      <c r="A1823" t="s">
        <v>1392</v>
      </c>
      <c r="D1823" t="str">
        <f>HYPERLINK("http://nlpdeep.cs.uic.edu:8080/proofing/gsii/532405-labs-imaging-6-2.pdf","gsii/532405-labs-imaging-6-2.pdf")</f>
        <v>gsii/532405-labs-imaging-6-2.pdf</v>
      </c>
      <c r="E1823">
        <v>119960</v>
      </c>
      <c r="F1823">
        <v>532405</v>
      </c>
      <c r="G1823" t="s">
        <v>9</v>
      </c>
      <c r="H1823" t="s">
        <v>147</v>
      </c>
      <c r="I1823" t="s">
        <v>191</v>
      </c>
    </row>
    <row r="1824" spans="1:9" x14ac:dyDescent="0.2">
      <c r="A1824" t="s">
        <v>1393</v>
      </c>
      <c r="D1824" t="str">
        <f>HYPERLINK("http://nlpdeep.cs.uic.edu:8080/proofing/t5/532405-labs-imaging-6-3.pdf","t5/532405-labs-imaging-6-3.pdf")</f>
        <v>t5/532405-labs-imaging-6-3.pdf</v>
      </c>
      <c r="E1824">
        <v>119960</v>
      </c>
      <c r="F1824">
        <v>532405</v>
      </c>
      <c r="G1824" t="s">
        <v>9</v>
      </c>
      <c r="H1824" t="s">
        <v>147</v>
      </c>
      <c r="I1824" t="s">
        <v>193</v>
      </c>
    </row>
    <row r="1825" spans="1:9" x14ac:dyDescent="0.2">
      <c r="A1825" t="s">
        <v>1393</v>
      </c>
      <c r="D1825" t="str">
        <f>HYPERLINK("http://nlpdeep.cs.uic.edu:8080/proofing/gsii/532405-labs-imaging-6-3.pdf","gsii/532405-labs-imaging-6-3.pdf")</f>
        <v>gsii/532405-labs-imaging-6-3.pdf</v>
      </c>
      <c r="E1825">
        <v>119960</v>
      </c>
      <c r="F1825">
        <v>532405</v>
      </c>
      <c r="G1825" t="s">
        <v>9</v>
      </c>
      <c r="H1825" t="s">
        <v>147</v>
      </c>
      <c r="I1825" t="s">
        <v>193</v>
      </c>
    </row>
    <row r="1826" spans="1:9" x14ac:dyDescent="0.2">
      <c r="A1826" t="s">
        <v>1394</v>
      </c>
      <c r="D1826" t="str">
        <f>HYPERLINK("http://nlpdeep.cs.uic.edu:8080/proofing/t5/532405-assessment-and-plan-0-0.pdf","t5/532405-assessment-and-plan-0-0.pdf")</f>
        <v>t5/532405-assessment-and-plan-0-0.pdf</v>
      </c>
      <c r="E1826">
        <v>119960</v>
      </c>
      <c r="F1826">
        <v>532405</v>
      </c>
      <c r="G1826" t="s">
        <v>9</v>
      </c>
      <c r="H1826" t="s">
        <v>195</v>
      </c>
      <c r="I1826" t="s">
        <v>196</v>
      </c>
    </row>
    <row r="1827" spans="1:9" x14ac:dyDescent="0.2">
      <c r="A1827" t="s">
        <v>1394</v>
      </c>
      <c r="D1827" t="str">
        <f>HYPERLINK("http://nlpdeep.cs.uic.edu:8080/proofing/gsii/532405-assessment-and-plan-0-0.pdf","gsii/532405-assessment-and-plan-0-0.pdf")</f>
        <v>gsii/532405-assessment-and-plan-0-0.pdf</v>
      </c>
      <c r="E1827">
        <v>119960</v>
      </c>
      <c r="F1827">
        <v>532405</v>
      </c>
      <c r="G1827" t="s">
        <v>9</v>
      </c>
      <c r="H1827" t="s">
        <v>195</v>
      </c>
      <c r="I1827" t="s">
        <v>196</v>
      </c>
    </row>
    <row r="1828" spans="1:9" x14ac:dyDescent="0.2">
      <c r="A1828" t="s">
        <v>1395</v>
      </c>
      <c r="D1828" t="str">
        <f>HYPERLINK("http://nlpdeep.cs.uic.edu:8080/proofing/t5/532405-communication-0-0.pdf","t5/532405-communication-0-0.pdf")</f>
        <v>t5/532405-communication-0-0.pdf</v>
      </c>
      <c r="E1828">
        <v>119960</v>
      </c>
      <c r="F1828">
        <v>532405</v>
      </c>
      <c r="G1828" t="s">
        <v>9</v>
      </c>
      <c r="H1828" t="s">
        <v>198</v>
      </c>
      <c r="I1828" t="s">
        <v>199</v>
      </c>
    </row>
    <row r="1829" spans="1:9" x14ac:dyDescent="0.2">
      <c r="A1829" t="s">
        <v>1395</v>
      </c>
      <c r="D1829" t="str">
        <f>HYPERLINK("http://nlpdeep.cs.uic.edu:8080/proofing/gsii/532405-communication-0-0.pdf","gsii/532405-communication-0-0.pdf")</f>
        <v>gsii/532405-communication-0-0.pdf</v>
      </c>
      <c r="E1829">
        <v>119960</v>
      </c>
      <c r="F1829">
        <v>532405</v>
      </c>
      <c r="G1829" t="s">
        <v>9</v>
      </c>
      <c r="H1829" t="s">
        <v>198</v>
      </c>
      <c r="I1829" t="s">
        <v>199</v>
      </c>
    </row>
    <row r="1830" spans="1:9" x14ac:dyDescent="0.2">
      <c r="A1830" t="s">
        <v>1396</v>
      </c>
      <c r="D1830" t="str">
        <f>HYPERLINK("http://nlpdeep.cs.uic.edu:8080/proofing/t5/532405-code-status-0-0.pdf","t5/532405-code-status-0-0.pdf")</f>
        <v>t5/532405-code-status-0-0.pdf</v>
      </c>
      <c r="E1830">
        <v>119960</v>
      </c>
      <c r="F1830">
        <v>532405</v>
      </c>
      <c r="G1830" t="s">
        <v>9</v>
      </c>
      <c r="H1830" t="s">
        <v>201</v>
      </c>
      <c r="I1830" t="s">
        <v>1397</v>
      </c>
    </row>
    <row r="1831" spans="1:9" x14ac:dyDescent="0.2">
      <c r="A1831" t="s">
        <v>1396</v>
      </c>
      <c r="D1831" t="str">
        <f>HYPERLINK("http://nlpdeep.cs.uic.edu:8080/proofing/gsii/532405-code-status-0-0.pdf","gsii/532405-code-status-0-0.pdf")</f>
        <v>gsii/532405-code-status-0-0.pdf</v>
      </c>
      <c r="E1831">
        <v>119960</v>
      </c>
      <c r="F1831">
        <v>532405</v>
      </c>
      <c r="G1831" t="s">
        <v>9</v>
      </c>
      <c r="H1831" t="s">
        <v>201</v>
      </c>
      <c r="I1831" t="s">
        <v>1397</v>
      </c>
    </row>
    <row r="1832" spans="1:9" x14ac:dyDescent="0.2">
      <c r="A1832" t="s">
        <v>1398</v>
      </c>
      <c r="D1832" t="str">
        <f>HYPERLINK("http://nlpdeep.cs.uic.edu:8080/proofing/t5/532405-disposition-0-0.pdf","t5/532405-disposition-0-0.pdf")</f>
        <v>t5/532405-disposition-0-0.pdf</v>
      </c>
      <c r="E1832">
        <v>119960</v>
      </c>
      <c r="F1832">
        <v>532405</v>
      </c>
      <c r="G1832" t="s">
        <v>9</v>
      </c>
      <c r="H1832" t="s">
        <v>204</v>
      </c>
      <c r="I1832" t="s">
        <v>205</v>
      </c>
    </row>
    <row r="1833" spans="1:9" x14ac:dyDescent="0.2">
      <c r="A1833" t="s">
        <v>1398</v>
      </c>
      <c r="D1833" t="str">
        <f>HYPERLINK("http://nlpdeep.cs.uic.edu:8080/proofing/gsii/532405-disposition-0-0.pdf","gsii/532405-disposition-0-0.pdf")</f>
        <v>gsii/532405-disposition-0-0.pdf</v>
      </c>
      <c r="E1833">
        <v>119960</v>
      </c>
      <c r="F1833">
        <v>532405</v>
      </c>
      <c r="G1833" t="s">
        <v>9</v>
      </c>
      <c r="H1833" t="s">
        <v>204</v>
      </c>
      <c r="I1833" t="s">
        <v>205</v>
      </c>
    </row>
    <row r="1834" spans="1:9" x14ac:dyDescent="0.2">
      <c r="A1834" t="s">
        <v>1399</v>
      </c>
      <c r="D1834" t="str">
        <f>HYPERLINK("http://nlpdeep.cs.uic.edu:8080/proofing/t5/532422-addendum-0-0.pdf","t5/532422-addendum-0-0.pdf")</f>
        <v>t5/532422-addendum-0-0.pdf</v>
      </c>
      <c r="E1834">
        <v>119960</v>
      </c>
      <c r="F1834">
        <v>532422</v>
      </c>
      <c r="G1834" t="s">
        <v>9</v>
      </c>
      <c r="H1834" t="s">
        <v>1400</v>
      </c>
      <c r="I1834" t="s">
        <v>1401</v>
      </c>
    </row>
    <row r="1835" spans="1:9" x14ac:dyDescent="0.2">
      <c r="A1835" t="s">
        <v>1399</v>
      </c>
      <c r="D1835" t="str">
        <f>HYPERLINK("http://nlpdeep.cs.uic.edu:8080/proofing/gsii/532422-addendum-0-0.pdf","gsii/532422-addendum-0-0.pdf")</f>
        <v>gsii/532422-addendum-0-0.pdf</v>
      </c>
      <c r="E1835">
        <v>119960</v>
      </c>
      <c r="F1835">
        <v>532422</v>
      </c>
      <c r="G1835" t="s">
        <v>9</v>
      </c>
      <c r="H1835" t="s">
        <v>1400</v>
      </c>
      <c r="I1835" t="s">
        <v>1401</v>
      </c>
    </row>
    <row r="1836" spans="1:9" x14ac:dyDescent="0.2">
      <c r="A1836" t="s">
        <v>1402</v>
      </c>
      <c r="D1836" t="str">
        <f>HYPERLINK("http://nlpdeep.cs.uic.edu:8080/proofing/t5/532422-addendum-0-1.pdf","t5/532422-addendum-0-1.pdf")</f>
        <v>t5/532422-addendum-0-1.pdf</v>
      </c>
      <c r="E1836">
        <v>119960</v>
      </c>
      <c r="F1836">
        <v>532422</v>
      </c>
      <c r="G1836" t="s">
        <v>9</v>
      </c>
      <c r="H1836" t="s">
        <v>1400</v>
      </c>
      <c r="I1836" t="s">
        <v>1403</v>
      </c>
    </row>
    <row r="1837" spans="1:9" x14ac:dyDescent="0.2">
      <c r="A1837" t="s">
        <v>1402</v>
      </c>
      <c r="D1837" t="str">
        <f>HYPERLINK("http://nlpdeep.cs.uic.edu:8080/proofing/gsii/532422-addendum-0-1.pdf","gsii/532422-addendum-0-1.pdf")</f>
        <v>gsii/532422-addendum-0-1.pdf</v>
      </c>
      <c r="E1837">
        <v>119960</v>
      </c>
      <c r="F1837">
        <v>532422</v>
      </c>
      <c r="G1837" t="s">
        <v>9</v>
      </c>
      <c r="H1837" t="s">
        <v>1400</v>
      </c>
      <c r="I1837" t="s">
        <v>1403</v>
      </c>
    </row>
    <row r="1838" spans="1:9" x14ac:dyDescent="0.2">
      <c r="A1838" t="s">
        <v>1404</v>
      </c>
      <c r="D1838" t="str">
        <f>HYPERLINK("http://nlpdeep.cs.uic.edu:8080/proofing/t5/532422-addendum-0-2.pdf","t5/532422-addendum-0-2.pdf")</f>
        <v>t5/532422-addendum-0-2.pdf</v>
      </c>
      <c r="E1838">
        <v>119960</v>
      </c>
      <c r="F1838">
        <v>532422</v>
      </c>
      <c r="G1838" t="s">
        <v>9</v>
      </c>
      <c r="H1838" t="s">
        <v>1400</v>
      </c>
      <c r="I1838" t="s">
        <v>1405</v>
      </c>
    </row>
    <row r="1839" spans="1:9" x14ac:dyDescent="0.2">
      <c r="A1839" t="s">
        <v>1404</v>
      </c>
      <c r="D1839" t="str">
        <f>HYPERLINK("http://nlpdeep.cs.uic.edu:8080/proofing/gsii/532422-addendum-0-2.pdf","gsii/532422-addendum-0-2.pdf")</f>
        <v>gsii/532422-addendum-0-2.pdf</v>
      </c>
      <c r="E1839">
        <v>119960</v>
      </c>
      <c r="F1839">
        <v>532422</v>
      </c>
      <c r="G1839" t="s">
        <v>9</v>
      </c>
      <c r="H1839" t="s">
        <v>1400</v>
      </c>
      <c r="I1839" t="s">
        <v>1405</v>
      </c>
    </row>
    <row r="1840" spans="1:9" x14ac:dyDescent="0.2">
      <c r="A1840" t="s">
        <v>1406</v>
      </c>
      <c r="D1840" t="str">
        <f>HYPERLINK("http://nlpdeep.cs.uic.edu:8080/proofing/t5/532422-addendum-0-3.pdf","t5/532422-addendum-0-3.pdf")</f>
        <v>t5/532422-addendum-0-3.pdf</v>
      </c>
      <c r="E1840">
        <v>119960</v>
      </c>
      <c r="F1840">
        <v>532422</v>
      </c>
      <c r="G1840" t="s">
        <v>9</v>
      </c>
      <c r="H1840" t="s">
        <v>1400</v>
      </c>
      <c r="I1840" t="s">
        <v>1407</v>
      </c>
    </row>
    <row r="1841" spans="1:9" x14ac:dyDescent="0.2">
      <c r="A1841" t="s">
        <v>1406</v>
      </c>
      <c r="D1841" t="str">
        <f>HYPERLINK("http://nlpdeep.cs.uic.edu:8080/proofing/gsii/532422-addendum-0-3.pdf","gsii/532422-addendum-0-3.pdf")</f>
        <v>gsii/532422-addendum-0-3.pdf</v>
      </c>
      <c r="E1841">
        <v>119960</v>
      </c>
      <c r="F1841">
        <v>532422</v>
      </c>
      <c r="G1841" t="s">
        <v>9</v>
      </c>
      <c r="H1841" t="s">
        <v>1400</v>
      </c>
      <c r="I1841" t="s">
        <v>1407</v>
      </c>
    </row>
    <row r="1842" spans="1:9" x14ac:dyDescent="0.2">
      <c r="A1842" t="s">
        <v>1408</v>
      </c>
      <c r="D1842" t="str">
        <f>HYPERLINK("http://nlpdeep.cs.uic.edu:8080/proofing/t5/532422-addendum-0-4.pdf","t5/532422-addendum-0-4.pdf")</f>
        <v>t5/532422-addendum-0-4.pdf</v>
      </c>
      <c r="E1842">
        <v>119960</v>
      </c>
      <c r="F1842">
        <v>532422</v>
      </c>
      <c r="G1842" t="s">
        <v>9</v>
      </c>
      <c r="H1842" t="s">
        <v>1400</v>
      </c>
      <c r="I1842" t="s">
        <v>1409</v>
      </c>
    </row>
    <row r="1843" spans="1:9" x14ac:dyDescent="0.2">
      <c r="A1843" t="s">
        <v>1408</v>
      </c>
      <c r="D1843" t="str">
        <f>HYPERLINK("http://nlpdeep.cs.uic.edu:8080/proofing/gsii/532422-addendum-0-4.pdf","gsii/532422-addendum-0-4.pdf")</f>
        <v>gsii/532422-addendum-0-4.pdf</v>
      </c>
      <c r="E1843">
        <v>119960</v>
      </c>
      <c r="F1843">
        <v>532422</v>
      </c>
      <c r="G1843" t="s">
        <v>9</v>
      </c>
      <c r="H1843" t="s">
        <v>1400</v>
      </c>
      <c r="I1843" t="s">
        <v>1409</v>
      </c>
    </row>
    <row r="1844" spans="1:9" x14ac:dyDescent="0.2">
      <c r="A1844" t="s">
        <v>1410</v>
      </c>
      <c r="D1844" t="str">
        <f>HYPERLINK("http://nlpdeep.cs.uic.edu:8080/proofing/t5/532422-addendum-0-5.pdf","t5/532422-addendum-0-5.pdf")</f>
        <v>t5/532422-addendum-0-5.pdf</v>
      </c>
      <c r="E1844">
        <v>119960</v>
      </c>
      <c r="F1844">
        <v>532422</v>
      </c>
      <c r="G1844" t="s">
        <v>9</v>
      </c>
      <c r="H1844" t="s">
        <v>1400</v>
      </c>
      <c r="I1844" t="s">
        <v>1411</v>
      </c>
    </row>
    <row r="1845" spans="1:9" x14ac:dyDescent="0.2">
      <c r="A1845" t="s">
        <v>1410</v>
      </c>
      <c r="D1845" t="str">
        <f>HYPERLINK("http://nlpdeep.cs.uic.edu:8080/proofing/gsii/532422-addendum-0-5.pdf","gsii/532422-addendum-0-5.pdf")</f>
        <v>gsii/532422-addendum-0-5.pdf</v>
      </c>
      <c r="E1845">
        <v>119960</v>
      </c>
      <c r="F1845">
        <v>532422</v>
      </c>
      <c r="G1845" t="s">
        <v>9</v>
      </c>
      <c r="H1845" t="s">
        <v>1400</v>
      </c>
      <c r="I1845" t="s">
        <v>1411</v>
      </c>
    </row>
    <row r="1846" spans="1:9" x14ac:dyDescent="0.2">
      <c r="A1846" t="s">
        <v>1412</v>
      </c>
      <c r="D1846" t="str">
        <f>HYPERLINK("http://nlpdeep.cs.uic.edu:8080/proofing/t5/532422-addendum-0-6.pdf","t5/532422-addendum-0-6.pdf")</f>
        <v>t5/532422-addendum-0-6.pdf</v>
      </c>
      <c r="E1846">
        <v>119960</v>
      </c>
      <c r="F1846">
        <v>532422</v>
      </c>
      <c r="G1846" t="s">
        <v>9</v>
      </c>
      <c r="H1846" t="s">
        <v>1400</v>
      </c>
      <c r="I1846" t="s">
        <v>1413</v>
      </c>
    </row>
    <row r="1847" spans="1:9" x14ac:dyDescent="0.2">
      <c r="A1847" t="s">
        <v>1412</v>
      </c>
      <c r="D1847" t="str">
        <f>HYPERLINK("http://nlpdeep.cs.uic.edu:8080/proofing/gsii/532422-addendum-0-6.pdf","gsii/532422-addendum-0-6.pdf")</f>
        <v>gsii/532422-addendum-0-6.pdf</v>
      </c>
      <c r="E1847">
        <v>119960</v>
      </c>
      <c r="F1847">
        <v>532422</v>
      </c>
      <c r="G1847" t="s">
        <v>9</v>
      </c>
      <c r="H1847" t="s">
        <v>1400</v>
      </c>
      <c r="I1847" t="s">
        <v>1413</v>
      </c>
    </row>
    <row r="1848" spans="1:9" x14ac:dyDescent="0.2">
      <c r="A1848" t="s">
        <v>1414</v>
      </c>
      <c r="D1848" t="str">
        <f>HYPERLINK("http://nlpdeep.cs.uic.edu:8080/proofing/t5/532422-addendum-0-7.pdf","t5/532422-addendum-0-7.pdf")</f>
        <v>t5/532422-addendum-0-7.pdf</v>
      </c>
      <c r="E1848">
        <v>119960</v>
      </c>
      <c r="F1848">
        <v>532422</v>
      </c>
      <c r="G1848" t="s">
        <v>9</v>
      </c>
      <c r="H1848" t="s">
        <v>1400</v>
      </c>
      <c r="I1848" t="s">
        <v>1415</v>
      </c>
    </row>
    <row r="1849" spans="1:9" x14ac:dyDescent="0.2">
      <c r="A1849" t="s">
        <v>1414</v>
      </c>
      <c r="D1849" t="str">
        <f>HYPERLINK("http://nlpdeep.cs.uic.edu:8080/proofing/gsii/532422-addendum-0-7.pdf","gsii/532422-addendum-0-7.pdf")</f>
        <v>gsii/532422-addendum-0-7.pdf</v>
      </c>
      <c r="E1849">
        <v>119960</v>
      </c>
      <c r="F1849">
        <v>532422</v>
      </c>
      <c r="G1849" t="s">
        <v>9</v>
      </c>
      <c r="H1849" t="s">
        <v>1400</v>
      </c>
      <c r="I1849" t="s">
        <v>1415</v>
      </c>
    </row>
    <row r="1850" spans="1:9" x14ac:dyDescent="0.2">
      <c r="A1850" t="s">
        <v>1416</v>
      </c>
      <c r="D1850" t="str">
        <f>HYPERLINK("http://nlpdeep.cs.uic.edu:8080/proofing/t5/532422-addendum-0-8.pdf","t5/532422-addendum-0-8.pdf")</f>
        <v>t5/532422-addendum-0-8.pdf</v>
      </c>
      <c r="E1850">
        <v>119960</v>
      </c>
      <c r="F1850">
        <v>532422</v>
      </c>
      <c r="G1850" t="s">
        <v>9</v>
      </c>
      <c r="H1850" t="s">
        <v>1400</v>
      </c>
      <c r="I1850" t="s">
        <v>1417</v>
      </c>
    </row>
    <row r="1851" spans="1:9" x14ac:dyDescent="0.2">
      <c r="A1851" t="s">
        <v>1416</v>
      </c>
      <c r="D1851" t="str">
        <f>HYPERLINK("http://nlpdeep.cs.uic.edu:8080/proofing/gsii/532422-addendum-0-8.pdf","gsii/532422-addendum-0-8.pdf")</f>
        <v>gsii/532422-addendum-0-8.pdf</v>
      </c>
      <c r="E1851">
        <v>119960</v>
      </c>
      <c r="F1851">
        <v>532422</v>
      </c>
      <c r="G1851" t="s">
        <v>9</v>
      </c>
      <c r="H1851" t="s">
        <v>1400</v>
      </c>
      <c r="I1851" t="s">
        <v>1417</v>
      </c>
    </row>
    <row r="1852" spans="1:9" x14ac:dyDescent="0.2">
      <c r="A1852" t="s">
        <v>1418</v>
      </c>
      <c r="D1852" t="str">
        <f>HYPERLINK("http://nlpdeep.cs.uic.edu:8080/proofing/t5/532422-addendum-0-9.pdf","t5/532422-addendum-0-9.pdf")</f>
        <v>t5/532422-addendum-0-9.pdf</v>
      </c>
      <c r="E1852">
        <v>119960</v>
      </c>
      <c r="F1852">
        <v>532422</v>
      </c>
      <c r="G1852" t="s">
        <v>9</v>
      </c>
      <c r="H1852" t="s">
        <v>1400</v>
      </c>
      <c r="I1852" t="s">
        <v>1419</v>
      </c>
    </row>
    <row r="1853" spans="1:9" x14ac:dyDescent="0.2">
      <c r="A1853" t="s">
        <v>1418</v>
      </c>
      <c r="D1853" t="str">
        <f>HYPERLINK("http://nlpdeep.cs.uic.edu:8080/proofing/gsii/532422-addendum-0-9.pdf","gsii/532422-addendum-0-9.pdf")</f>
        <v>gsii/532422-addendum-0-9.pdf</v>
      </c>
      <c r="E1853">
        <v>119960</v>
      </c>
      <c r="F1853">
        <v>532422</v>
      </c>
      <c r="G1853" t="s">
        <v>9</v>
      </c>
      <c r="H1853" t="s">
        <v>1400</v>
      </c>
      <c r="I1853" t="s">
        <v>1419</v>
      </c>
    </row>
    <row r="1854" spans="1:9" x14ac:dyDescent="0.2">
      <c r="A1854" t="s">
        <v>1420</v>
      </c>
      <c r="D1854" t="str">
        <f>HYPERLINK("http://nlpdeep.cs.uic.edu:8080/proofing/t5/532422-addendum-0-10.pdf","t5/532422-addendum-0-10.pdf")</f>
        <v>t5/532422-addendum-0-10.pdf</v>
      </c>
      <c r="E1854">
        <v>119960</v>
      </c>
      <c r="F1854">
        <v>532422</v>
      </c>
      <c r="G1854" t="s">
        <v>9</v>
      </c>
      <c r="H1854" t="s">
        <v>1400</v>
      </c>
      <c r="I1854" t="s">
        <v>1421</v>
      </c>
    </row>
    <row r="1855" spans="1:9" x14ac:dyDescent="0.2">
      <c r="A1855" t="s">
        <v>1420</v>
      </c>
      <c r="D1855" t="str">
        <f>HYPERLINK("http://nlpdeep.cs.uic.edu:8080/proofing/gsii/532422-addendum-0-10.pdf","gsii/532422-addendum-0-10.pdf")</f>
        <v>gsii/532422-addendum-0-10.pdf</v>
      </c>
      <c r="E1855">
        <v>119960</v>
      </c>
      <c r="F1855">
        <v>532422</v>
      </c>
      <c r="G1855" t="s">
        <v>9</v>
      </c>
      <c r="H1855" t="s">
        <v>1400</v>
      </c>
      <c r="I1855" t="s">
        <v>1421</v>
      </c>
    </row>
    <row r="1856" spans="1:9" x14ac:dyDescent="0.2">
      <c r="A1856" t="s">
        <v>1422</v>
      </c>
      <c r="D1856" t="str">
        <f>HYPERLINK("http://nlpdeep.cs.uic.edu:8080/proofing/t5/532422-addendum-0-11.pdf","t5/532422-addendum-0-11.pdf")</f>
        <v>t5/532422-addendum-0-11.pdf</v>
      </c>
      <c r="E1856">
        <v>119960</v>
      </c>
      <c r="F1856">
        <v>532422</v>
      </c>
      <c r="G1856" t="s">
        <v>9</v>
      </c>
      <c r="H1856" t="s">
        <v>1400</v>
      </c>
      <c r="I1856" t="s">
        <v>1423</v>
      </c>
    </row>
    <row r="1857" spans="1:9" x14ac:dyDescent="0.2">
      <c r="A1857" t="s">
        <v>1422</v>
      </c>
      <c r="D1857" t="str">
        <f>HYPERLINK("http://nlpdeep.cs.uic.edu:8080/proofing/gsii/532422-addendum-0-11.pdf","gsii/532422-addendum-0-11.pdf")</f>
        <v>gsii/532422-addendum-0-11.pdf</v>
      </c>
      <c r="E1857">
        <v>119960</v>
      </c>
      <c r="F1857">
        <v>532422</v>
      </c>
      <c r="G1857" t="s">
        <v>9</v>
      </c>
      <c r="H1857" t="s">
        <v>1400</v>
      </c>
      <c r="I1857" t="s">
        <v>1423</v>
      </c>
    </row>
    <row r="1858" spans="1:9" x14ac:dyDescent="0.2">
      <c r="A1858" t="s">
        <v>1424</v>
      </c>
      <c r="D1858" t="str">
        <f>HYPERLINK("http://nlpdeep.cs.uic.edu:8080/proofing/t5/532422-addendum-0-12.pdf","t5/532422-addendum-0-12.pdf")</f>
        <v>t5/532422-addendum-0-12.pdf</v>
      </c>
      <c r="E1858">
        <v>119960</v>
      </c>
      <c r="F1858">
        <v>532422</v>
      </c>
      <c r="G1858" t="s">
        <v>9</v>
      </c>
      <c r="H1858" t="s">
        <v>1400</v>
      </c>
      <c r="I1858" t="s">
        <v>1425</v>
      </c>
    </row>
    <row r="1859" spans="1:9" x14ac:dyDescent="0.2">
      <c r="A1859" t="s">
        <v>1424</v>
      </c>
      <c r="D1859" t="str">
        <f>HYPERLINK("http://nlpdeep.cs.uic.edu:8080/proofing/gsii/532422-addendum-0-12.pdf","gsii/532422-addendum-0-12.pdf")</f>
        <v>gsii/532422-addendum-0-12.pdf</v>
      </c>
      <c r="E1859">
        <v>119960</v>
      </c>
      <c r="F1859">
        <v>532422</v>
      </c>
      <c r="G1859" t="s">
        <v>9</v>
      </c>
      <c r="H1859" t="s">
        <v>1400</v>
      </c>
      <c r="I1859" t="s">
        <v>1425</v>
      </c>
    </row>
    <row r="1860" spans="1:9" x14ac:dyDescent="0.2">
      <c r="A1860" t="s">
        <v>1426</v>
      </c>
      <c r="D1860" t="str">
        <f>HYPERLINK("http://nlpdeep.cs.uic.edu:8080/proofing/t5/532422-addendum-0-13.pdf","t5/532422-addendum-0-13.pdf")</f>
        <v>t5/532422-addendum-0-13.pdf</v>
      </c>
      <c r="E1860">
        <v>119960</v>
      </c>
      <c r="F1860">
        <v>532422</v>
      </c>
      <c r="G1860" t="s">
        <v>9</v>
      </c>
      <c r="H1860" t="s">
        <v>1400</v>
      </c>
      <c r="I1860" t="s">
        <v>1427</v>
      </c>
    </row>
    <row r="1861" spans="1:9" x14ac:dyDescent="0.2">
      <c r="A1861" t="s">
        <v>1426</v>
      </c>
      <c r="D1861" t="str">
        <f>HYPERLINK("http://nlpdeep.cs.uic.edu:8080/proofing/gsii/532422-addendum-0-13.pdf","gsii/532422-addendum-0-13.pdf")</f>
        <v>gsii/532422-addendum-0-13.pdf</v>
      </c>
      <c r="E1861">
        <v>119960</v>
      </c>
      <c r="F1861">
        <v>532422</v>
      </c>
      <c r="G1861" t="s">
        <v>9</v>
      </c>
      <c r="H1861" t="s">
        <v>1400</v>
      </c>
      <c r="I1861" t="s">
        <v>1427</v>
      </c>
    </row>
    <row r="1862" spans="1:9" x14ac:dyDescent="0.2">
      <c r="A1862" t="s">
        <v>1428</v>
      </c>
      <c r="D1862" t="str">
        <f>HYPERLINK("http://nlpdeep.cs.uic.edu:8080/proofing/t5/532422-addendum-0-14.pdf","t5/532422-addendum-0-14.pdf")</f>
        <v>t5/532422-addendum-0-14.pdf</v>
      </c>
      <c r="E1862">
        <v>119960</v>
      </c>
      <c r="F1862">
        <v>532422</v>
      </c>
      <c r="G1862" t="s">
        <v>9</v>
      </c>
      <c r="H1862" t="s">
        <v>1400</v>
      </c>
      <c r="I1862" t="s">
        <v>1429</v>
      </c>
    </row>
    <row r="1863" spans="1:9" x14ac:dyDescent="0.2">
      <c r="A1863" t="s">
        <v>1428</v>
      </c>
      <c r="D1863" t="str">
        <f>HYPERLINK("http://nlpdeep.cs.uic.edu:8080/proofing/gsii/532422-addendum-0-14.pdf","gsii/532422-addendum-0-14.pdf")</f>
        <v>gsii/532422-addendum-0-14.pdf</v>
      </c>
      <c r="E1863">
        <v>119960</v>
      </c>
      <c r="F1863">
        <v>532422</v>
      </c>
      <c r="G1863" t="s">
        <v>9</v>
      </c>
      <c r="H1863" t="s">
        <v>1400</v>
      </c>
      <c r="I1863" t="s">
        <v>1429</v>
      </c>
    </row>
    <row r="1864" spans="1:9" x14ac:dyDescent="0.2">
      <c r="A1864" t="s">
        <v>1430</v>
      </c>
      <c r="D1864" t="str">
        <f>HYPERLINK("http://nlpdeep.cs.uic.edu:8080/proofing/t5/532422-addendum-0-15.pdf","t5/532422-addendum-0-15.pdf")</f>
        <v>t5/532422-addendum-0-15.pdf</v>
      </c>
      <c r="E1864">
        <v>119960</v>
      </c>
      <c r="F1864">
        <v>532422</v>
      </c>
      <c r="G1864" t="s">
        <v>9</v>
      </c>
      <c r="H1864" t="s">
        <v>1400</v>
      </c>
      <c r="I1864" t="s">
        <v>1431</v>
      </c>
    </row>
    <row r="1865" spans="1:9" x14ac:dyDescent="0.2">
      <c r="A1865" t="s">
        <v>1430</v>
      </c>
      <c r="D1865" t="str">
        <f>HYPERLINK("http://nlpdeep.cs.uic.edu:8080/proofing/gsii/532422-addendum-0-15.pdf","gsii/532422-addendum-0-15.pdf")</f>
        <v>gsii/532422-addendum-0-15.pdf</v>
      </c>
      <c r="E1865">
        <v>119960</v>
      </c>
      <c r="F1865">
        <v>532422</v>
      </c>
      <c r="G1865" t="s">
        <v>9</v>
      </c>
      <c r="H1865" t="s">
        <v>1400</v>
      </c>
      <c r="I1865" t="s">
        <v>1431</v>
      </c>
    </row>
    <row r="1866" spans="1:9" x14ac:dyDescent="0.2">
      <c r="A1866" t="s">
        <v>1432</v>
      </c>
      <c r="D1866" t="str">
        <f>HYPERLINK("http://nlpdeep.cs.uic.edu:8080/proofing/t5/532422-addendum-0-16.pdf","t5/532422-addendum-0-16.pdf")</f>
        <v>t5/532422-addendum-0-16.pdf</v>
      </c>
      <c r="E1866">
        <v>119960</v>
      </c>
      <c r="F1866">
        <v>532422</v>
      </c>
      <c r="G1866" t="s">
        <v>9</v>
      </c>
      <c r="H1866" t="s">
        <v>1400</v>
      </c>
      <c r="I1866" t="s">
        <v>1433</v>
      </c>
    </row>
    <row r="1867" spans="1:9" x14ac:dyDescent="0.2">
      <c r="A1867" t="s">
        <v>1432</v>
      </c>
      <c r="D1867" t="str">
        <f>HYPERLINK("http://nlpdeep.cs.uic.edu:8080/proofing/gsii/532422-addendum-0-16.pdf","gsii/532422-addendum-0-16.pdf")</f>
        <v>gsii/532422-addendum-0-16.pdf</v>
      </c>
      <c r="E1867">
        <v>119960</v>
      </c>
      <c r="F1867">
        <v>532422</v>
      </c>
      <c r="G1867" t="s">
        <v>9</v>
      </c>
      <c r="H1867" t="s">
        <v>1400</v>
      </c>
      <c r="I1867" t="s">
        <v>1433</v>
      </c>
    </row>
    <row r="1868" spans="1:9" x14ac:dyDescent="0.2">
      <c r="A1868" t="s">
        <v>1434</v>
      </c>
      <c r="D1868" t="str">
        <f>HYPERLINK("http://nlpdeep.cs.uic.edu:8080/proofing/t5/532422-addendum-0-17.pdf","t5/532422-addendum-0-17.pdf")</f>
        <v>t5/532422-addendum-0-17.pdf</v>
      </c>
      <c r="E1868">
        <v>119960</v>
      </c>
      <c r="F1868">
        <v>532422</v>
      </c>
      <c r="G1868" t="s">
        <v>9</v>
      </c>
      <c r="H1868" t="s">
        <v>1400</v>
      </c>
      <c r="I1868" t="s">
        <v>1435</v>
      </c>
    </row>
    <row r="1869" spans="1:9" x14ac:dyDescent="0.2">
      <c r="A1869" t="s">
        <v>1434</v>
      </c>
      <c r="D1869" t="str">
        <f>HYPERLINK("http://nlpdeep.cs.uic.edu:8080/proofing/gsii/532422-addendum-0-17.pdf","gsii/532422-addendum-0-17.pdf")</f>
        <v>gsii/532422-addendum-0-17.pdf</v>
      </c>
      <c r="E1869">
        <v>119960</v>
      </c>
      <c r="F1869">
        <v>532422</v>
      </c>
      <c r="G1869" t="s">
        <v>9</v>
      </c>
      <c r="H1869" t="s">
        <v>1400</v>
      </c>
      <c r="I1869" t="s">
        <v>1435</v>
      </c>
    </row>
    <row r="1870" spans="1:9" x14ac:dyDescent="0.2">
      <c r="A1870" t="s">
        <v>1436</v>
      </c>
      <c r="D1870" t="str">
        <f>HYPERLINK("http://nlpdeep.cs.uic.edu:8080/proofing/t5/532422-addendum-0-18.pdf","t5/532422-addendum-0-18.pdf")</f>
        <v>t5/532422-addendum-0-18.pdf</v>
      </c>
      <c r="E1870">
        <v>119960</v>
      </c>
      <c r="F1870">
        <v>532422</v>
      </c>
      <c r="G1870" t="s">
        <v>9</v>
      </c>
      <c r="H1870" t="s">
        <v>1400</v>
      </c>
      <c r="I1870" t="s">
        <v>1437</v>
      </c>
    </row>
    <row r="1871" spans="1:9" x14ac:dyDescent="0.2">
      <c r="A1871" t="s">
        <v>1436</v>
      </c>
      <c r="D1871" t="str">
        <f>HYPERLINK("http://nlpdeep.cs.uic.edu:8080/proofing/gsii/532422-addendum-0-18.pdf","gsii/532422-addendum-0-18.pdf")</f>
        <v>gsii/532422-addendum-0-18.pdf</v>
      </c>
      <c r="E1871">
        <v>119960</v>
      </c>
      <c r="F1871">
        <v>532422</v>
      </c>
      <c r="G1871" t="s">
        <v>9</v>
      </c>
      <c r="H1871" t="s">
        <v>1400</v>
      </c>
      <c r="I1871" t="s">
        <v>1437</v>
      </c>
    </row>
    <row r="1872" spans="1:9" x14ac:dyDescent="0.2">
      <c r="A1872" t="s">
        <v>1438</v>
      </c>
      <c r="D1872" t="str">
        <f>HYPERLINK("http://nlpdeep.cs.uic.edu:8080/proofing/t5/532422-addendum-0-19.pdf","t5/532422-addendum-0-19.pdf")</f>
        <v>t5/532422-addendum-0-19.pdf</v>
      </c>
      <c r="E1872">
        <v>119960</v>
      </c>
      <c r="F1872">
        <v>532422</v>
      </c>
      <c r="G1872" t="s">
        <v>9</v>
      </c>
      <c r="H1872" t="s">
        <v>1400</v>
      </c>
      <c r="I1872" t="s">
        <v>1439</v>
      </c>
    </row>
    <row r="1873" spans="1:9" x14ac:dyDescent="0.2">
      <c r="A1873" t="s">
        <v>1438</v>
      </c>
      <c r="D1873" t="str">
        <f>HYPERLINK("http://nlpdeep.cs.uic.edu:8080/proofing/gsii/532422-addendum-0-19.pdf","gsii/532422-addendum-0-19.pdf")</f>
        <v>gsii/532422-addendum-0-19.pdf</v>
      </c>
      <c r="E1873">
        <v>119960</v>
      </c>
      <c r="F1873">
        <v>532422</v>
      </c>
      <c r="G1873" t="s">
        <v>9</v>
      </c>
      <c r="H1873" t="s">
        <v>1400</v>
      </c>
      <c r="I1873" t="s">
        <v>1439</v>
      </c>
    </row>
    <row r="1874" spans="1:9" x14ac:dyDescent="0.2">
      <c r="A1874" t="s">
        <v>1440</v>
      </c>
      <c r="D1874" t="str">
        <f>HYPERLINK("http://nlpdeep.cs.uic.edu:8080/proofing/t5/532422-addendum-0-20.pdf","t5/532422-addendum-0-20.pdf")</f>
        <v>t5/532422-addendum-0-20.pdf</v>
      </c>
      <c r="E1874">
        <v>119960</v>
      </c>
      <c r="F1874">
        <v>532422</v>
      </c>
      <c r="G1874" t="s">
        <v>9</v>
      </c>
      <c r="H1874" t="s">
        <v>1400</v>
      </c>
      <c r="I1874" t="s">
        <v>1441</v>
      </c>
    </row>
    <row r="1875" spans="1:9" x14ac:dyDescent="0.2">
      <c r="A1875" t="s">
        <v>1440</v>
      </c>
      <c r="D1875" t="str">
        <f>HYPERLINK("http://nlpdeep.cs.uic.edu:8080/proofing/gsii/532422-addendum-0-20.pdf","gsii/532422-addendum-0-20.pdf")</f>
        <v>gsii/532422-addendum-0-20.pdf</v>
      </c>
      <c r="E1875">
        <v>119960</v>
      </c>
      <c r="F1875">
        <v>532422</v>
      </c>
      <c r="G1875" t="s">
        <v>9</v>
      </c>
      <c r="H1875" t="s">
        <v>1400</v>
      </c>
      <c r="I1875" t="s">
        <v>1441</v>
      </c>
    </row>
    <row r="1876" spans="1:9" x14ac:dyDescent="0.2">
      <c r="A1876" t="s">
        <v>1442</v>
      </c>
      <c r="D1876" t="str">
        <f>HYPERLINK("http://nlpdeep.cs.uic.edu:8080/proofing/t5/532422-addendum-0-21.pdf","t5/532422-addendum-0-21.pdf")</f>
        <v>t5/532422-addendum-0-21.pdf</v>
      </c>
      <c r="E1876">
        <v>119960</v>
      </c>
      <c r="F1876">
        <v>532422</v>
      </c>
      <c r="G1876" t="s">
        <v>9</v>
      </c>
      <c r="H1876" t="s">
        <v>1400</v>
      </c>
      <c r="I1876" t="s">
        <v>1443</v>
      </c>
    </row>
    <row r="1877" spans="1:9" x14ac:dyDescent="0.2">
      <c r="A1877" t="s">
        <v>1442</v>
      </c>
      <c r="D1877" t="str">
        <f>HYPERLINK("http://nlpdeep.cs.uic.edu:8080/proofing/gsii/532422-addendum-0-21.pdf","gsii/532422-addendum-0-21.pdf")</f>
        <v>gsii/532422-addendum-0-21.pdf</v>
      </c>
      <c r="E1877">
        <v>119960</v>
      </c>
      <c r="F1877">
        <v>532422</v>
      </c>
      <c r="G1877" t="s">
        <v>9</v>
      </c>
      <c r="H1877" t="s">
        <v>1400</v>
      </c>
      <c r="I1877" t="s">
        <v>1443</v>
      </c>
    </row>
    <row r="1878" spans="1:9" x14ac:dyDescent="0.2">
      <c r="A1878" t="s">
        <v>1444</v>
      </c>
      <c r="D1878" t="str">
        <f>HYPERLINK("http://nlpdeep.cs.uic.edu:8080/proofing/t5/532422-addendum-0-22.pdf","t5/532422-addendum-0-22.pdf")</f>
        <v>t5/532422-addendum-0-22.pdf</v>
      </c>
      <c r="E1878">
        <v>119960</v>
      </c>
      <c r="F1878">
        <v>532422</v>
      </c>
      <c r="G1878" t="s">
        <v>9</v>
      </c>
      <c r="H1878" t="s">
        <v>1400</v>
      </c>
      <c r="I1878" t="s">
        <v>1445</v>
      </c>
    </row>
    <row r="1879" spans="1:9" x14ac:dyDescent="0.2">
      <c r="A1879" t="s">
        <v>1444</v>
      </c>
      <c r="D1879" t="str">
        <f>HYPERLINK("http://nlpdeep.cs.uic.edu:8080/proofing/gsii/532422-addendum-0-22.pdf","gsii/532422-addendum-0-22.pdf")</f>
        <v>gsii/532422-addendum-0-22.pdf</v>
      </c>
      <c r="E1879">
        <v>119960</v>
      </c>
      <c r="F1879">
        <v>532422</v>
      </c>
      <c r="G1879" t="s">
        <v>9</v>
      </c>
      <c r="H1879" t="s">
        <v>1400</v>
      </c>
      <c r="I1879" t="s">
        <v>1445</v>
      </c>
    </row>
    <row r="1880" spans="1:9" x14ac:dyDescent="0.2">
      <c r="A1880" t="s">
        <v>1446</v>
      </c>
      <c r="D1880" t="str">
        <f>HYPERLINK("http://nlpdeep.cs.uic.edu:8080/proofing/t5/532422-addendum-0-23.pdf","t5/532422-addendum-0-23.pdf")</f>
        <v>t5/532422-addendum-0-23.pdf</v>
      </c>
      <c r="E1880">
        <v>119960</v>
      </c>
      <c r="F1880">
        <v>532422</v>
      </c>
      <c r="G1880" t="s">
        <v>9</v>
      </c>
      <c r="H1880" t="s">
        <v>1400</v>
      </c>
      <c r="I1880" t="s">
        <v>1447</v>
      </c>
    </row>
    <row r="1881" spans="1:9" x14ac:dyDescent="0.2">
      <c r="A1881" t="s">
        <v>1446</v>
      </c>
      <c r="D1881" t="str">
        <f>HYPERLINK("http://nlpdeep.cs.uic.edu:8080/proofing/gsii/532422-addendum-0-23.pdf","gsii/532422-addendum-0-23.pdf")</f>
        <v>gsii/532422-addendum-0-23.pdf</v>
      </c>
      <c r="E1881">
        <v>119960</v>
      </c>
      <c r="F1881">
        <v>532422</v>
      </c>
      <c r="G1881" t="s">
        <v>9</v>
      </c>
      <c r="H1881" t="s">
        <v>1400</v>
      </c>
      <c r="I1881" t="s">
        <v>1447</v>
      </c>
    </row>
    <row r="1882" spans="1:9" x14ac:dyDescent="0.2">
      <c r="A1882" t="s">
        <v>1448</v>
      </c>
      <c r="D1882" t="str">
        <f>HYPERLINK("http://nlpdeep.cs.uic.edu:8080/proofing/t5/532422-addendum-0-24.pdf","t5/532422-addendum-0-24.pdf")</f>
        <v>t5/532422-addendum-0-24.pdf</v>
      </c>
      <c r="E1882">
        <v>119960</v>
      </c>
      <c r="F1882">
        <v>532422</v>
      </c>
      <c r="G1882" t="s">
        <v>9</v>
      </c>
      <c r="H1882" t="s">
        <v>1400</v>
      </c>
      <c r="I1882" t="s">
        <v>1449</v>
      </c>
    </row>
    <row r="1883" spans="1:9" x14ac:dyDescent="0.2">
      <c r="A1883" t="s">
        <v>1448</v>
      </c>
      <c r="D1883" t="str">
        <f>HYPERLINK("http://nlpdeep.cs.uic.edu:8080/proofing/gsii/532422-addendum-0-24.pdf","gsii/532422-addendum-0-24.pdf")</f>
        <v>gsii/532422-addendum-0-24.pdf</v>
      </c>
      <c r="E1883">
        <v>119960</v>
      </c>
      <c r="F1883">
        <v>532422</v>
      </c>
      <c r="G1883" t="s">
        <v>9</v>
      </c>
      <c r="H1883" t="s">
        <v>1400</v>
      </c>
      <c r="I1883" t="s">
        <v>1449</v>
      </c>
    </row>
    <row r="1884" spans="1:9" x14ac:dyDescent="0.2">
      <c r="A1884" t="s">
        <v>1450</v>
      </c>
      <c r="D1884" t="str">
        <f>HYPERLINK("http://nlpdeep.cs.uic.edu:8080/proofing/t5/532422-addendum-0-25.pdf","t5/532422-addendum-0-25.pdf")</f>
        <v>t5/532422-addendum-0-25.pdf</v>
      </c>
      <c r="E1884">
        <v>119960</v>
      </c>
      <c r="F1884">
        <v>532422</v>
      </c>
      <c r="G1884" t="s">
        <v>9</v>
      </c>
      <c r="H1884" t="s">
        <v>1400</v>
      </c>
      <c r="I1884" t="s">
        <v>1451</v>
      </c>
    </row>
    <row r="1885" spans="1:9" x14ac:dyDescent="0.2">
      <c r="A1885" t="s">
        <v>1450</v>
      </c>
      <c r="D1885" t="str">
        <f>HYPERLINK("http://nlpdeep.cs.uic.edu:8080/proofing/gsii/532422-addendum-0-25.pdf","gsii/532422-addendum-0-25.pdf")</f>
        <v>gsii/532422-addendum-0-25.pdf</v>
      </c>
      <c r="E1885">
        <v>119960</v>
      </c>
      <c r="F1885">
        <v>532422</v>
      </c>
      <c r="G1885" t="s">
        <v>9</v>
      </c>
      <c r="H1885" t="s">
        <v>1400</v>
      </c>
      <c r="I1885" t="s">
        <v>1451</v>
      </c>
    </row>
    <row r="1886" spans="1:9" x14ac:dyDescent="0.2">
      <c r="A1886" t="s">
        <v>1452</v>
      </c>
      <c r="D1886" t="str">
        <f>HYPERLINK("http://nlpdeep.cs.uic.edu:8080/proofing/t5/532422-addendum-0-26.pdf","t5/532422-addendum-0-26.pdf")</f>
        <v>t5/532422-addendum-0-26.pdf</v>
      </c>
      <c r="E1886">
        <v>119960</v>
      </c>
      <c r="F1886">
        <v>532422</v>
      </c>
      <c r="G1886" t="s">
        <v>9</v>
      </c>
      <c r="H1886" t="s">
        <v>1400</v>
      </c>
      <c r="I1886" t="s">
        <v>1453</v>
      </c>
    </row>
    <row r="1887" spans="1:9" x14ac:dyDescent="0.2">
      <c r="A1887" t="s">
        <v>1452</v>
      </c>
      <c r="D1887" t="str">
        <f>HYPERLINK("http://nlpdeep.cs.uic.edu:8080/proofing/gsii/532422-addendum-0-26.pdf","gsii/532422-addendum-0-26.pdf")</f>
        <v>gsii/532422-addendum-0-26.pdf</v>
      </c>
      <c r="E1887">
        <v>119960</v>
      </c>
      <c r="F1887">
        <v>532422</v>
      </c>
      <c r="G1887" t="s">
        <v>9</v>
      </c>
      <c r="H1887" t="s">
        <v>1400</v>
      </c>
      <c r="I1887" t="s">
        <v>1453</v>
      </c>
    </row>
    <row r="1888" spans="1:9" x14ac:dyDescent="0.2">
      <c r="A1888" t="s">
        <v>1454</v>
      </c>
      <c r="D1888" t="str">
        <f>HYPERLINK("http://nlpdeep.cs.uic.edu:8080/proofing/t5/532698-24-hour-events-0-0.pdf","t5/532698-24-hour-events-0-0.pdf")</f>
        <v>t5/532698-24-hour-events-0-0.pdf</v>
      </c>
      <c r="E1888">
        <v>119960</v>
      </c>
      <c r="F1888">
        <v>532698</v>
      </c>
      <c r="G1888" t="s">
        <v>9</v>
      </c>
      <c r="H1888" t="s">
        <v>538</v>
      </c>
      <c r="I1888" t="s">
        <v>694</v>
      </c>
    </row>
    <row r="1889" spans="1:9" x14ac:dyDescent="0.2">
      <c r="A1889" t="s">
        <v>1454</v>
      </c>
      <c r="D1889" t="str">
        <f>HYPERLINK("http://nlpdeep.cs.uic.edu:8080/proofing/gsii/532698-24-hour-events-0-0.pdf","gsii/532698-24-hour-events-0-0.pdf")</f>
        <v>gsii/532698-24-hour-events-0-0.pdf</v>
      </c>
      <c r="E1889">
        <v>119960</v>
      </c>
      <c r="F1889">
        <v>532698</v>
      </c>
      <c r="G1889" t="s">
        <v>9</v>
      </c>
      <c r="H1889" t="s">
        <v>538</v>
      </c>
      <c r="I1889" t="s">
        <v>694</v>
      </c>
    </row>
    <row r="1890" spans="1:9" x14ac:dyDescent="0.2">
      <c r="A1890" t="s">
        <v>1455</v>
      </c>
      <c r="D1890" t="str">
        <f>HYPERLINK("http://nlpdeep.cs.uic.edu:8080/proofing/t5/532698-24-hour-events-0-1.pdf","t5/532698-24-hour-events-0-1.pdf")</f>
        <v>t5/532698-24-hour-events-0-1.pdf</v>
      </c>
      <c r="E1890">
        <v>119960</v>
      </c>
      <c r="F1890">
        <v>532698</v>
      </c>
      <c r="G1890" t="s">
        <v>9</v>
      </c>
      <c r="H1890" t="s">
        <v>538</v>
      </c>
      <c r="I1890" t="s">
        <v>696</v>
      </c>
    </row>
    <row r="1891" spans="1:9" x14ac:dyDescent="0.2">
      <c r="A1891" t="s">
        <v>1455</v>
      </c>
      <c r="D1891" t="str">
        <f>HYPERLINK("http://nlpdeep.cs.uic.edu:8080/proofing/gsii/532698-24-hour-events-0-1.pdf","gsii/532698-24-hour-events-0-1.pdf")</f>
        <v>gsii/532698-24-hour-events-0-1.pdf</v>
      </c>
      <c r="E1891">
        <v>119960</v>
      </c>
      <c r="F1891">
        <v>532698</v>
      </c>
      <c r="G1891" t="s">
        <v>9</v>
      </c>
      <c r="H1891" t="s">
        <v>538</v>
      </c>
      <c r="I1891" t="s">
        <v>696</v>
      </c>
    </row>
    <row r="1892" spans="1:9" x14ac:dyDescent="0.2">
      <c r="A1892" t="s">
        <v>1456</v>
      </c>
      <c r="D1892" t="str">
        <f>HYPERLINK("http://nlpdeep.cs.uic.edu:8080/proofing/t5/532698-24-hour-events-0-2.pdf","t5/532698-24-hour-events-0-2.pdf")</f>
        <v>t5/532698-24-hour-events-0-2.pdf</v>
      </c>
      <c r="E1892">
        <v>119960</v>
      </c>
      <c r="F1892">
        <v>532698</v>
      </c>
      <c r="G1892" t="s">
        <v>9</v>
      </c>
      <c r="H1892" t="s">
        <v>538</v>
      </c>
      <c r="I1892" t="s">
        <v>698</v>
      </c>
    </row>
    <row r="1893" spans="1:9" x14ac:dyDescent="0.2">
      <c r="A1893" t="s">
        <v>1456</v>
      </c>
      <c r="D1893" t="str">
        <f>HYPERLINK("http://nlpdeep.cs.uic.edu:8080/proofing/gsii/532698-24-hour-events-0-2.pdf","gsii/532698-24-hour-events-0-2.pdf")</f>
        <v>gsii/532698-24-hour-events-0-2.pdf</v>
      </c>
      <c r="E1893">
        <v>119960</v>
      </c>
      <c r="F1893">
        <v>532698</v>
      </c>
      <c r="G1893" t="s">
        <v>9</v>
      </c>
      <c r="H1893" t="s">
        <v>538</v>
      </c>
      <c r="I1893" t="s">
        <v>698</v>
      </c>
    </row>
    <row r="1894" spans="1:9" x14ac:dyDescent="0.2">
      <c r="A1894" t="s">
        <v>1457</v>
      </c>
      <c r="D1894" t="str">
        <f>HYPERLINK("http://nlpdeep.cs.uic.edu:8080/proofing/t5/532698-24-hour-events-0-3.pdf","t5/532698-24-hour-events-0-3.pdf")</f>
        <v>t5/532698-24-hour-events-0-3.pdf</v>
      </c>
      <c r="E1894">
        <v>119960</v>
      </c>
      <c r="F1894">
        <v>532698</v>
      </c>
      <c r="G1894" t="s">
        <v>9</v>
      </c>
      <c r="H1894" t="s">
        <v>538</v>
      </c>
      <c r="I1894" t="s">
        <v>700</v>
      </c>
    </row>
    <row r="1895" spans="1:9" x14ac:dyDescent="0.2">
      <c r="A1895" t="s">
        <v>1457</v>
      </c>
      <c r="D1895" t="str">
        <f>HYPERLINK("http://nlpdeep.cs.uic.edu:8080/proofing/gsii/532698-24-hour-events-0-3.pdf","gsii/532698-24-hour-events-0-3.pdf")</f>
        <v>gsii/532698-24-hour-events-0-3.pdf</v>
      </c>
      <c r="E1895">
        <v>119960</v>
      </c>
      <c r="F1895">
        <v>532698</v>
      </c>
      <c r="G1895" t="s">
        <v>9</v>
      </c>
      <c r="H1895" t="s">
        <v>538</v>
      </c>
      <c r="I1895" t="s">
        <v>700</v>
      </c>
    </row>
    <row r="1896" spans="1:9" x14ac:dyDescent="0.2">
      <c r="A1896" t="s">
        <v>1458</v>
      </c>
      <c r="D1896" t="str">
        <f>HYPERLINK("http://nlpdeep.cs.uic.edu:8080/proofing/t5/532698-allergies-0-0.pdf","t5/532698-allergies-0-0.pdf")</f>
        <v>t5/532698-allergies-0-0.pdf</v>
      </c>
      <c r="E1896">
        <v>119960</v>
      </c>
      <c r="F1896">
        <v>532698</v>
      </c>
      <c r="G1896" t="s">
        <v>9</v>
      </c>
      <c r="H1896" t="s">
        <v>64</v>
      </c>
      <c r="I1896" t="s">
        <v>517</v>
      </c>
    </row>
    <row r="1897" spans="1:9" x14ac:dyDescent="0.2">
      <c r="A1897" t="s">
        <v>1458</v>
      </c>
      <c r="D1897" t="str">
        <f>HYPERLINK("http://nlpdeep.cs.uic.edu:8080/proofing/gsii/532698-allergies-0-0.pdf","gsii/532698-allergies-0-0.pdf")</f>
        <v>gsii/532698-allergies-0-0.pdf</v>
      </c>
      <c r="E1897">
        <v>119960</v>
      </c>
      <c r="F1897">
        <v>532698</v>
      </c>
      <c r="G1897" t="s">
        <v>9</v>
      </c>
      <c r="H1897" t="s">
        <v>64</v>
      </c>
      <c r="I1897" t="s">
        <v>517</v>
      </c>
    </row>
    <row r="1898" spans="1:9" x14ac:dyDescent="0.2">
      <c r="A1898" t="s">
        <v>1459</v>
      </c>
      <c r="D1898" t="str">
        <f>HYPERLINK("http://nlpdeep.cs.uic.edu:8080/proofing/t5/532698-last-dose-of-antibiotics-0-0.pdf","t5/532698-last-dose-of-antibiotics-0-0.pdf")</f>
        <v>t5/532698-last-dose-of-antibiotics-0-0.pdf</v>
      </c>
      <c r="E1898">
        <v>119960</v>
      </c>
      <c r="F1898">
        <v>532698</v>
      </c>
      <c r="G1898" t="s">
        <v>9</v>
      </c>
      <c r="H1898" t="s">
        <v>235</v>
      </c>
      <c r="I1898" t="s">
        <v>519</v>
      </c>
    </row>
    <row r="1899" spans="1:9" x14ac:dyDescent="0.2">
      <c r="A1899" t="s">
        <v>1459</v>
      </c>
      <c r="D1899" t="str">
        <f>HYPERLINK("http://nlpdeep.cs.uic.edu:8080/proofing/gsii/532698-last-dose-of-antibiotics-0-0.pdf","gsii/532698-last-dose-of-antibiotics-0-0.pdf")</f>
        <v>gsii/532698-last-dose-of-antibiotics-0-0.pdf</v>
      </c>
      <c r="E1899">
        <v>119960</v>
      </c>
      <c r="F1899">
        <v>532698</v>
      </c>
      <c r="G1899" t="s">
        <v>9</v>
      </c>
      <c r="H1899" t="s">
        <v>235</v>
      </c>
      <c r="I1899" t="s">
        <v>519</v>
      </c>
    </row>
    <row r="1900" spans="1:9" x14ac:dyDescent="0.2">
      <c r="A1900" t="s">
        <v>1460</v>
      </c>
      <c r="D1900" t="str">
        <f>HYPERLINK("http://nlpdeep.cs.uic.edu:8080/proofing/t5/532698-other-medications-0-0.pdf","t5/532698-other-medications-0-0.pdf")</f>
        <v>t5/532698-other-medications-0-0.pdf</v>
      </c>
      <c r="E1900">
        <v>119960</v>
      </c>
      <c r="F1900">
        <v>532698</v>
      </c>
      <c r="G1900" t="s">
        <v>9</v>
      </c>
      <c r="H1900" t="s">
        <v>67</v>
      </c>
      <c r="I1900" t="s">
        <v>704</v>
      </c>
    </row>
    <row r="1901" spans="1:9" x14ac:dyDescent="0.2">
      <c r="A1901" t="s">
        <v>1460</v>
      </c>
      <c r="D1901" t="str">
        <f>HYPERLINK("http://nlpdeep.cs.uic.edu:8080/proofing/gsii/532698-other-medications-0-0.pdf","gsii/532698-other-medications-0-0.pdf")</f>
        <v>gsii/532698-other-medications-0-0.pdf</v>
      </c>
      <c r="E1901">
        <v>119960</v>
      </c>
      <c r="F1901">
        <v>532698</v>
      </c>
      <c r="G1901" t="s">
        <v>9</v>
      </c>
      <c r="H1901" t="s">
        <v>67</v>
      </c>
      <c r="I1901" t="s">
        <v>704</v>
      </c>
    </row>
    <row r="1902" spans="1:9" x14ac:dyDescent="0.2">
      <c r="A1902" t="s">
        <v>1461</v>
      </c>
      <c r="D1902" t="str">
        <f>HYPERLINK("http://nlpdeep.cs.uic.edu:8080/proofing/t5/532698-flowsheet-data-vitals-0-0.pdf","t5/532698-flowsheet-data-vitals-0-0.pdf")</f>
        <v>t5/532698-flowsheet-data-vitals-0-0.pdf</v>
      </c>
      <c r="E1902">
        <v>119960</v>
      </c>
      <c r="F1902">
        <v>532698</v>
      </c>
      <c r="G1902" t="s">
        <v>9</v>
      </c>
      <c r="H1902" t="s">
        <v>135</v>
      </c>
      <c r="I1902" t="s">
        <v>706</v>
      </c>
    </row>
    <row r="1903" spans="1:9" x14ac:dyDescent="0.2">
      <c r="A1903" t="s">
        <v>1461</v>
      </c>
      <c r="D1903" t="str">
        <f>HYPERLINK("http://nlpdeep.cs.uic.edu:8080/proofing/gsii/532698-flowsheet-data-vitals-0-0.pdf","gsii/532698-flowsheet-data-vitals-0-0.pdf")</f>
        <v>gsii/532698-flowsheet-data-vitals-0-0.pdf</v>
      </c>
      <c r="E1903">
        <v>119960</v>
      </c>
      <c r="F1903">
        <v>532698</v>
      </c>
      <c r="G1903" t="s">
        <v>9</v>
      </c>
      <c r="H1903" t="s">
        <v>135</v>
      </c>
      <c r="I1903" t="s">
        <v>706</v>
      </c>
    </row>
    <row r="1904" spans="1:9" x14ac:dyDescent="0.2">
      <c r="A1904" t="s">
        <v>1462</v>
      </c>
      <c r="D1904" t="str">
        <f>HYPERLINK("http://nlpdeep.cs.uic.edu:8080/proofing/t5/532698-physical-examination-0-0.pdf","t5/532698-physical-examination-0-0.pdf")</f>
        <v>t5/532698-physical-examination-0-0.pdf</v>
      </c>
      <c r="E1904">
        <v>119960</v>
      </c>
      <c r="F1904">
        <v>532698</v>
      </c>
      <c r="G1904" t="s">
        <v>9</v>
      </c>
      <c r="H1904" t="s">
        <v>138</v>
      </c>
      <c r="I1904" t="s">
        <v>708</v>
      </c>
    </row>
    <row r="1905" spans="1:9" x14ac:dyDescent="0.2">
      <c r="A1905" t="s">
        <v>1462</v>
      </c>
      <c r="D1905" t="str">
        <f>HYPERLINK("http://nlpdeep.cs.uic.edu:8080/proofing/gsii/532698-physical-examination-0-0.pdf","gsii/532698-physical-examination-0-0.pdf")</f>
        <v>gsii/532698-physical-examination-0-0.pdf</v>
      </c>
      <c r="E1905">
        <v>119960</v>
      </c>
      <c r="F1905">
        <v>532698</v>
      </c>
      <c r="G1905" t="s">
        <v>9</v>
      </c>
      <c r="H1905" t="s">
        <v>138</v>
      </c>
      <c r="I1905" t="s">
        <v>708</v>
      </c>
    </row>
    <row r="1906" spans="1:9" x14ac:dyDescent="0.2">
      <c r="A1906" t="s">
        <v>1463</v>
      </c>
      <c r="D1906" t="str">
        <f>HYPERLINK("http://nlpdeep.cs.uic.edu:8080/proofing/t5/532698-labs-imaging-0-0.pdf","t5/532698-labs-imaging-0-0.pdf")</f>
        <v>t5/532698-labs-imaging-0-0.pdf</v>
      </c>
      <c r="E1906">
        <v>119960</v>
      </c>
      <c r="F1906">
        <v>532698</v>
      </c>
      <c r="G1906" t="s">
        <v>9</v>
      </c>
      <c r="H1906" t="s">
        <v>147</v>
      </c>
      <c r="I1906" t="s">
        <v>710</v>
      </c>
    </row>
    <row r="1907" spans="1:9" x14ac:dyDescent="0.2">
      <c r="A1907" t="s">
        <v>1463</v>
      </c>
      <c r="D1907" t="str">
        <f>HYPERLINK("http://nlpdeep.cs.uic.edu:8080/proofing/gsii/532698-labs-imaging-0-0.pdf","gsii/532698-labs-imaging-0-0.pdf")</f>
        <v>gsii/532698-labs-imaging-0-0.pdf</v>
      </c>
      <c r="E1907">
        <v>119960</v>
      </c>
      <c r="F1907">
        <v>532698</v>
      </c>
      <c r="G1907" t="s">
        <v>9</v>
      </c>
      <c r="H1907" t="s">
        <v>147</v>
      </c>
      <c r="I1907" t="s">
        <v>710</v>
      </c>
    </row>
    <row r="1908" spans="1:9" x14ac:dyDescent="0.2">
      <c r="A1908" t="s">
        <v>1464</v>
      </c>
      <c r="D1908" t="str">
        <f>HYPERLINK("http://nlpdeep.cs.uic.edu:8080/proofing/t5/532698-labs-imaging-0-1.pdf","t5/532698-labs-imaging-0-1.pdf")</f>
        <v>t5/532698-labs-imaging-0-1.pdf</v>
      </c>
      <c r="E1908">
        <v>119960</v>
      </c>
      <c r="F1908">
        <v>532698</v>
      </c>
      <c r="G1908" t="s">
        <v>9</v>
      </c>
      <c r="H1908" t="s">
        <v>147</v>
      </c>
      <c r="I1908" t="s">
        <v>150</v>
      </c>
    </row>
    <row r="1909" spans="1:9" x14ac:dyDescent="0.2">
      <c r="A1909" t="s">
        <v>1464</v>
      </c>
      <c r="D1909" t="str">
        <f>HYPERLINK("http://nlpdeep.cs.uic.edu:8080/proofing/gsii/532698-labs-imaging-0-1.pdf","gsii/532698-labs-imaging-0-1.pdf")</f>
        <v>gsii/532698-labs-imaging-0-1.pdf</v>
      </c>
      <c r="E1909">
        <v>119960</v>
      </c>
      <c r="F1909">
        <v>532698</v>
      </c>
      <c r="G1909" t="s">
        <v>9</v>
      </c>
      <c r="H1909" t="s">
        <v>147</v>
      </c>
      <c r="I1909" t="s">
        <v>150</v>
      </c>
    </row>
    <row r="1910" spans="1:9" x14ac:dyDescent="0.2">
      <c r="A1910" t="s">
        <v>1465</v>
      </c>
      <c r="D1910" t="str">
        <f>HYPERLINK("http://nlpdeep.cs.uic.edu:8080/proofing/t5/532698-labs-imaging-0-2.pdf","t5/532698-labs-imaging-0-2.pdf")</f>
        <v>t5/532698-labs-imaging-0-2.pdf</v>
      </c>
      <c r="E1910">
        <v>119960</v>
      </c>
      <c r="F1910">
        <v>532698</v>
      </c>
      <c r="G1910" t="s">
        <v>9</v>
      </c>
      <c r="H1910" t="s">
        <v>147</v>
      </c>
      <c r="I1910" t="s">
        <v>152</v>
      </c>
    </row>
    <row r="1911" spans="1:9" x14ac:dyDescent="0.2">
      <c r="A1911" t="s">
        <v>1465</v>
      </c>
      <c r="D1911" t="str">
        <f>HYPERLINK("http://nlpdeep.cs.uic.edu:8080/proofing/gsii/532698-labs-imaging-0-2.pdf","gsii/532698-labs-imaging-0-2.pdf")</f>
        <v>gsii/532698-labs-imaging-0-2.pdf</v>
      </c>
      <c r="E1911">
        <v>119960</v>
      </c>
      <c r="F1911">
        <v>532698</v>
      </c>
      <c r="G1911" t="s">
        <v>9</v>
      </c>
      <c r="H1911" t="s">
        <v>147</v>
      </c>
      <c r="I1911" t="s">
        <v>152</v>
      </c>
    </row>
    <row r="1912" spans="1:9" x14ac:dyDescent="0.2">
      <c r="A1912" t="s">
        <v>1466</v>
      </c>
      <c r="D1912" t="str">
        <f>HYPERLINK("http://nlpdeep.cs.uic.edu:8080/proofing/t5/532698-labs-imaging-0-3.pdf","t5/532698-labs-imaging-0-3.pdf")</f>
        <v>t5/532698-labs-imaging-0-3.pdf</v>
      </c>
      <c r="E1912">
        <v>119960</v>
      </c>
      <c r="F1912">
        <v>532698</v>
      </c>
      <c r="G1912" t="s">
        <v>9</v>
      </c>
      <c r="H1912" t="s">
        <v>147</v>
      </c>
      <c r="I1912" t="s">
        <v>714</v>
      </c>
    </row>
    <row r="1913" spans="1:9" x14ac:dyDescent="0.2">
      <c r="A1913" t="s">
        <v>1466</v>
      </c>
      <c r="D1913" t="str">
        <f>HYPERLINK("http://nlpdeep.cs.uic.edu:8080/proofing/gsii/532698-labs-imaging-0-3.pdf","gsii/532698-labs-imaging-0-3.pdf")</f>
        <v>gsii/532698-labs-imaging-0-3.pdf</v>
      </c>
      <c r="E1913">
        <v>119960</v>
      </c>
      <c r="F1913">
        <v>532698</v>
      </c>
      <c r="G1913" t="s">
        <v>9</v>
      </c>
      <c r="H1913" t="s">
        <v>147</v>
      </c>
      <c r="I1913" t="s">
        <v>714</v>
      </c>
    </row>
    <row r="1914" spans="1:9" x14ac:dyDescent="0.2">
      <c r="A1914" t="s">
        <v>1467</v>
      </c>
      <c r="D1914" t="str">
        <f>HYPERLINK("http://nlpdeep.cs.uic.edu:8080/proofing/t5/532698-labs-imaging-0-4.pdf","t5/532698-labs-imaging-0-4.pdf")</f>
        <v>t5/532698-labs-imaging-0-4.pdf</v>
      </c>
      <c r="E1914">
        <v>119960</v>
      </c>
      <c r="F1914">
        <v>532698</v>
      </c>
      <c r="G1914" t="s">
        <v>9</v>
      </c>
      <c r="H1914" t="s">
        <v>147</v>
      </c>
      <c r="I1914" t="s">
        <v>156</v>
      </c>
    </row>
    <row r="1915" spans="1:9" x14ac:dyDescent="0.2">
      <c r="A1915" t="s">
        <v>1467</v>
      </c>
      <c r="D1915" t="str">
        <f>HYPERLINK("http://nlpdeep.cs.uic.edu:8080/proofing/gsii/532698-labs-imaging-0-4.pdf","gsii/532698-labs-imaging-0-4.pdf")</f>
        <v>gsii/532698-labs-imaging-0-4.pdf</v>
      </c>
      <c r="E1915">
        <v>119960</v>
      </c>
      <c r="F1915">
        <v>532698</v>
      </c>
      <c r="G1915" t="s">
        <v>9</v>
      </c>
      <c r="H1915" t="s">
        <v>147</v>
      </c>
      <c r="I1915" t="s">
        <v>156</v>
      </c>
    </row>
    <row r="1916" spans="1:9" x14ac:dyDescent="0.2">
      <c r="A1916" t="s">
        <v>1468</v>
      </c>
      <c r="D1916" t="str">
        <f>HYPERLINK("http://nlpdeep.cs.uic.edu:8080/proofing/t5/532698-labs-imaging-0-5.pdf","t5/532698-labs-imaging-0-5.pdf")</f>
        <v>t5/532698-labs-imaging-0-5.pdf</v>
      </c>
      <c r="E1916">
        <v>119960</v>
      </c>
      <c r="F1916">
        <v>532698</v>
      </c>
      <c r="G1916" t="s">
        <v>9</v>
      </c>
      <c r="H1916" t="s">
        <v>147</v>
      </c>
      <c r="I1916" t="s">
        <v>158</v>
      </c>
    </row>
    <row r="1917" spans="1:9" x14ac:dyDescent="0.2">
      <c r="A1917" t="s">
        <v>1468</v>
      </c>
      <c r="D1917" t="str">
        <f>HYPERLINK("http://nlpdeep.cs.uic.edu:8080/proofing/gsii/532698-labs-imaging-0-5.pdf","gsii/532698-labs-imaging-0-5.pdf")</f>
        <v>gsii/532698-labs-imaging-0-5.pdf</v>
      </c>
      <c r="E1917">
        <v>119960</v>
      </c>
      <c r="F1917">
        <v>532698</v>
      </c>
      <c r="G1917" t="s">
        <v>9</v>
      </c>
      <c r="H1917" t="s">
        <v>147</v>
      </c>
      <c r="I1917" t="s">
        <v>158</v>
      </c>
    </row>
    <row r="1918" spans="1:9" x14ac:dyDescent="0.2">
      <c r="A1918" t="s">
        <v>1469</v>
      </c>
      <c r="D1918" t="str">
        <f>HYPERLINK("http://nlpdeep.cs.uic.edu:8080/proofing/t5/532698-labs-imaging-0-6.pdf","t5/532698-labs-imaging-0-6.pdf")</f>
        <v>t5/532698-labs-imaging-0-6.pdf</v>
      </c>
      <c r="E1918">
        <v>119960</v>
      </c>
      <c r="F1918">
        <v>532698</v>
      </c>
      <c r="G1918" t="s">
        <v>9</v>
      </c>
      <c r="H1918" t="s">
        <v>147</v>
      </c>
      <c r="I1918" t="s">
        <v>718</v>
      </c>
    </row>
    <row r="1919" spans="1:9" x14ac:dyDescent="0.2">
      <c r="A1919" t="s">
        <v>1469</v>
      </c>
      <c r="D1919" t="str">
        <f>HYPERLINK("http://nlpdeep.cs.uic.edu:8080/proofing/gsii/532698-labs-imaging-0-6.pdf","gsii/532698-labs-imaging-0-6.pdf")</f>
        <v>gsii/532698-labs-imaging-0-6.pdf</v>
      </c>
      <c r="E1919">
        <v>119960</v>
      </c>
      <c r="F1919">
        <v>532698</v>
      </c>
      <c r="G1919" t="s">
        <v>9</v>
      </c>
      <c r="H1919" t="s">
        <v>147</v>
      </c>
      <c r="I1919" t="s">
        <v>718</v>
      </c>
    </row>
    <row r="1920" spans="1:9" x14ac:dyDescent="0.2">
      <c r="A1920" t="s">
        <v>1470</v>
      </c>
      <c r="D1920" t="str">
        <f>HYPERLINK("http://nlpdeep.cs.uic.edu:8080/proofing/t5/532698-labs-imaging-0-7.pdf","t5/532698-labs-imaging-0-7.pdf")</f>
        <v>t5/532698-labs-imaging-0-7.pdf</v>
      </c>
      <c r="E1920">
        <v>119960</v>
      </c>
      <c r="F1920">
        <v>532698</v>
      </c>
      <c r="G1920" t="s">
        <v>9</v>
      </c>
      <c r="H1920" t="s">
        <v>147</v>
      </c>
      <c r="I1920" t="s">
        <v>720</v>
      </c>
    </row>
    <row r="1921" spans="1:9" x14ac:dyDescent="0.2">
      <c r="A1921" t="s">
        <v>1470</v>
      </c>
      <c r="D1921" t="str">
        <f>HYPERLINK("http://nlpdeep.cs.uic.edu:8080/proofing/gsii/532698-labs-imaging-0-7.pdf","gsii/532698-labs-imaging-0-7.pdf")</f>
        <v>gsii/532698-labs-imaging-0-7.pdf</v>
      </c>
      <c r="E1921">
        <v>119960</v>
      </c>
      <c r="F1921">
        <v>532698</v>
      </c>
      <c r="G1921" t="s">
        <v>9</v>
      </c>
      <c r="H1921" t="s">
        <v>147</v>
      </c>
      <c r="I1921" t="s">
        <v>720</v>
      </c>
    </row>
    <row r="1922" spans="1:9" x14ac:dyDescent="0.2">
      <c r="A1922" t="s">
        <v>1471</v>
      </c>
      <c r="D1922" t="str">
        <f>HYPERLINK("http://nlpdeep.cs.uic.edu:8080/proofing/t5/532698-labs-imaging-0-8.pdf","t5/532698-labs-imaging-0-8.pdf")</f>
        <v>t5/532698-labs-imaging-0-8.pdf</v>
      </c>
      <c r="E1922">
        <v>119960</v>
      </c>
      <c r="F1922">
        <v>532698</v>
      </c>
      <c r="G1922" t="s">
        <v>9</v>
      </c>
      <c r="H1922" t="s">
        <v>147</v>
      </c>
      <c r="I1922" t="s">
        <v>164</v>
      </c>
    </row>
    <row r="1923" spans="1:9" x14ac:dyDescent="0.2">
      <c r="A1923" t="s">
        <v>1471</v>
      </c>
      <c r="D1923" t="str">
        <f>HYPERLINK("http://nlpdeep.cs.uic.edu:8080/proofing/gsii/532698-labs-imaging-0-8.pdf","gsii/532698-labs-imaging-0-8.pdf")</f>
        <v>gsii/532698-labs-imaging-0-8.pdf</v>
      </c>
      <c r="E1923">
        <v>119960</v>
      </c>
      <c r="F1923">
        <v>532698</v>
      </c>
      <c r="G1923" t="s">
        <v>9</v>
      </c>
      <c r="H1923" t="s">
        <v>147</v>
      </c>
      <c r="I1923" t="s">
        <v>164</v>
      </c>
    </row>
    <row r="1924" spans="1:9" x14ac:dyDescent="0.2">
      <c r="A1924" t="s">
        <v>1472</v>
      </c>
      <c r="D1924" t="str">
        <f>HYPERLINK("http://nlpdeep.cs.uic.edu:8080/proofing/t5/532698-assessment-and-plan-0-0.pdf","t5/532698-assessment-and-plan-0-0.pdf")</f>
        <v>t5/532698-assessment-and-plan-0-0.pdf</v>
      </c>
      <c r="E1924">
        <v>119960</v>
      </c>
      <c r="F1924">
        <v>532698</v>
      </c>
      <c r="G1924" t="s">
        <v>9</v>
      </c>
      <c r="H1924" t="s">
        <v>195</v>
      </c>
      <c r="I1924" t="s">
        <v>534</v>
      </c>
    </row>
    <row r="1925" spans="1:9" x14ac:dyDescent="0.2">
      <c r="A1925" t="s">
        <v>1472</v>
      </c>
      <c r="D1925" t="str">
        <f>HYPERLINK("http://nlpdeep.cs.uic.edu:8080/proofing/gsii/532698-assessment-and-plan-0-0.pdf","gsii/532698-assessment-and-plan-0-0.pdf")</f>
        <v>gsii/532698-assessment-and-plan-0-0.pdf</v>
      </c>
      <c r="E1925">
        <v>119960</v>
      </c>
      <c r="F1925">
        <v>532698</v>
      </c>
      <c r="G1925" t="s">
        <v>9</v>
      </c>
      <c r="H1925" t="s">
        <v>195</v>
      </c>
      <c r="I1925" t="s">
        <v>534</v>
      </c>
    </row>
    <row r="1926" spans="1:9" x14ac:dyDescent="0.2">
      <c r="A1926" t="s">
        <v>1473</v>
      </c>
      <c r="D1926" t="str">
        <f>HYPERLINK("http://nlpdeep.cs.uic.edu:8080/proofing/t5/532698-code-status-0-0.pdf","t5/532698-code-status-0-0.pdf")</f>
        <v>t5/532698-code-status-0-0.pdf</v>
      </c>
      <c r="E1926">
        <v>119960</v>
      </c>
      <c r="F1926">
        <v>532698</v>
      </c>
      <c r="G1926" t="s">
        <v>9</v>
      </c>
      <c r="H1926" t="s">
        <v>201</v>
      </c>
      <c r="I1926" t="s">
        <v>536</v>
      </c>
    </row>
    <row r="1927" spans="1:9" x14ac:dyDescent="0.2">
      <c r="A1927" t="s">
        <v>1473</v>
      </c>
      <c r="D1927" t="str">
        <f>HYPERLINK("http://nlpdeep.cs.uic.edu:8080/proofing/gsii/532698-code-status-0-0.pdf","gsii/532698-code-status-0-0.pdf")</f>
        <v>gsii/532698-code-status-0-0.pdf</v>
      </c>
      <c r="E1927">
        <v>119960</v>
      </c>
      <c r="F1927">
        <v>532698</v>
      </c>
      <c r="G1927" t="s">
        <v>9</v>
      </c>
      <c r="H1927" t="s">
        <v>201</v>
      </c>
      <c r="I1927" t="s">
        <v>536</v>
      </c>
    </row>
    <row r="1928" spans="1:9" x14ac:dyDescent="0.2">
      <c r="A1928" t="s">
        <v>1474</v>
      </c>
      <c r="D1928" t="str">
        <f>HYPERLINK("http://nlpdeep.cs.uic.edu:8080/proofing/t5/532530-24-hour-events-0-0.pdf","t5/532530-24-hour-events-0-0.pdf")</f>
        <v>t5/532530-24-hour-events-0-0.pdf</v>
      </c>
      <c r="E1928">
        <v>119960</v>
      </c>
      <c r="F1928">
        <v>532530</v>
      </c>
      <c r="G1928" t="s">
        <v>9</v>
      </c>
      <c r="H1928" t="s">
        <v>538</v>
      </c>
      <c r="I1928" t="s">
        <v>539</v>
      </c>
    </row>
    <row r="1929" spans="1:9" x14ac:dyDescent="0.2">
      <c r="A1929" t="s">
        <v>1474</v>
      </c>
      <c r="D1929" t="str">
        <f>HYPERLINK("http://nlpdeep.cs.uic.edu:8080/proofing/gsii/532530-24-hour-events-0-0.pdf","gsii/532530-24-hour-events-0-0.pdf")</f>
        <v>gsii/532530-24-hour-events-0-0.pdf</v>
      </c>
      <c r="E1929">
        <v>119960</v>
      </c>
      <c r="F1929">
        <v>532530</v>
      </c>
      <c r="G1929" t="s">
        <v>9</v>
      </c>
      <c r="H1929" t="s">
        <v>538</v>
      </c>
      <c r="I1929" t="s">
        <v>539</v>
      </c>
    </row>
    <row r="1930" spans="1:9" x14ac:dyDescent="0.2">
      <c r="A1930" t="s">
        <v>1475</v>
      </c>
      <c r="D1930" t="str">
        <f>HYPERLINK("http://nlpdeep.cs.uic.edu:8080/proofing/t5/532530-24-hour-events-0-1.pdf","t5/532530-24-hour-events-0-1.pdf")</f>
        <v>t5/532530-24-hour-events-0-1.pdf</v>
      </c>
      <c r="E1930">
        <v>119960</v>
      </c>
      <c r="F1930">
        <v>532530</v>
      </c>
      <c r="G1930" t="s">
        <v>9</v>
      </c>
      <c r="H1930" t="s">
        <v>538</v>
      </c>
      <c r="I1930" t="s">
        <v>541</v>
      </c>
    </row>
    <row r="1931" spans="1:9" x14ac:dyDescent="0.2">
      <c r="A1931" t="s">
        <v>1475</v>
      </c>
      <c r="D1931" t="str">
        <f>HYPERLINK("http://nlpdeep.cs.uic.edu:8080/proofing/gsii/532530-24-hour-events-0-1.pdf","gsii/532530-24-hour-events-0-1.pdf")</f>
        <v>gsii/532530-24-hour-events-0-1.pdf</v>
      </c>
      <c r="E1931">
        <v>119960</v>
      </c>
      <c r="F1931">
        <v>532530</v>
      </c>
      <c r="G1931" t="s">
        <v>9</v>
      </c>
      <c r="H1931" t="s">
        <v>538</v>
      </c>
      <c r="I1931" t="s">
        <v>541</v>
      </c>
    </row>
    <row r="1932" spans="1:9" x14ac:dyDescent="0.2">
      <c r="A1932" t="s">
        <v>1476</v>
      </c>
      <c r="D1932" t="str">
        <f>HYPERLINK("http://nlpdeep.cs.uic.edu:8080/proofing/t5/532530-allergies-0-0.pdf","t5/532530-allergies-0-0.pdf")</f>
        <v>t5/532530-allergies-0-0.pdf</v>
      </c>
      <c r="E1932">
        <v>119960</v>
      </c>
      <c r="F1932">
        <v>532530</v>
      </c>
      <c r="G1932" t="s">
        <v>9</v>
      </c>
      <c r="H1932" t="s">
        <v>64</v>
      </c>
      <c r="I1932" t="s">
        <v>517</v>
      </c>
    </row>
    <row r="1933" spans="1:9" x14ac:dyDescent="0.2">
      <c r="A1933" t="s">
        <v>1476</v>
      </c>
      <c r="D1933" t="str">
        <f>HYPERLINK("http://nlpdeep.cs.uic.edu:8080/proofing/gsii/532530-allergies-0-0.pdf","gsii/532530-allergies-0-0.pdf")</f>
        <v>gsii/532530-allergies-0-0.pdf</v>
      </c>
      <c r="E1933">
        <v>119960</v>
      </c>
      <c r="F1933">
        <v>532530</v>
      </c>
      <c r="G1933" t="s">
        <v>9</v>
      </c>
      <c r="H1933" t="s">
        <v>64</v>
      </c>
      <c r="I1933" t="s">
        <v>517</v>
      </c>
    </row>
    <row r="1934" spans="1:9" x14ac:dyDescent="0.2">
      <c r="A1934" t="s">
        <v>1477</v>
      </c>
      <c r="D1934" t="str">
        <f>HYPERLINK("http://nlpdeep.cs.uic.edu:8080/proofing/t5/532530-other-medications-0-0.pdf","t5/532530-other-medications-0-0.pdf")</f>
        <v>t5/532530-other-medications-0-0.pdf</v>
      </c>
      <c r="E1934">
        <v>119960</v>
      </c>
      <c r="F1934">
        <v>532530</v>
      </c>
      <c r="G1934" t="s">
        <v>9</v>
      </c>
      <c r="H1934" t="s">
        <v>67</v>
      </c>
      <c r="I1934" t="s">
        <v>544</v>
      </c>
    </row>
    <row r="1935" spans="1:9" x14ac:dyDescent="0.2">
      <c r="A1935" t="s">
        <v>1477</v>
      </c>
      <c r="D1935" t="str">
        <f>HYPERLINK("http://nlpdeep.cs.uic.edu:8080/proofing/gsii/532530-other-medications-0-0.pdf","gsii/532530-other-medications-0-0.pdf")</f>
        <v>gsii/532530-other-medications-0-0.pdf</v>
      </c>
      <c r="E1935">
        <v>119960</v>
      </c>
      <c r="F1935">
        <v>532530</v>
      </c>
      <c r="G1935" t="s">
        <v>9</v>
      </c>
      <c r="H1935" t="s">
        <v>67</v>
      </c>
      <c r="I1935" t="s">
        <v>544</v>
      </c>
    </row>
    <row r="1936" spans="1:9" x14ac:dyDescent="0.2">
      <c r="A1936" t="s">
        <v>1478</v>
      </c>
      <c r="D1936" t="str">
        <f>HYPERLINK("http://nlpdeep.cs.uic.edu:8080/proofing/t5/532530-past-medical-history-0-0.pdf","t5/532530-past-medical-history-0-0.pdf")</f>
        <v>t5/532530-past-medical-history-0-0.pdf</v>
      </c>
      <c r="E1936">
        <v>119960</v>
      </c>
      <c r="F1936">
        <v>532530</v>
      </c>
      <c r="G1936" t="s">
        <v>9</v>
      </c>
      <c r="H1936" t="s">
        <v>76</v>
      </c>
      <c r="I1936" t="s">
        <v>546</v>
      </c>
    </row>
    <row r="1937" spans="1:9" x14ac:dyDescent="0.2">
      <c r="A1937" t="s">
        <v>1478</v>
      </c>
      <c r="D1937" t="str">
        <f>HYPERLINK("http://nlpdeep.cs.uic.edu:8080/proofing/gsii/532530-past-medical-history-0-0.pdf","gsii/532530-past-medical-history-0-0.pdf")</f>
        <v>gsii/532530-past-medical-history-0-0.pdf</v>
      </c>
      <c r="E1937">
        <v>119960</v>
      </c>
      <c r="F1937">
        <v>532530</v>
      </c>
      <c r="G1937" t="s">
        <v>9</v>
      </c>
      <c r="H1937" t="s">
        <v>76</v>
      </c>
      <c r="I1937" t="s">
        <v>546</v>
      </c>
    </row>
    <row r="1938" spans="1:9" x14ac:dyDescent="0.2">
      <c r="A1938" t="s">
        <v>1479</v>
      </c>
      <c r="D1938" t="str">
        <f>HYPERLINK("http://nlpdeep.cs.uic.edu:8080/proofing/t5/532530-review-of-systems-0-0.pdf","t5/532530-review-of-systems-0-0.pdf")</f>
        <v>t5/532530-review-of-systems-0-0.pdf</v>
      </c>
      <c r="E1938">
        <v>119960</v>
      </c>
      <c r="F1938">
        <v>532530</v>
      </c>
      <c r="G1938" t="s">
        <v>9</v>
      </c>
      <c r="H1938" t="s">
        <v>393</v>
      </c>
      <c r="I1938" t="s">
        <v>546</v>
      </c>
    </row>
    <row r="1939" spans="1:9" x14ac:dyDescent="0.2">
      <c r="A1939" t="s">
        <v>1479</v>
      </c>
      <c r="D1939" t="str">
        <f>HYPERLINK("http://nlpdeep.cs.uic.edu:8080/proofing/gsii/532530-review-of-systems-0-0.pdf","gsii/532530-review-of-systems-0-0.pdf")</f>
        <v>gsii/532530-review-of-systems-0-0.pdf</v>
      </c>
      <c r="E1939">
        <v>119960</v>
      </c>
      <c r="F1939">
        <v>532530</v>
      </c>
      <c r="G1939" t="s">
        <v>9</v>
      </c>
      <c r="H1939" t="s">
        <v>393</v>
      </c>
      <c r="I1939" t="s">
        <v>546</v>
      </c>
    </row>
    <row r="1940" spans="1:9" x14ac:dyDescent="0.2">
      <c r="A1940" t="s">
        <v>1480</v>
      </c>
      <c r="D1940" t="str">
        <f>HYPERLINK("http://nlpdeep.cs.uic.edu:8080/proofing/t5/532530-flowsheet-data-vitals-0-0.pdf","t5/532530-flowsheet-data-vitals-0-0.pdf")</f>
        <v>t5/532530-flowsheet-data-vitals-0-0.pdf</v>
      </c>
      <c r="E1940">
        <v>119960</v>
      </c>
      <c r="F1940">
        <v>532530</v>
      </c>
      <c r="G1940" t="s">
        <v>9</v>
      </c>
      <c r="H1940" t="s">
        <v>135</v>
      </c>
      <c r="I1940" t="s">
        <v>668</v>
      </c>
    </row>
    <row r="1941" spans="1:9" x14ac:dyDescent="0.2">
      <c r="A1941" t="s">
        <v>1480</v>
      </c>
      <c r="D1941" t="str">
        <f>HYPERLINK("http://nlpdeep.cs.uic.edu:8080/proofing/gsii/532530-flowsheet-data-vitals-0-0.pdf","gsii/532530-flowsheet-data-vitals-0-0.pdf")</f>
        <v>gsii/532530-flowsheet-data-vitals-0-0.pdf</v>
      </c>
      <c r="E1941">
        <v>119960</v>
      </c>
      <c r="F1941">
        <v>532530</v>
      </c>
      <c r="G1941" t="s">
        <v>9</v>
      </c>
      <c r="H1941" t="s">
        <v>135</v>
      </c>
      <c r="I1941" t="s">
        <v>668</v>
      </c>
    </row>
    <row r="1942" spans="1:9" x14ac:dyDescent="0.2">
      <c r="A1942" t="s">
        <v>1481</v>
      </c>
      <c r="D1942" t="str">
        <f>HYPERLINK("http://nlpdeep.cs.uic.edu:8080/proofing/t5/532530-physical-examination-0-0.pdf","t5/532530-physical-examination-0-0.pdf")</f>
        <v>t5/532530-physical-examination-0-0.pdf</v>
      </c>
      <c r="E1942">
        <v>119960</v>
      </c>
      <c r="F1942">
        <v>532530</v>
      </c>
      <c r="G1942" t="s">
        <v>9</v>
      </c>
      <c r="H1942" t="s">
        <v>138</v>
      </c>
      <c r="I1942" t="s">
        <v>551</v>
      </c>
    </row>
    <row r="1943" spans="1:9" x14ac:dyDescent="0.2">
      <c r="A1943" t="s">
        <v>1481</v>
      </c>
      <c r="D1943" t="str">
        <f>HYPERLINK("http://nlpdeep.cs.uic.edu:8080/proofing/gsii/532530-physical-examination-0-0.pdf","gsii/532530-physical-examination-0-0.pdf")</f>
        <v>gsii/532530-physical-examination-0-0.pdf</v>
      </c>
      <c r="E1943">
        <v>119960</v>
      </c>
      <c r="F1943">
        <v>532530</v>
      </c>
      <c r="G1943" t="s">
        <v>9</v>
      </c>
      <c r="H1943" t="s">
        <v>138</v>
      </c>
      <c r="I1943" t="s">
        <v>551</v>
      </c>
    </row>
    <row r="1944" spans="1:9" x14ac:dyDescent="0.2">
      <c r="A1944" t="s">
        <v>1482</v>
      </c>
      <c r="D1944" t="str">
        <f>HYPERLINK("http://nlpdeep.cs.uic.edu:8080/proofing/t5/532530-physical-examination-0-1.pdf","t5/532530-physical-examination-0-1.pdf")</f>
        <v>t5/532530-physical-examination-0-1.pdf</v>
      </c>
      <c r="E1944">
        <v>119960</v>
      </c>
      <c r="F1944">
        <v>532530</v>
      </c>
      <c r="G1944" t="s">
        <v>9</v>
      </c>
      <c r="H1944" t="s">
        <v>138</v>
      </c>
      <c r="I1944" t="s">
        <v>553</v>
      </c>
    </row>
    <row r="1945" spans="1:9" x14ac:dyDescent="0.2">
      <c r="A1945" t="s">
        <v>1482</v>
      </c>
      <c r="D1945" t="str">
        <f>HYPERLINK("http://nlpdeep.cs.uic.edu:8080/proofing/gsii/532530-physical-examination-0-1.pdf","gsii/532530-physical-examination-0-1.pdf")</f>
        <v>gsii/532530-physical-examination-0-1.pdf</v>
      </c>
      <c r="E1945">
        <v>119960</v>
      </c>
      <c r="F1945">
        <v>532530</v>
      </c>
      <c r="G1945" t="s">
        <v>9</v>
      </c>
      <c r="H1945" t="s">
        <v>138</v>
      </c>
      <c r="I1945" t="s">
        <v>553</v>
      </c>
    </row>
    <row r="1946" spans="1:9" x14ac:dyDescent="0.2">
      <c r="A1946" t="s">
        <v>1483</v>
      </c>
      <c r="D1946" t="str">
        <f>HYPERLINK("http://nlpdeep.cs.uic.edu:8080/proofing/t5/532530-physical-examination-0-2.pdf","t5/532530-physical-examination-0-2.pdf")</f>
        <v>t5/532530-physical-examination-0-2.pdf</v>
      </c>
      <c r="E1946">
        <v>119960</v>
      </c>
      <c r="F1946">
        <v>532530</v>
      </c>
      <c r="G1946" t="s">
        <v>9</v>
      </c>
      <c r="H1946" t="s">
        <v>138</v>
      </c>
      <c r="I1946" t="s">
        <v>555</v>
      </c>
    </row>
    <row r="1947" spans="1:9" x14ac:dyDescent="0.2">
      <c r="A1947" t="s">
        <v>1483</v>
      </c>
      <c r="D1947" t="str">
        <f>HYPERLINK("http://nlpdeep.cs.uic.edu:8080/proofing/gsii/532530-physical-examination-0-2.pdf","gsii/532530-physical-examination-0-2.pdf")</f>
        <v>gsii/532530-physical-examination-0-2.pdf</v>
      </c>
      <c r="E1947">
        <v>119960</v>
      </c>
      <c r="F1947">
        <v>532530</v>
      </c>
      <c r="G1947" t="s">
        <v>9</v>
      </c>
      <c r="H1947" t="s">
        <v>138</v>
      </c>
      <c r="I1947" t="s">
        <v>555</v>
      </c>
    </row>
    <row r="1948" spans="1:9" x14ac:dyDescent="0.2">
      <c r="A1948" t="s">
        <v>1484</v>
      </c>
      <c r="D1948" t="str">
        <f>HYPERLINK("http://nlpdeep.cs.uic.edu:8080/proofing/t5/532530-physical-examination-0-3.pdf","t5/532530-physical-examination-0-3.pdf")</f>
        <v>t5/532530-physical-examination-0-3.pdf</v>
      </c>
      <c r="E1948">
        <v>119960</v>
      </c>
      <c r="F1948">
        <v>532530</v>
      </c>
      <c r="G1948" t="s">
        <v>9</v>
      </c>
      <c r="H1948" t="s">
        <v>138</v>
      </c>
      <c r="I1948" t="s">
        <v>557</v>
      </c>
    </row>
    <row r="1949" spans="1:9" x14ac:dyDescent="0.2">
      <c r="A1949" t="s">
        <v>1484</v>
      </c>
      <c r="D1949" t="str">
        <f>HYPERLINK("http://nlpdeep.cs.uic.edu:8080/proofing/gsii/532530-physical-examination-0-3.pdf","gsii/532530-physical-examination-0-3.pdf")</f>
        <v>gsii/532530-physical-examination-0-3.pdf</v>
      </c>
      <c r="E1949">
        <v>119960</v>
      </c>
      <c r="F1949">
        <v>532530</v>
      </c>
      <c r="G1949" t="s">
        <v>9</v>
      </c>
      <c r="H1949" t="s">
        <v>138</v>
      </c>
      <c r="I1949" t="s">
        <v>557</v>
      </c>
    </row>
    <row r="1950" spans="1:9" x14ac:dyDescent="0.2">
      <c r="A1950" t="s">
        <v>1485</v>
      </c>
      <c r="D1950" t="str">
        <f>HYPERLINK("http://nlpdeep.cs.uic.edu:8080/proofing/t5/532530-physical-examination-0-4.pdf","t5/532530-physical-examination-0-4.pdf")</f>
        <v>t5/532530-physical-examination-0-4.pdf</v>
      </c>
      <c r="E1950">
        <v>119960</v>
      </c>
      <c r="F1950">
        <v>532530</v>
      </c>
      <c r="G1950" t="s">
        <v>9</v>
      </c>
      <c r="H1950" t="s">
        <v>138</v>
      </c>
      <c r="I1950" t="s">
        <v>559</v>
      </c>
    </row>
    <row r="1951" spans="1:9" x14ac:dyDescent="0.2">
      <c r="A1951" t="s">
        <v>1485</v>
      </c>
      <c r="D1951" t="str">
        <f>HYPERLINK("http://nlpdeep.cs.uic.edu:8080/proofing/gsii/532530-physical-examination-0-4.pdf","gsii/532530-physical-examination-0-4.pdf")</f>
        <v>gsii/532530-physical-examination-0-4.pdf</v>
      </c>
      <c r="E1951">
        <v>119960</v>
      </c>
      <c r="F1951">
        <v>532530</v>
      </c>
      <c r="G1951" t="s">
        <v>9</v>
      </c>
      <c r="H1951" t="s">
        <v>138</v>
      </c>
      <c r="I1951" t="s">
        <v>559</v>
      </c>
    </row>
    <row r="1952" spans="1:9" x14ac:dyDescent="0.2">
      <c r="A1952" t="s">
        <v>1486</v>
      </c>
      <c r="D1952" t="str">
        <f>HYPERLINK("http://nlpdeep.cs.uic.edu:8080/proofing/t5/532530-labs-imaging-0-0.pdf","t5/532530-labs-imaging-0-0.pdf")</f>
        <v>t5/532530-labs-imaging-0-0.pdf</v>
      </c>
      <c r="E1952">
        <v>119960</v>
      </c>
      <c r="F1952">
        <v>532530</v>
      </c>
      <c r="G1952" t="s">
        <v>9</v>
      </c>
      <c r="H1952" t="s">
        <v>147</v>
      </c>
      <c r="I1952" t="s">
        <v>549</v>
      </c>
    </row>
    <row r="1953" spans="1:9" x14ac:dyDescent="0.2">
      <c r="A1953" t="s">
        <v>1486</v>
      </c>
      <c r="D1953" t="str">
        <f>HYPERLINK("http://nlpdeep.cs.uic.edu:8080/proofing/gsii/532530-labs-imaging-0-0.pdf","gsii/532530-labs-imaging-0-0.pdf")</f>
        <v>gsii/532530-labs-imaging-0-0.pdf</v>
      </c>
      <c r="E1953">
        <v>119960</v>
      </c>
      <c r="F1953">
        <v>532530</v>
      </c>
      <c r="G1953" t="s">
        <v>9</v>
      </c>
      <c r="H1953" t="s">
        <v>147</v>
      </c>
      <c r="I1953" t="s">
        <v>549</v>
      </c>
    </row>
    <row r="1954" spans="1:9" x14ac:dyDescent="0.2">
      <c r="A1954" t="s">
        <v>1487</v>
      </c>
      <c r="D1954" t="str">
        <f>HYPERLINK("http://nlpdeep.cs.uic.edu:8080/proofing/t5/532530-assessment-and-plan-0-0.pdf","t5/532530-assessment-and-plan-0-0.pdf")</f>
        <v>t5/532530-assessment-and-plan-0-0.pdf</v>
      </c>
      <c r="E1954">
        <v>119960</v>
      </c>
      <c r="F1954">
        <v>532530</v>
      </c>
      <c r="G1954" t="s">
        <v>9</v>
      </c>
      <c r="H1954" t="s">
        <v>195</v>
      </c>
      <c r="I1954" t="s">
        <v>1488</v>
      </c>
    </row>
    <row r="1955" spans="1:9" x14ac:dyDescent="0.2">
      <c r="A1955" t="s">
        <v>1487</v>
      </c>
      <c r="D1955" t="str">
        <f>HYPERLINK("http://nlpdeep.cs.uic.edu:8080/proofing/gsii/532530-assessment-and-plan-0-0.pdf","gsii/532530-assessment-and-plan-0-0.pdf")</f>
        <v>gsii/532530-assessment-and-plan-0-0.pdf</v>
      </c>
      <c r="E1955">
        <v>119960</v>
      </c>
      <c r="F1955">
        <v>532530</v>
      </c>
      <c r="G1955" t="s">
        <v>9</v>
      </c>
      <c r="H1955" t="s">
        <v>195</v>
      </c>
      <c r="I1955" t="s">
        <v>1488</v>
      </c>
    </row>
    <row r="1956" spans="1:9" x14ac:dyDescent="0.2">
      <c r="A1956" t="s">
        <v>1489</v>
      </c>
      <c r="D1956" t="str">
        <f>HYPERLINK("http://nlpdeep.cs.uic.edu:8080/proofing/t5/532530-communication-0-0.pdf","t5/532530-communication-0-0.pdf")</f>
        <v>t5/532530-communication-0-0.pdf</v>
      </c>
      <c r="E1956">
        <v>119960</v>
      </c>
      <c r="F1956">
        <v>532530</v>
      </c>
      <c r="G1956" t="s">
        <v>9</v>
      </c>
      <c r="H1956" t="s">
        <v>198</v>
      </c>
      <c r="I1956" t="s">
        <v>563</v>
      </c>
    </row>
    <row r="1957" spans="1:9" x14ac:dyDescent="0.2">
      <c r="A1957" t="s">
        <v>1489</v>
      </c>
      <c r="D1957" t="str">
        <f>HYPERLINK("http://nlpdeep.cs.uic.edu:8080/proofing/gsii/532530-communication-0-0.pdf","gsii/532530-communication-0-0.pdf")</f>
        <v>gsii/532530-communication-0-0.pdf</v>
      </c>
      <c r="E1957">
        <v>119960</v>
      </c>
      <c r="F1957">
        <v>532530</v>
      </c>
      <c r="G1957" t="s">
        <v>9</v>
      </c>
      <c r="H1957" t="s">
        <v>198</v>
      </c>
      <c r="I1957" t="s">
        <v>563</v>
      </c>
    </row>
    <row r="1958" spans="1:9" x14ac:dyDescent="0.2">
      <c r="A1958" t="s">
        <v>1490</v>
      </c>
      <c r="D1958" t="str">
        <f>HYPERLINK("http://nlpdeep.cs.uic.edu:8080/proofing/t5/532530-code-status-0-0.pdf","t5/532530-code-status-0-0.pdf")</f>
        <v>t5/532530-code-status-0-0.pdf</v>
      </c>
      <c r="E1958">
        <v>119960</v>
      </c>
      <c r="F1958">
        <v>532530</v>
      </c>
      <c r="G1958" t="s">
        <v>9</v>
      </c>
      <c r="H1958" t="s">
        <v>201</v>
      </c>
      <c r="I1958" t="s">
        <v>536</v>
      </c>
    </row>
    <row r="1959" spans="1:9" x14ac:dyDescent="0.2">
      <c r="A1959" t="s">
        <v>1490</v>
      </c>
      <c r="D1959" t="str">
        <f>HYPERLINK("http://nlpdeep.cs.uic.edu:8080/proofing/gsii/532530-code-status-0-0.pdf","gsii/532530-code-status-0-0.pdf")</f>
        <v>gsii/532530-code-status-0-0.pdf</v>
      </c>
      <c r="E1959">
        <v>119960</v>
      </c>
      <c r="F1959">
        <v>532530</v>
      </c>
      <c r="G1959" t="s">
        <v>9</v>
      </c>
      <c r="H1959" t="s">
        <v>201</v>
      </c>
      <c r="I1959" t="s">
        <v>536</v>
      </c>
    </row>
    <row r="1960" spans="1:9" x14ac:dyDescent="0.2">
      <c r="A1960" t="s">
        <v>1491</v>
      </c>
      <c r="D1960" t="str">
        <f>HYPERLINK("http://nlpdeep.cs.uic.edu:8080/proofing/t5/532530-disposition-0-0.pdf","t5/532530-disposition-0-0.pdf")</f>
        <v>t5/532530-disposition-0-0.pdf</v>
      </c>
      <c r="E1960">
        <v>119960</v>
      </c>
      <c r="F1960">
        <v>532530</v>
      </c>
      <c r="G1960" t="s">
        <v>9</v>
      </c>
      <c r="H1960" t="s">
        <v>204</v>
      </c>
      <c r="I1960" t="s">
        <v>205</v>
      </c>
    </row>
    <row r="1961" spans="1:9" x14ac:dyDescent="0.2">
      <c r="A1961" t="s">
        <v>1491</v>
      </c>
      <c r="D1961" t="str">
        <f>HYPERLINK("http://nlpdeep.cs.uic.edu:8080/proofing/gsii/532530-disposition-0-0.pdf","gsii/532530-disposition-0-0.pdf")</f>
        <v>gsii/532530-disposition-0-0.pdf</v>
      </c>
      <c r="E1961">
        <v>119960</v>
      </c>
      <c r="F1961">
        <v>532530</v>
      </c>
      <c r="G1961" t="s">
        <v>9</v>
      </c>
      <c r="H1961" t="s">
        <v>204</v>
      </c>
      <c r="I1961" t="s">
        <v>205</v>
      </c>
    </row>
    <row r="1962" spans="1:9" x14ac:dyDescent="0.2">
      <c r="A1962" t="s">
        <v>1492</v>
      </c>
      <c r="D1962" t="str">
        <f>HYPERLINK("http://nlpdeep.cs.uic.edu:8080/proofing/t5/532530-addendum-0-0.pdf","t5/532530-addendum-0-0.pdf")</f>
        <v>t5/532530-addendum-0-0.pdf</v>
      </c>
      <c r="E1962">
        <v>119960</v>
      </c>
      <c r="F1962">
        <v>532530</v>
      </c>
      <c r="G1962" t="s">
        <v>9</v>
      </c>
      <c r="H1962" t="s">
        <v>1400</v>
      </c>
      <c r="I1962" t="s">
        <v>1493</v>
      </c>
    </row>
    <row r="1963" spans="1:9" x14ac:dyDescent="0.2">
      <c r="A1963" t="s">
        <v>1492</v>
      </c>
      <c r="D1963" t="str">
        <f>HYPERLINK("http://nlpdeep.cs.uic.edu:8080/proofing/gsii/532530-addendum-0-0.pdf","gsii/532530-addendum-0-0.pdf")</f>
        <v>gsii/532530-addendum-0-0.pdf</v>
      </c>
      <c r="E1963">
        <v>119960</v>
      </c>
      <c r="F1963">
        <v>532530</v>
      </c>
      <c r="G1963" t="s">
        <v>9</v>
      </c>
      <c r="H1963" t="s">
        <v>1400</v>
      </c>
      <c r="I1963" t="s">
        <v>1493</v>
      </c>
    </row>
    <row r="1964" spans="1:9" x14ac:dyDescent="0.2">
      <c r="A1964" t="s">
        <v>1494</v>
      </c>
      <c r="D1964" t="str">
        <f>HYPERLINK("http://nlpdeep.cs.uic.edu:8080/proofing/t5/532530-addendum-0-1.pdf","t5/532530-addendum-0-1.pdf")</f>
        <v>t5/532530-addendum-0-1.pdf</v>
      </c>
      <c r="E1964">
        <v>119960</v>
      </c>
      <c r="F1964">
        <v>532530</v>
      </c>
      <c r="G1964" t="s">
        <v>9</v>
      </c>
      <c r="H1964" t="s">
        <v>1400</v>
      </c>
      <c r="I1964" t="s">
        <v>1495</v>
      </c>
    </row>
    <row r="1965" spans="1:9" x14ac:dyDescent="0.2">
      <c r="A1965" t="s">
        <v>1494</v>
      </c>
      <c r="D1965" t="str">
        <f>HYPERLINK("http://nlpdeep.cs.uic.edu:8080/proofing/gsii/532530-addendum-0-1.pdf","gsii/532530-addendum-0-1.pdf")</f>
        <v>gsii/532530-addendum-0-1.pdf</v>
      </c>
      <c r="E1965">
        <v>119960</v>
      </c>
      <c r="F1965">
        <v>532530</v>
      </c>
      <c r="G1965" t="s">
        <v>9</v>
      </c>
      <c r="H1965" t="s">
        <v>1400</v>
      </c>
      <c r="I1965" t="s">
        <v>1495</v>
      </c>
    </row>
    <row r="1966" spans="1:9" x14ac:dyDescent="0.2">
      <c r="A1966" t="s">
        <v>1496</v>
      </c>
      <c r="D1966" t="str">
        <f>HYPERLINK("http://nlpdeep.cs.uic.edu:8080/proofing/t5/532530-addendum-0-2.pdf","t5/532530-addendum-0-2.pdf")</f>
        <v>t5/532530-addendum-0-2.pdf</v>
      </c>
      <c r="E1966">
        <v>119960</v>
      </c>
      <c r="F1966">
        <v>532530</v>
      </c>
      <c r="G1966" t="s">
        <v>9</v>
      </c>
      <c r="H1966" t="s">
        <v>1400</v>
      </c>
      <c r="I1966" t="s">
        <v>1497</v>
      </c>
    </row>
    <row r="1967" spans="1:9" x14ac:dyDescent="0.2">
      <c r="A1967" t="s">
        <v>1496</v>
      </c>
      <c r="D1967" t="str">
        <f>HYPERLINK("http://nlpdeep.cs.uic.edu:8080/proofing/gsii/532530-addendum-0-2.pdf","gsii/532530-addendum-0-2.pdf")</f>
        <v>gsii/532530-addendum-0-2.pdf</v>
      </c>
      <c r="E1967">
        <v>119960</v>
      </c>
      <c r="F1967">
        <v>532530</v>
      </c>
      <c r="G1967" t="s">
        <v>9</v>
      </c>
      <c r="H1967" t="s">
        <v>1400</v>
      </c>
      <c r="I1967" t="s">
        <v>1497</v>
      </c>
    </row>
    <row r="1968" spans="1:9" x14ac:dyDescent="0.2">
      <c r="A1968" t="s">
        <v>1498</v>
      </c>
      <c r="D1968" t="str">
        <f>HYPERLINK("http://nlpdeep.cs.uic.edu:8080/proofing/t5/532530-addendum-0-3.pdf","t5/532530-addendum-0-3.pdf")</f>
        <v>t5/532530-addendum-0-3.pdf</v>
      </c>
      <c r="E1968">
        <v>119960</v>
      </c>
      <c r="F1968">
        <v>532530</v>
      </c>
      <c r="G1968" t="s">
        <v>9</v>
      </c>
      <c r="H1968" t="s">
        <v>1400</v>
      </c>
      <c r="I1968" t="s">
        <v>1499</v>
      </c>
    </row>
    <row r="1969" spans="1:9" x14ac:dyDescent="0.2">
      <c r="A1969" t="s">
        <v>1498</v>
      </c>
      <c r="D1969" t="str">
        <f>HYPERLINK("http://nlpdeep.cs.uic.edu:8080/proofing/gsii/532530-addendum-0-3.pdf","gsii/532530-addendum-0-3.pdf")</f>
        <v>gsii/532530-addendum-0-3.pdf</v>
      </c>
      <c r="E1969">
        <v>119960</v>
      </c>
      <c r="F1969">
        <v>532530</v>
      </c>
      <c r="G1969" t="s">
        <v>9</v>
      </c>
      <c r="H1969" t="s">
        <v>1400</v>
      </c>
      <c r="I1969" t="s">
        <v>1499</v>
      </c>
    </row>
    <row r="1970" spans="1:9" x14ac:dyDescent="0.2">
      <c r="A1970" t="s">
        <v>1500</v>
      </c>
      <c r="D1970" t="str">
        <f>HYPERLINK("http://nlpdeep.cs.uic.edu:8080/proofing/t5/532530-addendum-0-4.pdf","t5/532530-addendum-0-4.pdf")</f>
        <v>t5/532530-addendum-0-4.pdf</v>
      </c>
      <c r="E1970">
        <v>119960</v>
      </c>
      <c r="F1970">
        <v>532530</v>
      </c>
      <c r="G1970" t="s">
        <v>9</v>
      </c>
      <c r="H1970" t="s">
        <v>1400</v>
      </c>
      <c r="I1970" t="s">
        <v>1501</v>
      </c>
    </row>
    <row r="1971" spans="1:9" x14ac:dyDescent="0.2">
      <c r="A1971" t="s">
        <v>1500</v>
      </c>
      <c r="D1971" t="str">
        <f>HYPERLINK("http://nlpdeep.cs.uic.edu:8080/proofing/gsii/532530-addendum-0-4.pdf","gsii/532530-addendum-0-4.pdf")</f>
        <v>gsii/532530-addendum-0-4.pdf</v>
      </c>
      <c r="E1971">
        <v>119960</v>
      </c>
      <c r="F1971">
        <v>532530</v>
      </c>
      <c r="G1971" t="s">
        <v>9</v>
      </c>
      <c r="H1971" t="s">
        <v>1400</v>
      </c>
      <c r="I1971" t="s">
        <v>1501</v>
      </c>
    </row>
    <row r="1972" spans="1:9" x14ac:dyDescent="0.2">
      <c r="A1972" t="s">
        <v>1502</v>
      </c>
      <c r="D1972" t="str">
        <f>HYPERLINK("http://nlpdeep.cs.uic.edu:8080/proofing/t5/532530-addendum-0-5.pdf","t5/532530-addendum-0-5.pdf")</f>
        <v>t5/532530-addendum-0-5.pdf</v>
      </c>
      <c r="E1972">
        <v>119960</v>
      </c>
      <c r="F1972">
        <v>532530</v>
      </c>
      <c r="G1972" t="s">
        <v>9</v>
      </c>
      <c r="H1972" t="s">
        <v>1400</v>
      </c>
      <c r="I1972" t="s">
        <v>1503</v>
      </c>
    </row>
    <row r="1973" spans="1:9" x14ac:dyDescent="0.2">
      <c r="A1973" t="s">
        <v>1502</v>
      </c>
      <c r="D1973" t="str">
        <f>HYPERLINK("http://nlpdeep.cs.uic.edu:8080/proofing/gsii/532530-addendum-0-5.pdf","gsii/532530-addendum-0-5.pdf")</f>
        <v>gsii/532530-addendum-0-5.pdf</v>
      </c>
      <c r="E1973">
        <v>119960</v>
      </c>
      <c r="F1973">
        <v>532530</v>
      </c>
      <c r="G1973" t="s">
        <v>9</v>
      </c>
      <c r="H1973" t="s">
        <v>1400</v>
      </c>
      <c r="I1973" t="s">
        <v>1503</v>
      </c>
    </row>
    <row r="1974" spans="1:9" x14ac:dyDescent="0.2">
      <c r="A1974" t="s">
        <v>1504</v>
      </c>
      <c r="D1974" t="str">
        <f>HYPERLINK("http://nlpdeep.cs.uic.edu:8080/proofing/t5/532530-addendum-0-6.pdf","t5/532530-addendum-0-6.pdf")</f>
        <v>t5/532530-addendum-0-6.pdf</v>
      </c>
      <c r="E1974">
        <v>119960</v>
      </c>
      <c r="F1974">
        <v>532530</v>
      </c>
      <c r="G1974" t="s">
        <v>9</v>
      </c>
      <c r="H1974" t="s">
        <v>1400</v>
      </c>
      <c r="I1974" t="s">
        <v>1505</v>
      </c>
    </row>
    <row r="1975" spans="1:9" x14ac:dyDescent="0.2">
      <c r="A1975" t="s">
        <v>1504</v>
      </c>
      <c r="D1975" t="str">
        <f>HYPERLINK("http://nlpdeep.cs.uic.edu:8080/proofing/gsii/532530-addendum-0-6.pdf","gsii/532530-addendum-0-6.pdf")</f>
        <v>gsii/532530-addendum-0-6.pdf</v>
      </c>
      <c r="E1975">
        <v>119960</v>
      </c>
      <c r="F1975">
        <v>532530</v>
      </c>
      <c r="G1975" t="s">
        <v>9</v>
      </c>
      <c r="H1975" t="s">
        <v>1400</v>
      </c>
      <c r="I1975" t="s">
        <v>1505</v>
      </c>
    </row>
    <row r="1976" spans="1:9" x14ac:dyDescent="0.2">
      <c r="A1976" t="s">
        <v>1506</v>
      </c>
      <c r="D1976" t="str">
        <f>HYPERLINK("http://nlpdeep.cs.uic.edu:8080/proofing/t5/532530-addendum-0-7.pdf","t5/532530-addendum-0-7.pdf")</f>
        <v>t5/532530-addendum-0-7.pdf</v>
      </c>
      <c r="E1976">
        <v>119960</v>
      </c>
      <c r="F1976">
        <v>532530</v>
      </c>
      <c r="G1976" t="s">
        <v>9</v>
      </c>
      <c r="H1976" t="s">
        <v>1400</v>
      </c>
      <c r="I1976" t="s">
        <v>1507</v>
      </c>
    </row>
    <row r="1977" spans="1:9" x14ac:dyDescent="0.2">
      <c r="A1977" t="s">
        <v>1506</v>
      </c>
      <c r="D1977" t="str">
        <f>HYPERLINK("http://nlpdeep.cs.uic.edu:8080/proofing/gsii/532530-addendum-0-7.pdf","gsii/532530-addendum-0-7.pdf")</f>
        <v>gsii/532530-addendum-0-7.pdf</v>
      </c>
      <c r="E1977">
        <v>119960</v>
      </c>
      <c r="F1977">
        <v>532530</v>
      </c>
      <c r="G1977" t="s">
        <v>9</v>
      </c>
      <c r="H1977" t="s">
        <v>1400</v>
      </c>
      <c r="I1977" t="s">
        <v>1507</v>
      </c>
    </row>
    <row r="1978" spans="1:9" x14ac:dyDescent="0.2">
      <c r="A1978" t="s">
        <v>1508</v>
      </c>
      <c r="D1978" t="str">
        <f>HYPERLINK("http://nlpdeep.cs.uic.edu:8080/proofing/t5/532530-addendum-0-8.pdf","t5/532530-addendum-0-8.pdf")</f>
        <v>t5/532530-addendum-0-8.pdf</v>
      </c>
      <c r="E1978">
        <v>119960</v>
      </c>
      <c r="F1978">
        <v>532530</v>
      </c>
      <c r="G1978" t="s">
        <v>9</v>
      </c>
      <c r="H1978" t="s">
        <v>1400</v>
      </c>
      <c r="I1978" t="s">
        <v>1509</v>
      </c>
    </row>
    <row r="1979" spans="1:9" x14ac:dyDescent="0.2">
      <c r="A1979" t="s">
        <v>1508</v>
      </c>
      <c r="D1979" t="str">
        <f>HYPERLINK("http://nlpdeep.cs.uic.edu:8080/proofing/gsii/532530-addendum-0-8.pdf","gsii/532530-addendum-0-8.pdf")</f>
        <v>gsii/532530-addendum-0-8.pdf</v>
      </c>
      <c r="E1979">
        <v>119960</v>
      </c>
      <c r="F1979">
        <v>532530</v>
      </c>
      <c r="G1979" t="s">
        <v>9</v>
      </c>
      <c r="H1979" t="s">
        <v>1400</v>
      </c>
      <c r="I1979" t="s">
        <v>1509</v>
      </c>
    </row>
    <row r="1980" spans="1:9" x14ac:dyDescent="0.2">
      <c r="A1980" t="s">
        <v>1510</v>
      </c>
      <c r="D1980" t="str">
        <f>HYPERLINK("http://nlpdeep.cs.uic.edu:8080/proofing/t5/532530-addendum-0-9.pdf","t5/532530-addendum-0-9.pdf")</f>
        <v>t5/532530-addendum-0-9.pdf</v>
      </c>
      <c r="E1980">
        <v>119960</v>
      </c>
      <c r="F1980">
        <v>532530</v>
      </c>
      <c r="G1980" t="s">
        <v>9</v>
      </c>
      <c r="H1980" t="s">
        <v>1400</v>
      </c>
      <c r="I1980" t="s">
        <v>1511</v>
      </c>
    </row>
    <row r="1981" spans="1:9" x14ac:dyDescent="0.2">
      <c r="A1981" t="s">
        <v>1510</v>
      </c>
      <c r="D1981" t="str">
        <f>HYPERLINK("http://nlpdeep.cs.uic.edu:8080/proofing/gsii/532530-addendum-0-9.pdf","gsii/532530-addendum-0-9.pdf")</f>
        <v>gsii/532530-addendum-0-9.pdf</v>
      </c>
      <c r="E1981">
        <v>119960</v>
      </c>
      <c r="F1981">
        <v>532530</v>
      </c>
      <c r="G1981" t="s">
        <v>9</v>
      </c>
      <c r="H1981" t="s">
        <v>1400</v>
      </c>
      <c r="I1981" t="s">
        <v>1511</v>
      </c>
    </row>
    <row r="1982" spans="1:9" x14ac:dyDescent="0.2">
      <c r="A1982" t="s">
        <v>1512</v>
      </c>
      <c r="D1982" t="str">
        <f>HYPERLINK("http://nlpdeep.cs.uic.edu:8080/proofing/t5/532530-addendum-0-10.pdf","t5/532530-addendum-0-10.pdf")</f>
        <v>t5/532530-addendum-0-10.pdf</v>
      </c>
      <c r="E1982">
        <v>119960</v>
      </c>
      <c r="F1982">
        <v>532530</v>
      </c>
      <c r="G1982" t="s">
        <v>9</v>
      </c>
      <c r="H1982" t="s">
        <v>1400</v>
      </c>
      <c r="I1982" t="s">
        <v>1513</v>
      </c>
    </row>
    <row r="1983" spans="1:9" x14ac:dyDescent="0.2">
      <c r="A1983" t="s">
        <v>1512</v>
      </c>
      <c r="D1983" t="str">
        <f>HYPERLINK("http://nlpdeep.cs.uic.edu:8080/proofing/gsii/532530-addendum-0-10.pdf","gsii/532530-addendum-0-10.pdf")</f>
        <v>gsii/532530-addendum-0-10.pdf</v>
      </c>
      <c r="E1983">
        <v>119960</v>
      </c>
      <c r="F1983">
        <v>532530</v>
      </c>
      <c r="G1983" t="s">
        <v>9</v>
      </c>
      <c r="H1983" t="s">
        <v>1400</v>
      </c>
      <c r="I1983" t="s">
        <v>1513</v>
      </c>
    </row>
    <row r="1984" spans="1:9" x14ac:dyDescent="0.2">
      <c r="A1984" t="s">
        <v>1514</v>
      </c>
      <c r="D1984" t="str">
        <f>HYPERLINK("http://nlpdeep.cs.uic.edu:8080/proofing/t5/532530-addendum-0-11.pdf","t5/532530-addendum-0-11.pdf")</f>
        <v>t5/532530-addendum-0-11.pdf</v>
      </c>
      <c r="E1984">
        <v>119960</v>
      </c>
      <c r="F1984">
        <v>532530</v>
      </c>
      <c r="G1984" t="s">
        <v>9</v>
      </c>
      <c r="H1984" t="s">
        <v>1400</v>
      </c>
      <c r="I1984" t="s">
        <v>1515</v>
      </c>
    </row>
    <row r="1985" spans="1:9" x14ac:dyDescent="0.2">
      <c r="A1985" t="s">
        <v>1514</v>
      </c>
      <c r="D1985" t="str">
        <f>HYPERLINK("http://nlpdeep.cs.uic.edu:8080/proofing/gsii/532530-addendum-0-11.pdf","gsii/532530-addendum-0-11.pdf")</f>
        <v>gsii/532530-addendum-0-11.pdf</v>
      </c>
      <c r="E1985">
        <v>119960</v>
      </c>
      <c r="F1985">
        <v>532530</v>
      </c>
      <c r="G1985" t="s">
        <v>9</v>
      </c>
      <c r="H1985" t="s">
        <v>1400</v>
      </c>
      <c r="I1985" t="s">
        <v>1515</v>
      </c>
    </row>
    <row r="1986" spans="1:9" x14ac:dyDescent="0.2">
      <c r="A1986" t="s">
        <v>1516</v>
      </c>
      <c r="D1986" t="str">
        <f>HYPERLINK("http://nlpdeep.cs.uic.edu:8080/proofing/t5/532530-addendum-0-12.pdf","t5/532530-addendum-0-12.pdf")</f>
        <v>t5/532530-addendum-0-12.pdf</v>
      </c>
      <c r="E1986">
        <v>119960</v>
      </c>
      <c r="F1986">
        <v>532530</v>
      </c>
      <c r="G1986" t="s">
        <v>9</v>
      </c>
      <c r="H1986" t="s">
        <v>1400</v>
      </c>
      <c r="I1986" t="s">
        <v>1517</v>
      </c>
    </row>
    <row r="1987" spans="1:9" x14ac:dyDescent="0.2">
      <c r="A1987" t="s">
        <v>1516</v>
      </c>
      <c r="D1987" t="str">
        <f>HYPERLINK("http://nlpdeep.cs.uic.edu:8080/proofing/gsii/532530-addendum-0-12.pdf","gsii/532530-addendum-0-12.pdf")</f>
        <v>gsii/532530-addendum-0-12.pdf</v>
      </c>
      <c r="E1987">
        <v>119960</v>
      </c>
      <c r="F1987">
        <v>532530</v>
      </c>
      <c r="G1987" t="s">
        <v>9</v>
      </c>
      <c r="H1987" t="s">
        <v>1400</v>
      </c>
      <c r="I1987" t="s">
        <v>1517</v>
      </c>
    </row>
    <row r="1988" spans="1:9" x14ac:dyDescent="0.2">
      <c r="A1988" t="s">
        <v>1518</v>
      </c>
      <c r="D1988" t="str">
        <f>HYPERLINK("http://nlpdeep.cs.uic.edu:8080/proofing/t5/532530-addendum-0-13.pdf","t5/532530-addendum-0-13.pdf")</f>
        <v>t5/532530-addendum-0-13.pdf</v>
      </c>
      <c r="E1988">
        <v>119960</v>
      </c>
      <c r="F1988">
        <v>532530</v>
      </c>
      <c r="G1988" t="s">
        <v>9</v>
      </c>
      <c r="H1988" t="s">
        <v>1400</v>
      </c>
      <c r="I1988" t="s">
        <v>1519</v>
      </c>
    </row>
    <row r="1989" spans="1:9" x14ac:dyDescent="0.2">
      <c r="A1989" t="s">
        <v>1518</v>
      </c>
      <c r="D1989" t="str">
        <f>HYPERLINK("http://nlpdeep.cs.uic.edu:8080/proofing/gsii/532530-addendum-0-13.pdf","gsii/532530-addendum-0-13.pdf")</f>
        <v>gsii/532530-addendum-0-13.pdf</v>
      </c>
      <c r="E1989">
        <v>119960</v>
      </c>
      <c r="F1989">
        <v>532530</v>
      </c>
      <c r="G1989" t="s">
        <v>9</v>
      </c>
      <c r="H1989" t="s">
        <v>1400</v>
      </c>
      <c r="I1989" t="s">
        <v>1519</v>
      </c>
    </row>
    <row r="1990" spans="1:9" x14ac:dyDescent="0.2">
      <c r="A1990" t="s">
        <v>1520</v>
      </c>
      <c r="D1990" t="str">
        <f>HYPERLINK("http://nlpdeep.cs.uic.edu:8080/proofing/t5/532530-addendum-0-14.pdf","t5/532530-addendum-0-14.pdf")</f>
        <v>t5/532530-addendum-0-14.pdf</v>
      </c>
      <c r="E1990">
        <v>119960</v>
      </c>
      <c r="F1990">
        <v>532530</v>
      </c>
      <c r="G1990" t="s">
        <v>9</v>
      </c>
      <c r="H1990" t="s">
        <v>1400</v>
      </c>
      <c r="I1990" t="s">
        <v>1521</v>
      </c>
    </row>
    <row r="1991" spans="1:9" x14ac:dyDescent="0.2">
      <c r="A1991" t="s">
        <v>1520</v>
      </c>
      <c r="D1991" t="str">
        <f>HYPERLINK("http://nlpdeep.cs.uic.edu:8080/proofing/gsii/532530-addendum-0-14.pdf","gsii/532530-addendum-0-14.pdf")</f>
        <v>gsii/532530-addendum-0-14.pdf</v>
      </c>
      <c r="E1991">
        <v>119960</v>
      </c>
      <c r="F1991">
        <v>532530</v>
      </c>
      <c r="G1991" t="s">
        <v>9</v>
      </c>
      <c r="H1991" t="s">
        <v>1400</v>
      </c>
      <c r="I1991" t="s">
        <v>1521</v>
      </c>
    </row>
    <row r="1992" spans="1:9" x14ac:dyDescent="0.2">
      <c r="A1992" t="s">
        <v>1522</v>
      </c>
      <c r="D1992" t="str">
        <f>HYPERLINK("http://nlpdeep.cs.uic.edu:8080/proofing/t5/532530-addendum-0-15.pdf","t5/532530-addendum-0-15.pdf")</f>
        <v>t5/532530-addendum-0-15.pdf</v>
      </c>
      <c r="E1992">
        <v>119960</v>
      </c>
      <c r="F1992">
        <v>532530</v>
      </c>
      <c r="G1992" t="s">
        <v>9</v>
      </c>
      <c r="H1992" t="s">
        <v>1400</v>
      </c>
      <c r="I1992" t="s">
        <v>1523</v>
      </c>
    </row>
    <row r="1993" spans="1:9" x14ac:dyDescent="0.2">
      <c r="A1993" t="s">
        <v>1522</v>
      </c>
      <c r="D1993" t="str">
        <f>HYPERLINK("http://nlpdeep.cs.uic.edu:8080/proofing/gsii/532530-addendum-0-15.pdf","gsii/532530-addendum-0-15.pdf")</f>
        <v>gsii/532530-addendum-0-15.pdf</v>
      </c>
      <c r="E1993">
        <v>119960</v>
      </c>
      <c r="F1993">
        <v>532530</v>
      </c>
      <c r="G1993" t="s">
        <v>9</v>
      </c>
      <c r="H1993" t="s">
        <v>1400</v>
      </c>
      <c r="I1993" t="s">
        <v>1523</v>
      </c>
    </row>
    <row r="1994" spans="1:9" x14ac:dyDescent="0.2">
      <c r="A1994" t="s">
        <v>1524</v>
      </c>
      <c r="D1994" t="str">
        <f>HYPERLINK("http://nlpdeep.cs.uic.edu:8080/proofing/t5/532530-addendum-0-16.pdf","t5/532530-addendum-0-16.pdf")</f>
        <v>t5/532530-addendum-0-16.pdf</v>
      </c>
      <c r="E1994">
        <v>119960</v>
      </c>
      <c r="F1994">
        <v>532530</v>
      </c>
      <c r="G1994" t="s">
        <v>9</v>
      </c>
      <c r="H1994" t="s">
        <v>1400</v>
      </c>
      <c r="I1994" t="s">
        <v>1525</v>
      </c>
    </row>
    <row r="1995" spans="1:9" x14ac:dyDescent="0.2">
      <c r="A1995" t="s">
        <v>1524</v>
      </c>
      <c r="D1995" t="str">
        <f>HYPERLINK("http://nlpdeep.cs.uic.edu:8080/proofing/gsii/532530-addendum-0-16.pdf","gsii/532530-addendum-0-16.pdf")</f>
        <v>gsii/532530-addendum-0-16.pdf</v>
      </c>
      <c r="E1995">
        <v>119960</v>
      </c>
      <c r="F1995">
        <v>532530</v>
      </c>
      <c r="G1995" t="s">
        <v>9</v>
      </c>
      <c r="H1995" t="s">
        <v>1400</v>
      </c>
      <c r="I1995" t="s">
        <v>1525</v>
      </c>
    </row>
    <row r="1996" spans="1:9" x14ac:dyDescent="0.2">
      <c r="A1996" t="s">
        <v>1526</v>
      </c>
      <c r="D1996" t="str">
        <f>HYPERLINK("http://nlpdeep.cs.uic.edu:8080/proofing/t5/532530-addendum-0-17.pdf","t5/532530-addendum-0-17.pdf")</f>
        <v>t5/532530-addendum-0-17.pdf</v>
      </c>
      <c r="E1996">
        <v>119960</v>
      </c>
      <c r="F1996">
        <v>532530</v>
      </c>
      <c r="G1996" t="s">
        <v>9</v>
      </c>
      <c r="H1996" t="s">
        <v>1400</v>
      </c>
      <c r="I1996" t="s">
        <v>1527</v>
      </c>
    </row>
    <row r="1997" spans="1:9" x14ac:dyDescent="0.2">
      <c r="A1997" t="s">
        <v>1526</v>
      </c>
      <c r="D1997" t="str">
        <f>HYPERLINK("http://nlpdeep.cs.uic.edu:8080/proofing/gsii/532530-addendum-0-17.pdf","gsii/532530-addendum-0-17.pdf")</f>
        <v>gsii/532530-addendum-0-17.pdf</v>
      </c>
      <c r="E1997">
        <v>119960</v>
      </c>
      <c r="F1997">
        <v>532530</v>
      </c>
      <c r="G1997" t="s">
        <v>9</v>
      </c>
      <c r="H1997" t="s">
        <v>1400</v>
      </c>
      <c r="I1997" t="s">
        <v>1527</v>
      </c>
    </row>
    <row r="1998" spans="1:9" x14ac:dyDescent="0.2">
      <c r="A1998" t="s">
        <v>1528</v>
      </c>
      <c r="D1998" t="str">
        <f>HYPERLINK("http://nlpdeep.cs.uic.edu:8080/proofing/t5/532530-addendum-0-18.pdf","t5/532530-addendum-0-18.pdf")</f>
        <v>t5/532530-addendum-0-18.pdf</v>
      </c>
      <c r="E1998">
        <v>119960</v>
      </c>
      <c r="F1998">
        <v>532530</v>
      </c>
      <c r="G1998" t="s">
        <v>9</v>
      </c>
      <c r="H1998" t="s">
        <v>1400</v>
      </c>
      <c r="I1998" t="s">
        <v>1529</v>
      </c>
    </row>
    <row r="1999" spans="1:9" x14ac:dyDescent="0.2">
      <c r="A1999" t="s">
        <v>1528</v>
      </c>
      <c r="D1999" t="str">
        <f>HYPERLINK("http://nlpdeep.cs.uic.edu:8080/proofing/gsii/532530-addendum-0-18.pdf","gsii/532530-addendum-0-18.pdf")</f>
        <v>gsii/532530-addendum-0-18.pdf</v>
      </c>
      <c r="E1999">
        <v>119960</v>
      </c>
      <c r="F1999">
        <v>532530</v>
      </c>
      <c r="G1999" t="s">
        <v>9</v>
      </c>
      <c r="H1999" t="s">
        <v>1400</v>
      </c>
      <c r="I1999" t="s">
        <v>1529</v>
      </c>
    </row>
    <row r="2000" spans="1:9" x14ac:dyDescent="0.2">
      <c r="A2000" t="s">
        <v>1530</v>
      </c>
      <c r="D2000" t="str">
        <f>HYPERLINK("http://nlpdeep.cs.uic.edu:8080/proofing/t5/532530-addendum-0-19.pdf","t5/532530-addendum-0-19.pdf")</f>
        <v>t5/532530-addendum-0-19.pdf</v>
      </c>
      <c r="E2000">
        <v>119960</v>
      </c>
      <c r="F2000">
        <v>532530</v>
      </c>
      <c r="G2000" t="s">
        <v>9</v>
      </c>
      <c r="H2000" t="s">
        <v>1400</v>
      </c>
      <c r="I2000" t="s">
        <v>1531</v>
      </c>
    </row>
    <row r="2001" spans="1:9" x14ac:dyDescent="0.2">
      <c r="A2001" t="s">
        <v>1530</v>
      </c>
      <c r="D2001" t="str">
        <f>HYPERLINK("http://nlpdeep.cs.uic.edu:8080/proofing/gsii/532530-addendum-0-19.pdf","gsii/532530-addendum-0-19.pdf")</f>
        <v>gsii/532530-addendum-0-19.pdf</v>
      </c>
      <c r="E2001">
        <v>119960</v>
      </c>
      <c r="F2001">
        <v>532530</v>
      </c>
      <c r="G2001" t="s">
        <v>9</v>
      </c>
      <c r="H2001" t="s">
        <v>1400</v>
      </c>
      <c r="I2001" t="s">
        <v>1531</v>
      </c>
    </row>
    <row r="2002" spans="1:9" x14ac:dyDescent="0.2">
      <c r="A2002" t="s">
        <v>1532</v>
      </c>
      <c r="D2002" t="str">
        <f>HYPERLINK("http://nlpdeep.cs.uic.edu:8080/proofing/t5/532530-addendum-0-20.pdf","t5/532530-addendum-0-20.pdf")</f>
        <v>t5/532530-addendum-0-20.pdf</v>
      </c>
      <c r="E2002">
        <v>119960</v>
      </c>
      <c r="F2002">
        <v>532530</v>
      </c>
      <c r="G2002" t="s">
        <v>9</v>
      </c>
      <c r="H2002" t="s">
        <v>1400</v>
      </c>
      <c r="I2002" t="s">
        <v>1533</v>
      </c>
    </row>
    <row r="2003" spans="1:9" x14ac:dyDescent="0.2">
      <c r="A2003" t="s">
        <v>1532</v>
      </c>
      <c r="D2003" t="str">
        <f>HYPERLINK("http://nlpdeep.cs.uic.edu:8080/proofing/gsii/532530-addendum-0-20.pdf","gsii/532530-addendum-0-20.pdf")</f>
        <v>gsii/532530-addendum-0-20.pdf</v>
      </c>
      <c r="E2003">
        <v>119960</v>
      </c>
      <c r="F2003">
        <v>532530</v>
      </c>
      <c r="G2003" t="s">
        <v>9</v>
      </c>
      <c r="H2003" t="s">
        <v>1400</v>
      </c>
      <c r="I2003" t="s">
        <v>1533</v>
      </c>
    </row>
    <row r="2004" spans="1:9" x14ac:dyDescent="0.2">
      <c r="A2004" t="s">
        <v>1534</v>
      </c>
      <c r="D2004" t="str">
        <f>HYPERLINK("http://nlpdeep.cs.uic.edu:8080/proofing/t5/532530-addendum-0-21.pdf","t5/532530-addendum-0-21.pdf")</f>
        <v>t5/532530-addendum-0-21.pdf</v>
      </c>
      <c r="E2004">
        <v>119960</v>
      </c>
      <c r="F2004">
        <v>532530</v>
      </c>
      <c r="G2004" t="s">
        <v>9</v>
      </c>
      <c r="H2004" t="s">
        <v>1400</v>
      </c>
      <c r="I2004" t="s">
        <v>1535</v>
      </c>
    </row>
    <row r="2005" spans="1:9" x14ac:dyDescent="0.2">
      <c r="A2005" t="s">
        <v>1534</v>
      </c>
      <c r="D2005" t="str">
        <f>HYPERLINK("http://nlpdeep.cs.uic.edu:8080/proofing/gsii/532530-addendum-0-21.pdf","gsii/532530-addendum-0-21.pdf")</f>
        <v>gsii/532530-addendum-0-21.pdf</v>
      </c>
      <c r="E2005">
        <v>119960</v>
      </c>
      <c r="F2005">
        <v>532530</v>
      </c>
      <c r="G2005" t="s">
        <v>9</v>
      </c>
      <c r="H2005" t="s">
        <v>1400</v>
      </c>
      <c r="I2005" t="s">
        <v>1535</v>
      </c>
    </row>
    <row r="2006" spans="1:9" x14ac:dyDescent="0.2">
      <c r="A2006" t="s">
        <v>1536</v>
      </c>
      <c r="D2006" t="str">
        <f>HYPERLINK("http://nlpdeep.cs.uic.edu:8080/proofing/t5/532530-addendum-0-22.pdf","t5/532530-addendum-0-22.pdf")</f>
        <v>t5/532530-addendum-0-22.pdf</v>
      </c>
      <c r="E2006">
        <v>119960</v>
      </c>
      <c r="F2006">
        <v>532530</v>
      </c>
      <c r="G2006" t="s">
        <v>9</v>
      </c>
      <c r="H2006" t="s">
        <v>1400</v>
      </c>
      <c r="I2006" t="s">
        <v>1537</v>
      </c>
    </row>
    <row r="2007" spans="1:9" x14ac:dyDescent="0.2">
      <c r="A2007" t="s">
        <v>1536</v>
      </c>
      <c r="D2007" t="str">
        <f>HYPERLINK("http://nlpdeep.cs.uic.edu:8080/proofing/gsii/532530-addendum-0-22.pdf","gsii/532530-addendum-0-22.pdf")</f>
        <v>gsii/532530-addendum-0-22.pdf</v>
      </c>
      <c r="E2007">
        <v>119960</v>
      </c>
      <c r="F2007">
        <v>532530</v>
      </c>
      <c r="G2007" t="s">
        <v>9</v>
      </c>
      <c r="H2007" t="s">
        <v>1400</v>
      </c>
      <c r="I2007" t="s">
        <v>1537</v>
      </c>
    </row>
    <row r="2008" spans="1:9" x14ac:dyDescent="0.2">
      <c r="A2008" t="s">
        <v>1538</v>
      </c>
      <c r="D2008" t="str">
        <f>HYPERLINK("http://nlpdeep.cs.uic.edu:8080/proofing/t5/532530-addendum-0-23.pdf","t5/532530-addendum-0-23.pdf")</f>
        <v>t5/532530-addendum-0-23.pdf</v>
      </c>
      <c r="E2008">
        <v>119960</v>
      </c>
      <c r="F2008">
        <v>532530</v>
      </c>
      <c r="G2008" t="s">
        <v>9</v>
      </c>
      <c r="H2008" t="s">
        <v>1400</v>
      </c>
      <c r="I2008" t="s">
        <v>1539</v>
      </c>
    </row>
    <row r="2009" spans="1:9" x14ac:dyDescent="0.2">
      <c r="A2009" t="s">
        <v>1538</v>
      </c>
      <c r="D2009" t="str">
        <f>HYPERLINK("http://nlpdeep.cs.uic.edu:8080/proofing/gsii/532530-addendum-0-23.pdf","gsii/532530-addendum-0-23.pdf")</f>
        <v>gsii/532530-addendum-0-23.pdf</v>
      </c>
      <c r="E2009">
        <v>119960</v>
      </c>
      <c r="F2009">
        <v>532530</v>
      </c>
      <c r="G2009" t="s">
        <v>9</v>
      </c>
      <c r="H2009" t="s">
        <v>1400</v>
      </c>
      <c r="I2009" t="s">
        <v>1539</v>
      </c>
    </row>
    <row r="2010" spans="1:9" x14ac:dyDescent="0.2">
      <c r="A2010" t="s">
        <v>1540</v>
      </c>
      <c r="D2010" t="str">
        <f>HYPERLINK("http://nlpdeep.cs.uic.edu:8080/proofing/t5/532656-24-hour-events-0-0.pdf","t5/532656-24-hour-events-0-0.pdf")</f>
        <v>t5/532656-24-hour-events-0-0.pdf</v>
      </c>
      <c r="E2010">
        <v>119960</v>
      </c>
      <c r="F2010">
        <v>532656</v>
      </c>
      <c r="G2010" t="s">
        <v>9</v>
      </c>
      <c r="H2010" t="s">
        <v>538</v>
      </c>
      <c r="I2010" t="s">
        <v>1541</v>
      </c>
    </row>
    <row r="2011" spans="1:9" x14ac:dyDescent="0.2">
      <c r="A2011" t="s">
        <v>1540</v>
      </c>
      <c r="D2011" t="str">
        <f>HYPERLINK("http://nlpdeep.cs.uic.edu:8080/proofing/gsii/532656-24-hour-events-0-0.pdf","gsii/532656-24-hour-events-0-0.pdf")</f>
        <v>gsii/532656-24-hour-events-0-0.pdf</v>
      </c>
      <c r="E2011">
        <v>119960</v>
      </c>
      <c r="F2011">
        <v>532656</v>
      </c>
      <c r="G2011" t="s">
        <v>9</v>
      </c>
      <c r="H2011" t="s">
        <v>538</v>
      </c>
      <c r="I2011" t="s">
        <v>1541</v>
      </c>
    </row>
    <row r="2012" spans="1:9" x14ac:dyDescent="0.2">
      <c r="A2012" t="s">
        <v>1542</v>
      </c>
      <c r="D2012" t="str">
        <f>HYPERLINK("http://nlpdeep.cs.uic.edu:8080/proofing/t5/532656-24-hour-events-0-1.pdf","t5/532656-24-hour-events-0-1.pdf")</f>
        <v>t5/532656-24-hour-events-0-1.pdf</v>
      </c>
      <c r="E2012">
        <v>119960</v>
      </c>
      <c r="F2012">
        <v>532656</v>
      </c>
      <c r="G2012" t="s">
        <v>9</v>
      </c>
      <c r="H2012" t="s">
        <v>538</v>
      </c>
      <c r="I2012" t="s">
        <v>727</v>
      </c>
    </row>
    <row r="2013" spans="1:9" x14ac:dyDescent="0.2">
      <c r="A2013" t="s">
        <v>1542</v>
      </c>
      <c r="D2013" t="str">
        <f>HYPERLINK("http://nlpdeep.cs.uic.edu:8080/proofing/gsii/532656-24-hour-events-0-1.pdf","gsii/532656-24-hour-events-0-1.pdf")</f>
        <v>gsii/532656-24-hour-events-0-1.pdf</v>
      </c>
      <c r="E2013">
        <v>119960</v>
      </c>
      <c r="F2013">
        <v>532656</v>
      </c>
      <c r="G2013" t="s">
        <v>9</v>
      </c>
      <c r="H2013" t="s">
        <v>538</v>
      </c>
      <c r="I2013" t="s">
        <v>727</v>
      </c>
    </row>
    <row r="2014" spans="1:9" x14ac:dyDescent="0.2">
      <c r="A2014" t="s">
        <v>1543</v>
      </c>
      <c r="D2014" t="str">
        <f>HYPERLINK("http://nlpdeep.cs.uic.edu:8080/proofing/t5/532656-24-hour-events-0-2.pdf","t5/532656-24-hour-events-0-2.pdf")</f>
        <v>t5/532656-24-hour-events-0-2.pdf</v>
      </c>
      <c r="E2014">
        <v>119960</v>
      </c>
      <c r="F2014">
        <v>532656</v>
      </c>
      <c r="G2014" t="s">
        <v>9</v>
      </c>
      <c r="H2014" t="s">
        <v>538</v>
      </c>
      <c r="I2014" t="s">
        <v>700</v>
      </c>
    </row>
    <row r="2015" spans="1:9" x14ac:dyDescent="0.2">
      <c r="A2015" t="s">
        <v>1543</v>
      </c>
      <c r="D2015" t="str">
        <f>HYPERLINK("http://nlpdeep.cs.uic.edu:8080/proofing/gsii/532656-24-hour-events-0-2.pdf","gsii/532656-24-hour-events-0-2.pdf")</f>
        <v>gsii/532656-24-hour-events-0-2.pdf</v>
      </c>
      <c r="E2015">
        <v>119960</v>
      </c>
      <c r="F2015">
        <v>532656</v>
      </c>
      <c r="G2015" t="s">
        <v>9</v>
      </c>
      <c r="H2015" t="s">
        <v>538</v>
      </c>
      <c r="I2015" t="s">
        <v>700</v>
      </c>
    </row>
    <row r="2016" spans="1:9" x14ac:dyDescent="0.2">
      <c r="A2016" t="s">
        <v>1544</v>
      </c>
      <c r="D2016" t="str">
        <f>HYPERLINK("http://nlpdeep.cs.uic.edu:8080/proofing/t5/532656-allergies-0-0.pdf","t5/532656-allergies-0-0.pdf")</f>
        <v>t5/532656-allergies-0-0.pdf</v>
      </c>
      <c r="E2016">
        <v>119960</v>
      </c>
      <c r="F2016">
        <v>532656</v>
      </c>
      <c r="G2016" t="s">
        <v>9</v>
      </c>
      <c r="H2016" t="s">
        <v>64</v>
      </c>
      <c r="I2016" t="s">
        <v>517</v>
      </c>
    </row>
    <row r="2017" spans="1:9" x14ac:dyDescent="0.2">
      <c r="A2017" t="s">
        <v>1544</v>
      </c>
      <c r="D2017" t="str">
        <f>HYPERLINK("http://nlpdeep.cs.uic.edu:8080/proofing/gsii/532656-allergies-0-0.pdf","gsii/532656-allergies-0-0.pdf")</f>
        <v>gsii/532656-allergies-0-0.pdf</v>
      </c>
      <c r="E2017">
        <v>119960</v>
      </c>
      <c r="F2017">
        <v>532656</v>
      </c>
      <c r="G2017" t="s">
        <v>9</v>
      </c>
      <c r="H2017" t="s">
        <v>64</v>
      </c>
      <c r="I2017" t="s">
        <v>517</v>
      </c>
    </row>
    <row r="2018" spans="1:9" x14ac:dyDescent="0.2">
      <c r="A2018" t="s">
        <v>1545</v>
      </c>
      <c r="D2018" t="str">
        <f>HYPERLINK("http://nlpdeep.cs.uic.edu:8080/proofing/t5/532656-last-dose-of-antibiotics-0-0.pdf","t5/532656-last-dose-of-antibiotics-0-0.pdf")</f>
        <v>t5/532656-last-dose-of-antibiotics-0-0.pdf</v>
      </c>
      <c r="E2018">
        <v>119960</v>
      </c>
      <c r="F2018">
        <v>532656</v>
      </c>
      <c r="G2018" t="s">
        <v>9</v>
      </c>
      <c r="H2018" t="s">
        <v>235</v>
      </c>
      <c r="I2018" t="s">
        <v>519</v>
      </c>
    </row>
    <row r="2019" spans="1:9" x14ac:dyDescent="0.2">
      <c r="A2019" t="s">
        <v>1545</v>
      </c>
      <c r="D2019" t="str">
        <f>HYPERLINK("http://nlpdeep.cs.uic.edu:8080/proofing/gsii/532656-last-dose-of-antibiotics-0-0.pdf","gsii/532656-last-dose-of-antibiotics-0-0.pdf")</f>
        <v>gsii/532656-last-dose-of-antibiotics-0-0.pdf</v>
      </c>
      <c r="E2019">
        <v>119960</v>
      </c>
      <c r="F2019">
        <v>532656</v>
      </c>
      <c r="G2019" t="s">
        <v>9</v>
      </c>
      <c r="H2019" t="s">
        <v>235</v>
      </c>
      <c r="I2019" t="s">
        <v>519</v>
      </c>
    </row>
    <row r="2020" spans="1:9" x14ac:dyDescent="0.2">
      <c r="A2020" t="s">
        <v>1546</v>
      </c>
      <c r="D2020" t="str">
        <f>HYPERLINK("http://nlpdeep.cs.uic.edu:8080/proofing/t5/532656-other-medications-0-0.pdf","t5/532656-other-medications-0-0.pdf")</f>
        <v>t5/532656-other-medications-0-0.pdf</v>
      </c>
      <c r="E2020">
        <v>119960</v>
      </c>
      <c r="F2020">
        <v>532656</v>
      </c>
      <c r="G2020" t="s">
        <v>9</v>
      </c>
      <c r="H2020" t="s">
        <v>67</v>
      </c>
      <c r="I2020" t="s">
        <v>704</v>
      </c>
    </row>
    <row r="2021" spans="1:9" x14ac:dyDescent="0.2">
      <c r="A2021" t="s">
        <v>1546</v>
      </c>
      <c r="D2021" t="str">
        <f>HYPERLINK("http://nlpdeep.cs.uic.edu:8080/proofing/gsii/532656-other-medications-0-0.pdf","gsii/532656-other-medications-0-0.pdf")</f>
        <v>gsii/532656-other-medications-0-0.pdf</v>
      </c>
      <c r="E2021">
        <v>119960</v>
      </c>
      <c r="F2021">
        <v>532656</v>
      </c>
      <c r="G2021" t="s">
        <v>9</v>
      </c>
      <c r="H2021" t="s">
        <v>67</v>
      </c>
      <c r="I2021" t="s">
        <v>704</v>
      </c>
    </row>
    <row r="2022" spans="1:9" x14ac:dyDescent="0.2">
      <c r="A2022" t="s">
        <v>1547</v>
      </c>
      <c r="D2022" t="str">
        <f>HYPERLINK("http://nlpdeep.cs.uic.edu:8080/proofing/t5/532656-flowsheet-data-vitals-0-0.pdf","t5/532656-flowsheet-data-vitals-0-0.pdf")</f>
        <v>t5/532656-flowsheet-data-vitals-0-0.pdf</v>
      </c>
      <c r="E2022">
        <v>119960</v>
      </c>
      <c r="F2022">
        <v>532656</v>
      </c>
      <c r="G2022" t="s">
        <v>9</v>
      </c>
      <c r="H2022" t="s">
        <v>135</v>
      </c>
      <c r="I2022" t="s">
        <v>706</v>
      </c>
    </row>
    <row r="2023" spans="1:9" x14ac:dyDescent="0.2">
      <c r="A2023" t="s">
        <v>1547</v>
      </c>
      <c r="D2023" t="str">
        <f>HYPERLINK("http://nlpdeep.cs.uic.edu:8080/proofing/gsii/532656-flowsheet-data-vitals-0-0.pdf","gsii/532656-flowsheet-data-vitals-0-0.pdf")</f>
        <v>gsii/532656-flowsheet-data-vitals-0-0.pdf</v>
      </c>
      <c r="E2023">
        <v>119960</v>
      </c>
      <c r="F2023">
        <v>532656</v>
      </c>
      <c r="G2023" t="s">
        <v>9</v>
      </c>
      <c r="H2023" t="s">
        <v>135</v>
      </c>
      <c r="I2023" t="s">
        <v>706</v>
      </c>
    </row>
    <row r="2024" spans="1:9" x14ac:dyDescent="0.2">
      <c r="A2024" t="s">
        <v>1548</v>
      </c>
      <c r="D2024" t="str">
        <f>HYPERLINK("http://nlpdeep.cs.uic.edu:8080/proofing/t5/532656-physical-examination-0-0.pdf","t5/532656-physical-examination-0-0.pdf")</f>
        <v>t5/532656-physical-examination-0-0.pdf</v>
      </c>
      <c r="E2024">
        <v>119960</v>
      </c>
      <c r="F2024">
        <v>532656</v>
      </c>
      <c r="G2024" t="s">
        <v>9</v>
      </c>
      <c r="H2024" t="s">
        <v>138</v>
      </c>
      <c r="I2024" t="s">
        <v>708</v>
      </c>
    </row>
    <row r="2025" spans="1:9" x14ac:dyDescent="0.2">
      <c r="A2025" t="s">
        <v>1548</v>
      </c>
      <c r="D2025" t="str">
        <f>HYPERLINK("http://nlpdeep.cs.uic.edu:8080/proofing/gsii/532656-physical-examination-0-0.pdf","gsii/532656-physical-examination-0-0.pdf")</f>
        <v>gsii/532656-physical-examination-0-0.pdf</v>
      </c>
      <c r="E2025">
        <v>119960</v>
      </c>
      <c r="F2025">
        <v>532656</v>
      </c>
      <c r="G2025" t="s">
        <v>9</v>
      </c>
      <c r="H2025" t="s">
        <v>138</v>
      </c>
      <c r="I2025" t="s">
        <v>708</v>
      </c>
    </row>
    <row r="2026" spans="1:9" x14ac:dyDescent="0.2">
      <c r="A2026" t="s">
        <v>1549</v>
      </c>
      <c r="D2026" t="str">
        <f>HYPERLINK("http://nlpdeep.cs.uic.edu:8080/proofing/t5/532656-labs-imaging-0-0.pdf","t5/532656-labs-imaging-0-0.pdf")</f>
        <v>t5/532656-labs-imaging-0-0.pdf</v>
      </c>
      <c r="E2026">
        <v>119960</v>
      </c>
      <c r="F2026">
        <v>532656</v>
      </c>
      <c r="G2026" t="s">
        <v>9</v>
      </c>
      <c r="H2026" t="s">
        <v>147</v>
      </c>
      <c r="I2026" t="s">
        <v>710</v>
      </c>
    </row>
    <row r="2027" spans="1:9" x14ac:dyDescent="0.2">
      <c r="A2027" t="s">
        <v>1549</v>
      </c>
      <c r="D2027" t="str">
        <f>HYPERLINK("http://nlpdeep.cs.uic.edu:8080/proofing/gsii/532656-labs-imaging-0-0.pdf","gsii/532656-labs-imaging-0-0.pdf")</f>
        <v>gsii/532656-labs-imaging-0-0.pdf</v>
      </c>
      <c r="E2027">
        <v>119960</v>
      </c>
      <c r="F2027">
        <v>532656</v>
      </c>
      <c r="G2027" t="s">
        <v>9</v>
      </c>
      <c r="H2027" t="s">
        <v>147</v>
      </c>
      <c r="I2027" t="s">
        <v>710</v>
      </c>
    </row>
    <row r="2028" spans="1:9" x14ac:dyDescent="0.2">
      <c r="A2028" t="s">
        <v>1550</v>
      </c>
      <c r="D2028" t="str">
        <f>HYPERLINK("http://nlpdeep.cs.uic.edu:8080/proofing/t5/532656-labs-imaging-0-1.pdf","t5/532656-labs-imaging-0-1.pdf")</f>
        <v>t5/532656-labs-imaging-0-1.pdf</v>
      </c>
      <c r="E2028">
        <v>119960</v>
      </c>
      <c r="F2028">
        <v>532656</v>
      </c>
      <c r="G2028" t="s">
        <v>9</v>
      </c>
      <c r="H2028" t="s">
        <v>147</v>
      </c>
      <c r="I2028" t="s">
        <v>150</v>
      </c>
    </row>
    <row r="2029" spans="1:9" x14ac:dyDescent="0.2">
      <c r="A2029" t="s">
        <v>1550</v>
      </c>
      <c r="D2029" t="str">
        <f>HYPERLINK("http://nlpdeep.cs.uic.edu:8080/proofing/gsii/532656-labs-imaging-0-1.pdf","gsii/532656-labs-imaging-0-1.pdf")</f>
        <v>gsii/532656-labs-imaging-0-1.pdf</v>
      </c>
      <c r="E2029">
        <v>119960</v>
      </c>
      <c r="F2029">
        <v>532656</v>
      </c>
      <c r="G2029" t="s">
        <v>9</v>
      </c>
      <c r="H2029" t="s">
        <v>147</v>
      </c>
      <c r="I2029" t="s">
        <v>150</v>
      </c>
    </row>
    <row r="2030" spans="1:9" x14ac:dyDescent="0.2">
      <c r="A2030" t="s">
        <v>1551</v>
      </c>
      <c r="D2030" t="str">
        <f>HYPERLINK("http://nlpdeep.cs.uic.edu:8080/proofing/t5/532656-labs-imaging-0-2.pdf","t5/532656-labs-imaging-0-2.pdf")</f>
        <v>t5/532656-labs-imaging-0-2.pdf</v>
      </c>
      <c r="E2030">
        <v>119960</v>
      </c>
      <c r="F2030">
        <v>532656</v>
      </c>
      <c r="G2030" t="s">
        <v>9</v>
      </c>
      <c r="H2030" t="s">
        <v>147</v>
      </c>
      <c r="I2030" t="s">
        <v>152</v>
      </c>
    </row>
    <row r="2031" spans="1:9" x14ac:dyDescent="0.2">
      <c r="A2031" t="s">
        <v>1551</v>
      </c>
      <c r="D2031" t="str">
        <f>HYPERLINK("http://nlpdeep.cs.uic.edu:8080/proofing/gsii/532656-labs-imaging-0-2.pdf","gsii/532656-labs-imaging-0-2.pdf")</f>
        <v>gsii/532656-labs-imaging-0-2.pdf</v>
      </c>
      <c r="E2031">
        <v>119960</v>
      </c>
      <c r="F2031">
        <v>532656</v>
      </c>
      <c r="G2031" t="s">
        <v>9</v>
      </c>
      <c r="H2031" t="s">
        <v>147</v>
      </c>
      <c r="I2031" t="s">
        <v>152</v>
      </c>
    </row>
    <row r="2032" spans="1:9" x14ac:dyDescent="0.2">
      <c r="A2032" t="s">
        <v>1552</v>
      </c>
      <c r="D2032" t="str">
        <f>HYPERLINK("http://nlpdeep.cs.uic.edu:8080/proofing/t5/532656-labs-imaging-0-3.pdf","t5/532656-labs-imaging-0-3.pdf")</f>
        <v>t5/532656-labs-imaging-0-3.pdf</v>
      </c>
      <c r="E2032">
        <v>119960</v>
      </c>
      <c r="F2032">
        <v>532656</v>
      </c>
      <c r="G2032" t="s">
        <v>9</v>
      </c>
      <c r="H2032" t="s">
        <v>147</v>
      </c>
      <c r="I2032" t="s">
        <v>714</v>
      </c>
    </row>
    <row r="2033" spans="1:9" x14ac:dyDescent="0.2">
      <c r="A2033" t="s">
        <v>1552</v>
      </c>
      <c r="D2033" t="str">
        <f>HYPERLINK("http://nlpdeep.cs.uic.edu:8080/proofing/gsii/532656-labs-imaging-0-3.pdf","gsii/532656-labs-imaging-0-3.pdf")</f>
        <v>gsii/532656-labs-imaging-0-3.pdf</v>
      </c>
      <c r="E2033">
        <v>119960</v>
      </c>
      <c r="F2033">
        <v>532656</v>
      </c>
      <c r="G2033" t="s">
        <v>9</v>
      </c>
      <c r="H2033" t="s">
        <v>147</v>
      </c>
      <c r="I2033" t="s">
        <v>714</v>
      </c>
    </row>
    <row r="2034" spans="1:9" x14ac:dyDescent="0.2">
      <c r="A2034" t="s">
        <v>1553</v>
      </c>
      <c r="D2034" t="str">
        <f>HYPERLINK("http://nlpdeep.cs.uic.edu:8080/proofing/t5/532656-labs-imaging-0-4.pdf","t5/532656-labs-imaging-0-4.pdf")</f>
        <v>t5/532656-labs-imaging-0-4.pdf</v>
      </c>
      <c r="E2034">
        <v>119960</v>
      </c>
      <c r="F2034">
        <v>532656</v>
      </c>
      <c r="G2034" t="s">
        <v>9</v>
      </c>
      <c r="H2034" t="s">
        <v>147</v>
      </c>
      <c r="I2034" t="s">
        <v>156</v>
      </c>
    </row>
    <row r="2035" spans="1:9" x14ac:dyDescent="0.2">
      <c r="A2035" t="s">
        <v>1553</v>
      </c>
      <c r="D2035" t="str">
        <f>HYPERLINK("http://nlpdeep.cs.uic.edu:8080/proofing/gsii/532656-labs-imaging-0-4.pdf","gsii/532656-labs-imaging-0-4.pdf")</f>
        <v>gsii/532656-labs-imaging-0-4.pdf</v>
      </c>
      <c r="E2035">
        <v>119960</v>
      </c>
      <c r="F2035">
        <v>532656</v>
      </c>
      <c r="G2035" t="s">
        <v>9</v>
      </c>
      <c r="H2035" t="s">
        <v>147</v>
      </c>
      <c r="I2035" t="s">
        <v>156</v>
      </c>
    </row>
    <row r="2036" spans="1:9" x14ac:dyDescent="0.2">
      <c r="A2036" t="s">
        <v>1554</v>
      </c>
      <c r="D2036" t="str">
        <f>HYPERLINK("http://nlpdeep.cs.uic.edu:8080/proofing/t5/532656-labs-imaging-0-5.pdf","t5/532656-labs-imaging-0-5.pdf")</f>
        <v>t5/532656-labs-imaging-0-5.pdf</v>
      </c>
      <c r="E2036">
        <v>119960</v>
      </c>
      <c r="F2036">
        <v>532656</v>
      </c>
      <c r="G2036" t="s">
        <v>9</v>
      </c>
      <c r="H2036" t="s">
        <v>147</v>
      </c>
      <c r="I2036" t="s">
        <v>158</v>
      </c>
    </row>
    <row r="2037" spans="1:9" x14ac:dyDescent="0.2">
      <c r="A2037" t="s">
        <v>1554</v>
      </c>
      <c r="D2037" t="str">
        <f>HYPERLINK("http://nlpdeep.cs.uic.edu:8080/proofing/gsii/532656-labs-imaging-0-5.pdf","gsii/532656-labs-imaging-0-5.pdf")</f>
        <v>gsii/532656-labs-imaging-0-5.pdf</v>
      </c>
      <c r="E2037">
        <v>119960</v>
      </c>
      <c r="F2037">
        <v>532656</v>
      </c>
      <c r="G2037" t="s">
        <v>9</v>
      </c>
      <c r="H2037" t="s">
        <v>147</v>
      </c>
      <c r="I2037" t="s">
        <v>158</v>
      </c>
    </row>
    <row r="2038" spans="1:9" x14ac:dyDescent="0.2">
      <c r="A2038" t="s">
        <v>1555</v>
      </c>
      <c r="D2038" t="str">
        <f>HYPERLINK("http://nlpdeep.cs.uic.edu:8080/proofing/t5/532656-labs-imaging-0-6.pdf","t5/532656-labs-imaging-0-6.pdf")</f>
        <v>t5/532656-labs-imaging-0-6.pdf</v>
      </c>
      <c r="E2038">
        <v>119960</v>
      </c>
      <c r="F2038">
        <v>532656</v>
      </c>
      <c r="G2038" t="s">
        <v>9</v>
      </c>
      <c r="H2038" t="s">
        <v>147</v>
      </c>
      <c r="I2038" t="s">
        <v>718</v>
      </c>
    </row>
    <row r="2039" spans="1:9" x14ac:dyDescent="0.2">
      <c r="A2039" t="s">
        <v>1555</v>
      </c>
      <c r="D2039" t="str">
        <f>HYPERLINK("http://nlpdeep.cs.uic.edu:8080/proofing/gsii/532656-labs-imaging-0-6.pdf","gsii/532656-labs-imaging-0-6.pdf")</f>
        <v>gsii/532656-labs-imaging-0-6.pdf</v>
      </c>
      <c r="E2039">
        <v>119960</v>
      </c>
      <c r="F2039">
        <v>532656</v>
      </c>
      <c r="G2039" t="s">
        <v>9</v>
      </c>
      <c r="H2039" t="s">
        <v>147</v>
      </c>
      <c r="I2039" t="s">
        <v>718</v>
      </c>
    </row>
    <row r="2040" spans="1:9" x14ac:dyDescent="0.2">
      <c r="A2040" t="s">
        <v>1556</v>
      </c>
      <c r="D2040" t="str">
        <f>HYPERLINK("http://nlpdeep.cs.uic.edu:8080/proofing/t5/532656-labs-imaging-0-7.pdf","t5/532656-labs-imaging-0-7.pdf")</f>
        <v>t5/532656-labs-imaging-0-7.pdf</v>
      </c>
      <c r="E2040">
        <v>119960</v>
      </c>
      <c r="F2040">
        <v>532656</v>
      </c>
      <c r="G2040" t="s">
        <v>9</v>
      </c>
      <c r="H2040" t="s">
        <v>147</v>
      </c>
      <c r="I2040" t="s">
        <v>720</v>
      </c>
    </row>
    <row r="2041" spans="1:9" x14ac:dyDescent="0.2">
      <c r="A2041" t="s">
        <v>1556</v>
      </c>
      <c r="D2041" t="str">
        <f>HYPERLINK("http://nlpdeep.cs.uic.edu:8080/proofing/gsii/532656-labs-imaging-0-7.pdf","gsii/532656-labs-imaging-0-7.pdf")</f>
        <v>gsii/532656-labs-imaging-0-7.pdf</v>
      </c>
      <c r="E2041">
        <v>119960</v>
      </c>
      <c r="F2041">
        <v>532656</v>
      </c>
      <c r="G2041" t="s">
        <v>9</v>
      </c>
      <c r="H2041" t="s">
        <v>147</v>
      </c>
      <c r="I2041" t="s">
        <v>720</v>
      </c>
    </row>
    <row r="2042" spans="1:9" x14ac:dyDescent="0.2">
      <c r="A2042" t="s">
        <v>1557</v>
      </c>
      <c r="D2042" t="str">
        <f>HYPERLINK("http://nlpdeep.cs.uic.edu:8080/proofing/t5/532656-labs-imaging-0-8.pdf","t5/532656-labs-imaging-0-8.pdf")</f>
        <v>t5/532656-labs-imaging-0-8.pdf</v>
      </c>
      <c r="E2042">
        <v>119960</v>
      </c>
      <c r="F2042">
        <v>532656</v>
      </c>
      <c r="G2042" t="s">
        <v>9</v>
      </c>
      <c r="H2042" t="s">
        <v>147</v>
      </c>
      <c r="I2042" t="s">
        <v>164</v>
      </c>
    </row>
    <row r="2043" spans="1:9" x14ac:dyDescent="0.2">
      <c r="A2043" t="s">
        <v>1557</v>
      </c>
      <c r="D2043" t="str">
        <f>HYPERLINK("http://nlpdeep.cs.uic.edu:8080/proofing/gsii/532656-labs-imaging-0-8.pdf","gsii/532656-labs-imaging-0-8.pdf")</f>
        <v>gsii/532656-labs-imaging-0-8.pdf</v>
      </c>
      <c r="E2043">
        <v>119960</v>
      </c>
      <c r="F2043">
        <v>532656</v>
      </c>
      <c r="G2043" t="s">
        <v>9</v>
      </c>
      <c r="H2043" t="s">
        <v>147</v>
      </c>
      <c r="I2043" t="s">
        <v>164</v>
      </c>
    </row>
    <row r="2044" spans="1:9" x14ac:dyDescent="0.2">
      <c r="A2044" t="s">
        <v>1558</v>
      </c>
      <c r="D2044" t="str">
        <f>HYPERLINK("http://nlpdeep.cs.uic.edu:8080/proofing/t5/532656-assessment-and-plan-0-0.pdf","t5/532656-assessment-and-plan-0-0.pdf")</f>
        <v>t5/532656-assessment-and-plan-0-0.pdf</v>
      </c>
      <c r="E2044">
        <v>119960</v>
      </c>
      <c r="F2044">
        <v>532656</v>
      </c>
      <c r="G2044" t="s">
        <v>9</v>
      </c>
      <c r="H2044" t="s">
        <v>195</v>
      </c>
      <c r="I2044" t="s">
        <v>534</v>
      </c>
    </row>
    <row r="2045" spans="1:9" x14ac:dyDescent="0.2">
      <c r="A2045" t="s">
        <v>1558</v>
      </c>
      <c r="D2045" t="str">
        <f>HYPERLINK("http://nlpdeep.cs.uic.edu:8080/proofing/gsii/532656-assessment-and-plan-0-0.pdf","gsii/532656-assessment-and-plan-0-0.pdf")</f>
        <v>gsii/532656-assessment-and-plan-0-0.pdf</v>
      </c>
      <c r="E2045">
        <v>119960</v>
      </c>
      <c r="F2045">
        <v>532656</v>
      </c>
      <c r="G2045" t="s">
        <v>9</v>
      </c>
      <c r="H2045" t="s">
        <v>195</v>
      </c>
      <c r="I2045" t="s">
        <v>534</v>
      </c>
    </row>
    <row r="2046" spans="1:9" x14ac:dyDescent="0.2">
      <c r="A2046" t="s">
        <v>1559</v>
      </c>
      <c r="D2046" t="str">
        <f>HYPERLINK("http://nlpdeep.cs.uic.edu:8080/proofing/t5/532656-code-status-0-0.pdf","t5/532656-code-status-0-0.pdf")</f>
        <v>t5/532656-code-status-0-0.pdf</v>
      </c>
      <c r="E2046">
        <v>119960</v>
      </c>
      <c r="F2046">
        <v>532656</v>
      </c>
      <c r="G2046" t="s">
        <v>9</v>
      </c>
      <c r="H2046" t="s">
        <v>201</v>
      </c>
      <c r="I2046" t="s">
        <v>536</v>
      </c>
    </row>
    <row r="2047" spans="1:9" x14ac:dyDescent="0.2">
      <c r="A2047" t="s">
        <v>1559</v>
      </c>
      <c r="D2047" t="str">
        <f>HYPERLINK("http://nlpdeep.cs.uic.edu:8080/proofing/gsii/532656-code-status-0-0.pdf","gsii/532656-code-status-0-0.pdf")</f>
        <v>gsii/532656-code-status-0-0.pdf</v>
      </c>
      <c r="E2047">
        <v>119960</v>
      </c>
      <c r="F2047">
        <v>532656</v>
      </c>
      <c r="G2047" t="s">
        <v>9</v>
      </c>
      <c r="H2047" t="s">
        <v>201</v>
      </c>
      <c r="I2047" t="s">
        <v>536</v>
      </c>
    </row>
    <row r="2048" spans="1:9" x14ac:dyDescent="0.2">
      <c r="A2048" t="s">
        <v>1560</v>
      </c>
      <c r="D2048" t="str">
        <f>HYPERLINK("http://nlpdeep.cs.uic.edu:8080/proofing/t5/532895-chief-complaint-0-0.pdf","t5/532895-chief-complaint-0-0.pdf")</f>
        <v>t5/532895-chief-complaint-0-0.pdf</v>
      </c>
      <c r="E2048">
        <v>119960</v>
      </c>
      <c r="F2048">
        <v>532895</v>
      </c>
      <c r="G2048" t="s">
        <v>9</v>
      </c>
      <c r="H2048" t="s">
        <v>10</v>
      </c>
      <c r="I2048" t="s">
        <v>1561</v>
      </c>
    </row>
    <row r="2049" spans="1:9" x14ac:dyDescent="0.2">
      <c r="A2049" t="s">
        <v>1560</v>
      </c>
      <c r="D2049" t="str">
        <f>HYPERLINK("http://nlpdeep.cs.uic.edu:8080/proofing/gsii/532895-chief-complaint-0-0.pdf","gsii/532895-chief-complaint-0-0.pdf")</f>
        <v>gsii/532895-chief-complaint-0-0.pdf</v>
      </c>
      <c r="E2049">
        <v>119960</v>
      </c>
      <c r="F2049">
        <v>532895</v>
      </c>
      <c r="G2049" t="s">
        <v>9</v>
      </c>
      <c r="H2049" t="s">
        <v>10</v>
      </c>
      <c r="I2049" t="s">
        <v>1561</v>
      </c>
    </row>
    <row r="2050" spans="1:9" x14ac:dyDescent="0.2">
      <c r="A2050" t="s">
        <v>1562</v>
      </c>
      <c r="D2050" t="str">
        <f>HYPERLINK("http://nlpdeep.cs.uic.edu:8080/proofing/t5/532895-critical-care-attending-addendum-0-0.pdf","t5/532895-critical-care-attending-addendum-0-0.pdf")</f>
        <v>t5/532895-critical-care-attending-addendum-0-0.pdf</v>
      </c>
      <c r="E2050">
        <v>119960</v>
      </c>
      <c r="F2050">
        <v>532895</v>
      </c>
      <c r="G2050" t="s">
        <v>9</v>
      </c>
      <c r="H2050" t="s">
        <v>1563</v>
      </c>
      <c r="I2050" t="s">
        <v>1564</v>
      </c>
    </row>
    <row r="2051" spans="1:9" x14ac:dyDescent="0.2">
      <c r="A2051" t="s">
        <v>1562</v>
      </c>
      <c r="D2051" t="str">
        <f>HYPERLINK("http://nlpdeep.cs.uic.edu:8080/proofing/gsii/532895-critical-care-attending-addendum-0-0.pdf","gsii/532895-critical-care-attending-addendum-0-0.pdf")</f>
        <v>gsii/532895-critical-care-attending-addendum-0-0.pdf</v>
      </c>
      <c r="E2051">
        <v>119960</v>
      </c>
      <c r="F2051">
        <v>532895</v>
      </c>
      <c r="G2051" t="s">
        <v>9</v>
      </c>
      <c r="H2051" t="s">
        <v>1563</v>
      </c>
      <c r="I2051" t="s">
        <v>1564</v>
      </c>
    </row>
    <row r="2052" spans="1:9" x14ac:dyDescent="0.2">
      <c r="A2052" t="s">
        <v>1565</v>
      </c>
      <c r="D2052" t="str">
        <f>HYPERLINK("http://nlpdeep.cs.uic.edu:8080/proofing/t5/532895-critical-care-attending-addendum-0-1.pdf","t5/532895-critical-care-attending-addendum-0-1.pdf")</f>
        <v>t5/532895-critical-care-attending-addendum-0-1.pdf</v>
      </c>
      <c r="E2052">
        <v>119960</v>
      </c>
      <c r="F2052">
        <v>532895</v>
      </c>
      <c r="G2052" t="s">
        <v>9</v>
      </c>
      <c r="H2052" t="s">
        <v>1563</v>
      </c>
      <c r="I2052" t="s">
        <v>1566</v>
      </c>
    </row>
    <row r="2053" spans="1:9" x14ac:dyDescent="0.2">
      <c r="A2053" t="s">
        <v>1565</v>
      </c>
      <c r="D2053" t="str">
        <f>HYPERLINK("http://nlpdeep.cs.uic.edu:8080/proofing/gsii/532895-critical-care-attending-addendum-0-1.pdf","gsii/532895-critical-care-attending-addendum-0-1.pdf")</f>
        <v>gsii/532895-critical-care-attending-addendum-0-1.pdf</v>
      </c>
      <c r="E2053">
        <v>119960</v>
      </c>
      <c r="F2053">
        <v>532895</v>
      </c>
      <c r="G2053" t="s">
        <v>9</v>
      </c>
      <c r="H2053" t="s">
        <v>1563</v>
      </c>
      <c r="I2053" t="s">
        <v>1566</v>
      </c>
    </row>
    <row r="2054" spans="1:9" x14ac:dyDescent="0.2">
      <c r="A2054" t="s">
        <v>1567</v>
      </c>
      <c r="D2054" t="str">
        <f>HYPERLINK("http://nlpdeep.cs.uic.edu:8080/proofing/t5/532895-24-hour-events-0-0.pdf","t5/532895-24-hour-events-0-0.pdf")</f>
        <v>t5/532895-24-hour-events-0-0.pdf</v>
      </c>
      <c r="E2054">
        <v>119960</v>
      </c>
      <c r="F2054">
        <v>532895</v>
      </c>
      <c r="G2054" t="s">
        <v>9</v>
      </c>
      <c r="H2054" t="s">
        <v>538</v>
      </c>
      <c r="I2054" t="s">
        <v>1568</v>
      </c>
    </row>
    <row r="2055" spans="1:9" x14ac:dyDescent="0.2">
      <c r="A2055" t="s">
        <v>1567</v>
      </c>
      <c r="D2055" t="str">
        <f>HYPERLINK("http://nlpdeep.cs.uic.edu:8080/proofing/gsii/532895-24-hour-events-0-0.pdf","gsii/532895-24-hour-events-0-0.pdf")</f>
        <v>gsii/532895-24-hour-events-0-0.pdf</v>
      </c>
      <c r="E2055">
        <v>119960</v>
      </c>
      <c r="F2055">
        <v>532895</v>
      </c>
      <c r="G2055" t="s">
        <v>9</v>
      </c>
      <c r="H2055" t="s">
        <v>538</v>
      </c>
      <c r="I2055" t="s">
        <v>1568</v>
      </c>
    </row>
    <row r="2056" spans="1:9" x14ac:dyDescent="0.2">
      <c r="A2056" t="s">
        <v>1569</v>
      </c>
      <c r="D2056" t="str">
        <f>HYPERLINK("http://nlpdeep.cs.uic.edu:8080/proofing/t5/532895-allergies-0-0.pdf","t5/532895-allergies-0-0.pdf")</f>
        <v>t5/532895-allergies-0-0.pdf</v>
      </c>
      <c r="E2056">
        <v>119960</v>
      </c>
      <c r="F2056">
        <v>532895</v>
      </c>
      <c r="G2056" t="s">
        <v>9</v>
      </c>
      <c r="H2056" t="s">
        <v>64</v>
      </c>
      <c r="I2056" t="s">
        <v>517</v>
      </c>
    </row>
    <row r="2057" spans="1:9" x14ac:dyDescent="0.2">
      <c r="A2057" t="s">
        <v>1569</v>
      </c>
      <c r="D2057" t="str">
        <f>HYPERLINK("http://nlpdeep.cs.uic.edu:8080/proofing/gsii/532895-allergies-0-0.pdf","gsii/532895-allergies-0-0.pdf")</f>
        <v>gsii/532895-allergies-0-0.pdf</v>
      </c>
      <c r="E2057">
        <v>119960</v>
      </c>
      <c r="F2057">
        <v>532895</v>
      </c>
      <c r="G2057" t="s">
        <v>9</v>
      </c>
      <c r="H2057" t="s">
        <v>64</v>
      </c>
      <c r="I2057" t="s">
        <v>517</v>
      </c>
    </row>
    <row r="2058" spans="1:9" x14ac:dyDescent="0.2">
      <c r="A2058" t="s">
        <v>1570</v>
      </c>
      <c r="D2058" t="str">
        <f>HYPERLINK("http://nlpdeep.cs.uic.edu:8080/proofing/t5/532895-last-dose-of-antibiotics-0-0.pdf","t5/532895-last-dose-of-antibiotics-0-0.pdf")</f>
        <v>t5/532895-last-dose-of-antibiotics-0-0.pdf</v>
      </c>
      <c r="E2058">
        <v>119960</v>
      </c>
      <c r="F2058">
        <v>532895</v>
      </c>
      <c r="G2058" t="s">
        <v>9</v>
      </c>
      <c r="H2058" t="s">
        <v>235</v>
      </c>
      <c r="I2058" t="s">
        <v>519</v>
      </c>
    </row>
    <row r="2059" spans="1:9" x14ac:dyDescent="0.2">
      <c r="A2059" t="s">
        <v>1570</v>
      </c>
      <c r="D2059" t="str">
        <f>HYPERLINK("http://nlpdeep.cs.uic.edu:8080/proofing/gsii/532895-last-dose-of-antibiotics-0-0.pdf","gsii/532895-last-dose-of-antibiotics-0-0.pdf")</f>
        <v>gsii/532895-last-dose-of-antibiotics-0-0.pdf</v>
      </c>
      <c r="E2059">
        <v>119960</v>
      </c>
      <c r="F2059">
        <v>532895</v>
      </c>
      <c r="G2059" t="s">
        <v>9</v>
      </c>
      <c r="H2059" t="s">
        <v>235</v>
      </c>
      <c r="I2059" t="s">
        <v>519</v>
      </c>
    </row>
    <row r="2060" spans="1:9" x14ac:dyDescent="0.2">
      <c r="A2060" t="s">
        <v>1571</v>
      </c>
      <c r="D2060" t="str">
        <f>HYPERLINK("http://nlpdeep.cs.uic.edu:8080/proofing/t5/532895-other-medications-0-0.pdf","t5/532895-other-medications-0-0.pdf")</f>
        <v>t5/532895-other-medications-0-0.pdf</v>
      </c>
      <c r="E2060">
        <v>119960</v>
      </c>
      <c r="F2060">
        <v>532895</v>
      </c>
      <c r="G2060" t="s">
        <v>9</v>
      </c>
      <c r="H2060" t="s">
        <v>67</v>
      </c>
      <c r="I2060" t="s">
        <v>1572</v>
      </c>
    </row>
    <row r="2061" spans="1:9" x14ac:dyDescent="0.2">
      <c r="A2061" t="s">
        <v>1571</v>
      </c>
      <c r="D2061" t="str">
        <f>HYPERLINK("http://nlpdeep.cs.uic.edu:8080/proofing/gsii/532895-other-medications-0-0.pdf","gsii/532895-other-medications-0-0.pdf")</f>
        <v>gsii/532895-other-medications-0-0.pdf</v>
      </c>
      <c r="E2061">
        <v>119960</v>
      </c>
      <c r="F2061">
        <v>532895</v>
      </c>
      <c r="G2061" t="s">
        <v>9</v>
      </c>
      <c r="H2061" t="s">
        <v>67</v>
      </c>
      <c r="I2061" t="s">
        <v>1572</v>
      </c>
    </row>
    <row r="2062" spans="1:9" x14ac:dyDescent="0.2">
      <c r="A2062" t="s">
        <v>1573</v>
      </c>
      <c r="D2062" t="str">
        <f>HYPERLINK("http://nlpdeep.cs.uic.edu:8080/proofing/t5/532895-past-medical-history-0-0.pdf","t5/532895-past-medical-history-0-0.pdf")</f>
        <v>t5/532895-past-medical-history-0-0.pdf</v>
      </c>
      <c r="E2062">
        <v>119960</v>
      </c>
      <c r="F2062">
        <v>532895</v>
      </c>
      <c r="G2062" t="s">
        <v>9</v>
      </c>
      <c r="H2062" t="s">
        <v>76</v>
      </c>
      <c r="I2062" t="s">
        <v>1574</v>
      </c>
    </row>
    <row r="2063" spans="1:9" x14ac:dyDescent="0.2">
      <c r="A2063" t="s">
        <v>1573</v>
      </c>
      <c r="D2063" t="str">
        <f>HYPERLINK("http://nlpdeep.cs.uic.edu:8080/proofing/gsii/532895-past-medical-history-0-0.pdf","gsii/532895-past-medical-history-0-0.pdf")</f>
        <v>gsii/532895-past-medical-history-0-0.pdf</v>
      </c>
      <c r="E2063">
        <v>119960</v>
      </c>
      <c r="F2063">
        <v>532895</v>
      </c>
      <c r="G2063" t="s">
        <v>9</v>
      </c>
      <c r="H2063" t="s">
        <v>76</v>
      </c>
      <c r="I2063" t="s">
        <v>1574</v>
      </c>
    </row>
    <row r="2064" spans="1:9" x14ac:dyDescent="0.2">
      <c r="A2064" t="s">
        <v>1575</v>
      </c>
      <c r="D2064" t="str">
        <f>HYPERLINK("http://nlpdeep.cs.uic.edu:8080/proofing/t5/532895-flowsheet-data-vitals-0-0.pdf","t5/532895-flowsheet-data-vitals-0-0.pdf")</f>
        <v>t5/532895-flowsheet-data-vitals-0-0.pdf</v>
      </c>
      <c r="E2064">
        <v>119960</v>
      </c>
      <c r="F2064">
        <v>532895</v>
      </c>
      <c r="G2064" t="s">
        <v>9</v>
      </c>
      <c r="H2064" t="s">
        <v>135</v>
      </c>
      <c r="I2064" t="s">
        <v>1576</v>
      </c>
    </row>
    <row r="2065" spans="1:9" x14ac:dyDescent="0.2">
      <c r="A2065" t="s">
        <v>1575</v>
      </c>
      <c r="D2065" t="str">
        <f>HYPERLINK("http://nlpdeep.cs.uic.edu:8080/proofing/gsii/532895-flowsheet-data-vitals-0-0.pdf","gsii/532895-flowsheet-data-vitals-0-0.pdf")</f>
        <v>gsii/532895-flowsheet-data-vitals-0-0.pdf</v>
      </c>
      <c r="E2065">
        <v>119960</v>
      </c>
      <c r="F2065">
        <v>532895</v>
      </c>
      <c r="G2065" t="s">
        <v>9</v>
      </c>
      <c r="H2065" t="s">
        <v>135</v>
      </c>
      <c r="I2065" t="s">
        <v>1576</v>
      </c>
    </row>
    <row r="2066" spans="1:9" x14ac:dyDescent="0.2">
      <c r="A2066" t="s">
        <v>1577</v>
      </c>
      <c r="D2066" t="str">
        <f>HYPERLINK("http://nlpdeep.cs.uic.edu:8080/proofing/t5/532895-physical-examination-0-0.pdf","t5/532895-physical-examination-0-0.pdf")</f>
        <v>t5/532895-physical-examination-0-0.pdf</v>
      </c>
      <c r="E2066">
        <v>119960</v>
      </c>
      <c r="F2066">
        <v>532895</v>
      </c>
      <c r="G2066" t="s">
        <v>9</v>
      </c>
      <c r="H2066" t="s">
        <v>138</v>
      </c>
      <c r="I2066" t="s">
        <v>1578</v>
      </c>
    </row>
    <row r="2067" spans="1:9" x14ac:dyDescent="0.2">
      <c r="A2067" t="s">
        <v>1577</v>
      </c>
      <c r="D2067" t="str">
        <f>HYPERLINK("http://nlpdeep.cs.uic.edu:8080/proofing/gsii/532895-physical-examination-0-0.pdf","gsii/532895-physical-examination-0-0.pdf")</f>
        <v>gsii/532895-physical-examination-0-0.pdf</v>
      </c>
      <c r="E2067">
        <v>119960</v>
      </c>
      <c r="F2067">
        <v>532895</v>
      </c>
      <c r="G2067" t="s">
        <v>9</v>
      </c>
      <c r="H2067" t="s">
        <v>138</v>
      </c>
      <c r="I2067" t="s">
        <v>1578</v>
      </c>
    </row>
    <row r="2068" spans="1:9" x14ac:dyDescent="0.2">
      <c r="A2068" t="s">
        <v>1579</v>
      </c>
      <c r="D2068" t="str">
        <f>HYPERLINK("http://nlpdeep.cs.uic.edu:8080/proofing/t5/532895-assessment-and-plan-0-0.pdf","t5/532895-assessment-and-plan-0-0.pdf")</f>
        <v>t5/532895-assessment-and-plan-0-0.pdf</v>
      </c>
      <c r="E2068">
        <v>119960</v>
      </c>
      <c r="F2068">
        <v>532895</v>
      </c>
      <c r="G2068" t="s">
        <v>9</v>
      </c>
      <c r="H2068" t="s">
        <v>195</v>
      </c>
      <c r="I2068" t="s">
        <v>534</v>
      </c>
    </row>
    <row r="2069" spans="1:9" x14ac:dyDescent="0.2">
      <c r="A2069" t="s">
        <v>1579</v>
      </c>
      <c r="D2069" t="str">
        <f>HYPERLINK("http://nlpdeep.cs.uic.edu:8080/proofing/gsii/532895-assessment-and-plan-0-0.pdf","gsii/532895-assessment-and-plan-0-0.pdf")</f>
        <v>gsii/532895-assessment-and-plan-0-0.pdf</v>
      </c>
      <c r="E2069">
        <v>119960</v>
      </c>
      <c r="F2069">
        <v>532895</v>
      </c>
      <c r="G2069" t="s">
        <v>9</v>
      </c>
      <c r="H2069" t="s">
        <v>195</v>
      </c>
      <c r="I2069" t="s">
        <v>534</v>
      </c>
    </row>
    <row r="2070" spans="1:9" x14ac:dyDescent="0.2">
      <c r="A2070" t="s">
        <v>1580</v>
      </c>
      <c r="D2070" t="str">
        <f>HYPERLINK("http://nlpdeep.cs.uic.edu:8080/proofing/t5/532895-code-status-0-0.pdf","t5/532895-code-status-0-0.pdf")</f>
        <v>t5/532895-code-status-0-0.pdf</v>
      </c>
      <c r="E2070">
        <v>119960</v>
      </c>
      <c r="F2070">
        <v>532895</v>
      </c>
      <c r="G2070" t="s">
        <v>9</v>
      </c>
      <c r="H2070" t="s">
        <v>201</v>
      </c>
      <c r="I2070" t="s">
        <v>536</v>
      </c>
    </row>
    <row r="2071" spans="1:9" x14ac:dyDescent="0.2">
      <c r="A2071" t="s">
        <v>1580</v>
      </c>
      <c r="D2071" t="str">
        <f>HYPERLINK("http://nlpdeep.cs.uic.edu:8080/proofing/gsii/532895-code-status-0-0.pdf","gsii/532895-code-status-0-0.pdf")</f>
        <v>gsii/532895-code-status-0-0.pdf</v>
      </c>
      <c r="E2071">
        <v>119960</v>
      </c>
      <c r="F2071">
        <v>532895</v>
      </c>
      <c r="G2071" t="s">
        <v>9</v>
      </c>
      <c r="H2071" t="s">
        <v>201</v>
      </c>
      <c r="I2071" t="s">
        <v>536</v>
      </c>
    </row>
    <row r="2072" spans="1:9" x14ac:dyDescent="0.2">
      <c r="A2072" t="s">
        <v>1581</v>
      </c>
      <c r="D2072" t="str">
        <f>HYPERLINK("http://nlpdeep.cs.uic.edu:8080/proofing/t5/532700-critical-care-attending-addendum-0-0.pdf","t5/532700-critical-care-attending-addendum-0-0.pdf")</f>
        <v>t5/532700-critical-care-attending-addendum-0-0.pdf</v>
      </c>
      <c r="E2072">
        <v>119960</v>
      </c>
      <c r="F2072">
        <v>532700</v>
      </c>
      <c r="G2072" t="s">
        <v>9</v>
      </c>
      <c r="H2072" t="s">
        <v>1563</v>
      </c>
      <c r="I2072" t="s">
        <v>1564</v>
      </c>
    </row>
    <row r="2073" spans="1:9" x14ac:dyDescent="0.2">
      <c r="A2073" t="s">
        <v>1581</v>
      </c>
      <c r="D2073" t="str">
        <f>HYPERLINK("http://nlpdeep.cs.uic.edu:8080/proofing/gsii/532700-critical-care-attending-addendum-0-0.pdf","gsii/532700-critical-care-attending-addendum-0-0.pdf")</f>
        <v>gsii/532700-critical-care-attending-addendum-0-0.pdf</v>
      </c>
      <c r="E2073">
        <v>119960</v>
      </c>
      <c r="F2073">
        <v>532700</v>
      </c>
      <c r="G2073" t="s">
        <v>9</v>
      </c>
      <c r="H2073" t="s">
        <v>1563</v>
      </c>
      <c r="I2073" t="s">
        <v>1564</v>
      </c>
    </row>
    <row r="2074" spans="1:9" x14ac:dyDescent="0.2">
      <c r="A2074" t="s">
        <v>1582</v>
      </c>
      <c r="D2074" t="str">
        <f>HYPERLINK("http://nlpdeep.cs.uic.edu:8080/proofing/t5/532700-critical-care-attending-addendum-0-1.pdf","t5/532700-critical-care-attending-addendum-0-1.pdf")</f>
        <v>t5/532700-critical-care-attending-addendum-0-1.pdf</v>
      </c>
      <c r="E2074">
        <v>119960</v>
      </c>
      <c r="F2074">
        <v>532700</v>
      </c>
      <c r="G2074" t="s">
        <v>9</v>
      </c>
      <c r="H2074" t="s">
        <v>1563</v>
      </c>
      <c r="I2074" t="s">
        <v>1566</v>
      </c>
    </row>
    <row r="2075" spans="1:9" x14ac:dyDescent="0.2">
      <c r="A2075" t="s">
        <v>1582</v>
      </c>
      <c r="D2075" t="str">
        <f>HYPERLINK("http://nlpdeep.cs.uic.edu:8080/proofing/gsii/532700-critical-care-attending-addendum-0-1.pdf","gsii/532700-critical-care-attending-addendum-0-1.pdf")</f>
        <v>gsii/532700-critical-care-attending-addendum-0-1.pdf</v>
      </c>
      <c r="E2075">
        <v>119960</v>
      </c>
      <c r="F2075">
        <v>532700</v>
      </c>
      <c r="G2075" t="s">
        <v>9</v>
      </c>
      <c r="H2075" t="s">
        <v>1563</v>
      </c>
      <c r="I2075" t="s">
        <v>1566</v>
      </c>
    </row>
    <row r="2076" spans="1:9" x14ac:dyDescent="0.2">
      <c r="A2076" t="s">
        <v>1583</v>
      </c>
      <c r="D2076" t="str">
        <f>HYPERLINK("http://nlpdeep.cs.uic.edu:8080/proofing/t5/532700-24-hour-events-0-0.pdf","t5/532700-24-hour-events-0-0.pdf")</f>
        <v>t5/532700-24-hour-events-0-0.pdf</v>
      </c>
      <c r="E2076">
        <v>119960</v>
      </c>
      <c r="F2076">
        <v>532700</v>
      </c>
      <c r="G2076" t="s">
        <v>9</v>
      </c>
      <c r="H2076" t="s">
        <v>538</v>
      </c>
      <c r="I2076" t="s">
        <v>1584</v>
      </c>
    </row>
    <row r="2077" spans="1:9" x14ac:dyDescent="0.2">
      <c r="A2077" t="s">
        <v>1583</v>
      </c>
      <c r="D2077" t="str">
        <f>HYPERLINK("http://nlpdeep.cs.uic.edu:8080/proofing/gsii/532700-24-hour-events-0-0.pdf","gsii/532700-24-hour-events-0-0.pdf")</f>
        <v>gsii/532700-24-hour-events-0-0.pdf</v>
      </c>
      <c r="E2077">
        <v>119960</v>
      </c>
      <c r="F2077">
        <v>532700</v>
      </c>
      <c r="G2077" t="s">
        <v>9</v>
      </c>
      <c r="H2077" t="s">
        <v>538</v>
      </c>
      <c r="I2077" t="s">
        <v>1584</v>
      </c>
    </row>
    <row r="2078" spans="1:9" x14ac:dyDescent="0.2">
      <c r="A2078" t="s">
        <v>1585</v>
      </c>
      <c r="D2078" t="str">
        <f>HYPERLINK("http://nlpdeep.cs.uic.edu:8080/proofing/t5/532700-allergies-0-0.pdf","t5/532700-allergies-0-0.pdf")</f>
        <v>t5/532700-allergies-0-0.pdf</v>
      </c>
      <c r="E2078">
        <v>119960</v>
      </c>
      <c r="F2078">
        <v>532700</v>
      </c>
      <c r="G2078" t="s">
        <v>9</v>
      </c>
      <c r="H2078" t="s">
        <v>64</v>
      </c>
      <c r="I2078" t="s">
        <v>517</v>
      </c>
    </row>
    <row r="2079" spans="1:9" x14ac:dyDescent="0.2">
      <c r="A2079" t="s">
        <v>1585</v>
      </c>
      <c r="D2079" t="str">
        <f>HYPERLINK("http://nlpdeep.cs.uic.edu:8080/proofing/gsii/532700-allergies-0-0.pdf","gsii/532700-allergies-0-0.pdf")</f>
        <v>gsii/532700-allergies-0-0.pdf</v>
      </c>
      <c r="E2079">
        <v>119960</v>
      </c>
      <c r="F2079">
        <v>532700</v>
      </c>
      <c r="G2079" t="s">
        <v>9</v>
      </c>
      <c r="H2079" t="s">
        <v>64</v>
      </c>
      <c r="I2079" t="s">
        <v>517</v>
      </c>
    </row>
    <row r="2080" spans="1:9" x14ac:dyDescent="0.2">
      <c r="A2080" t="s">
        <v>1586</v>
      </c>
      <c r="D2080" t="str">
        <f>HYPERLINK("http://nlpdeep.cs.uic.edu:8080/proofing/t5/532700-last-dose-of-antibiotics-0-0.pdf","t5/532700-last-dose-of-antibiotics-0-0.pdf")</f>
        <v>t5/532700-last-dose-of-antibiotics-0-0.pdf</v>
      </c>
      <c r="E2080">
        <v>119960</v>
      </c>
      <c r="F2080">
        <v>532700</v>
      </c>
      <c r="G2080" t="s">
        <v>9</v>
      </c>
      <c r="H2080" t="s">
        <v>235</v>
      </c>
      <c r="I2080" t="s">
        <v>519</v>
      </c>
    </row>
    <row r="2081" spans="1:9" x14ac:dyDescent="0.2">
      <c r="A2081" t="s">
        <v>1586</v>
      </c>
      <c r="D2081" t="str">
        <f>HYPERLINK("http://nlpdeep.cs.uic.edu:8080/proofing/gsii/532700-last-dose-of-antibiotics-0-0.pdf","gsii/532700-last-dose-of-antibiotics-0-0.pdf")</f>
        <v>gsii/532700-last-dose-of-antibiotics-0-0.pdf</v>
      </c>
      <c r="E2081">
        <v>119960</v>
      </c>
      <c r="F2081">
        <v>532700</v>
      </c>
      <c r="G2081" t="s">
        <v>9</v>
      </c>
      <c r="H2081" t="s">
        <v>235</v>
      </c>
      <c r="I2081" t="s">
        <v>519</v>
      </c>
    </row>
    <row r="2082" spans="1:9" x14ac:dyDescent="0.2">
      <c r="A2082" t="s">
        <v>1587</v>
      </c>
      <c r="D2082" t="str">
        <f>HYPERLINK("http://nlpdeep.cs.uic.edu:8080/proofing/t5/532700-other-medications-0-0.pdf","t5/532700-other-medications-0-0.pdf")</f>
        <v>t5/532700-other-medications-0-0.pdf</v>
      </c>
      <c r="E2082">
        <v>119960</v>
      </c>
      <c r="F2082">
        <v>532700</v>
      </c>
      <c r="G2082" t="s">
        <v>9</v>
      </c>
      <c r="H2082" t="s">
        <v>67</v>
      </c>
      <c r="I2082" t="s">
        <v>1588</v>
      </c>
    </row>
    <row r="2083" spans="1:9" x14ac:dyDescent="0.2">
      <c r="A2083" t="s">
        <v>1587</v>
      </c>
      <c r="D2083" t="str">
        <f>HYPERLINK("http://nlpdeep.cs.uic.edu:8080/proofing/gsii/532700-other-medications-0-0.pdf","gsii/532700-other-medications-0-0.pdf")</f>
        <v>gsii/532700-other-medications-0-0.pdf</v>
      </c>
      <c r="E2083">
        <v>119960</v>
      </c>
      <c r="F2083">
        <v>532700</v>
      </c>
      <c r="G2083" t="s">
        <v>9</v>
      </c>
      <c r="H2083" t="s">
        <v>67</v>
      </c>
      <c r="I2083" t="s">
        <v>1588</v>
      </c>
    </row>
    <row r="2084" spans="1:9" x14ac:dyDescent="0.2">
      <c r="A2084" t="s">
        <v>1589</v>
      </c>
      <c r="D2084" t="str">
        <f>HYPERLINK("http://nlpdeep.cs.uic.edu:8080/proofing/t5/532700-past-medical-history-0-0.pdf","t5/532700-past-medical-history-0-0.pdf")</f>
        <v>t5/532700-past-medical-history-0-0.pdf</v>
      </c>
      <c r="E2084">
        <v>119960</v>
      </c>
      <c r="F2084">
        <v>532700</v>
      </c>
      <c r="G2084" t="s">
        <v>9</v>
      </c>
      <c r="H2084" t="s">
        <v>76</v>
      </c>
      <c r="I2084" t="s">
        <v>1590</v>
      </c>
    </row>
    <row r="2085" spans="1:9" x14ac:dyDescent="0.2">
      <c r="A2085" t="s">
        <v>1589</v>
      </c>
      <c r="D2085" t="str">
        <f>HYPERLINK("http://nlpdeep.cs.uic.edu:8080/proofing/gsii/532700-past-medical-history-0-0.pdf","gsii/532700-past-medical-history-0-0.pdf")</f>
        <v>gsii/532700-past-medical-history-0-0.pdf</v>
      </c>
      <c r="E2085">
        <v>119960</v>
      </c>
      <c r="F2085">
        <v>532700</v>
      </c>
      <c r="G2085" t="s">
        <v>9</v>
      </c>
      <c r="H2085" t="s">
        <v>76</v>
      </c>
      <c r="I2085" t="s">
        <v>1590</v>
      </c>
    </row>
    <row r="2086" spans="1:9" x14ac:dyDescent="0.2">
      <c r="A2086" t="s">
        <v>1591</v>
      </c>
      <c r="D2086" t="str">
        <f>HYPERLINK("http://nlpdeep.cs.uic.edu:8080/proofing/t5/532700-flowsheet-data-vitals-0-0.pdf","t5/532700-flowsheet-data-vitals-0-0.pdf")</f>
        <v>t5/532700-flowsheet-data-vitals-0-0.pdf</v>
      </c>
      <c r="E2086">
        <v>119960</v>
      </c>
      <c r="F2086">
        <v>532700</v>
      </c>
      <c r="G2086" t="s">
        <v>9</v>
      </c>
      <c r="H2086" t="s">
        <v>135</v>
      </c>
      <c r="I2086" t="s">
        <v>1592</v>
      </c>
    </row>
    <row r="2087" spans="1:9" x14ac:dyDescent="0.2">
      <c r="A2087" t="s">
        <v>1591</v>
      </c>
      <c r="D2087" t="str">
        <f>HYPERLINK("http://nlpdeep.cs.uic.edu:8080/proofing/gsii/532700-flowsheet-data-vitals-0-0.pdf","gsii/532700-flowsheet-data-vitals-0-0.pdf")</f>
        <v>gsii/532700-flowsheet-data-vitals-0-0.pdf</v>
      </c>
      <c r="E2087">
        <v>119960</v>
      </c>
      <c r="F2087">
        <v>532700</v>
      </c>
      <c r="G2087" t="s">
        <v>9</v>
      </c>
      <c r="H2087" t="s">
        <v>135</v>
      </c>
      <c r="I2087" t="s">
        <v>1592</v>
      </c>
    </row>
    <row r="2088" spans="1:9" x14ac:dyDescent="0.2">
      <c r="A2088" t="s">
        <v>1593</v>
      </c>
      <c r="D2088" t="str">
        <f>HYPERLINK("http://nlpdeep.cs.uic.edu:8080/proofing/t5/532700-physical-examination-0-0.pdf","t5/532700-physical-examination-0-0.pdf")</f>
        <v>t5/532700-physical-examination-0-0.pdf</v>
      </c>
      <c r="E2088">
        <v>119960</v>
      </c>
      <c r="F2088">
        <v>532700</v>
      </c>
      <c r="G2088" t="s">
        <v>9</v>
      </c>
      <c r="H2088" t="s">
        <v>138</v>
      </c>
      <c r="I2088" t="s">
        <v>1594</v>
      </c>
    </row>
    <row r="2089" spans="1:9" x14ac:dyDescent="0.2">
      <c r="A2089" t="s">
        <v>1593</v>
      </c>
      <c r="D2089" t="str">
        <f>HYPERLINK("http://nlpdeep.cs.uic.edu:8080/proofing/gsii/532700-physical-examination-0-0.pdf","gsii/532700-physical-examination-0-0.pdf")</f>
        <v>gsii/532700-physical-examination-0-0.pdf</v>
      </c>
      <c r="E2089">
        <v>119960</v>
      </c>
      <c r="F2089">
        <v>532700</v>
      </c>
      <c r="G2089" t="s">
        <v>9</v>
      </c>
      <c r="H2089" t="s">
        <v>138</v>
      </c>
      <c r="I2089" t="s">
        <v>1594</v>
      </c>
    </row>
    <row r="2090" spans="1:9" x14ac:dyDescent="0.2">
      <c r="A2090" t="s">
        <v>1595</v>
      </c>
      <c r="D2090" t="str">
        <f>HYPERLINK("http://nlpdeep.cs.uic.edu:8080/proofing/t5/532700-assessment-and-plan-0-0.pdf","t5/532700-assessment-and-plan-0-0.pdf")</f>
        <v>t5/532700-assessment-and-plan-0-0.pdf</v>
      </c>
      <c r="E2090">
        <v>119960</v>
      </c>
      <c r="F2090">
        <v>532700</v>
      </c>
      <c r="G2090" t="s">
        <v>9</v>
      </c>
      <c r="H2090" t="s">
        <v>195</v>
      </c>
      <c r="I2090" t="s">
        <v>534</v>
      </c>
    </row>
    <row r="2091" spans="1:9" x14ac:dyDescent="0.2">
      <c r="A2091" t="s">
        <v>1595</v>
      </c>
      <c r="D2091" t="str">
        <f>HYPERLINK("http://nlpdeep.cs.uic.edu:8080/proofing/gsii/532700-assessment-and-plan-0-0.pdf","gsii/532700-assessment-and-plan-0-0.pdf")</f>
        <v>gsii/532700-assessment-and-plan-0-0.pdf</v>
      </c>
      <c r="E2091">
        <v>119960</v>
      </c>
      <c r="F2091">
        <v>532700</v>
      </c>
      <c r="G2091" t="s">
        <v>9</v>
      </c>
      <c r="H2091" t="s">
        <v>195</v>
      </c>
      <c r="I2091" t="s">
        <v>534</v>
      </c>
    </row>
    <row r="2092" spans="1:9" x14ac:dyDescent="0.2">
      <c r="A2092" t="s">
        <v>1596</v>
      </c>
      <c r="D2092" t="str">
        <f>HYPERLINK("http://nlpdeep.cs.uic.edu:8080/proofing/t5/532700-code-status-0-0.pdf","t5/532700-code-status-0-0.pdf")</f>
        <v>t5/532700-code-status-0-0.pdf</v>
      </c>
      <c r="E2092">
        <v>119960</v>
      </c>
      <c r="F2092">
        <v>532700</v>
      </c>
      <c r="G2092" t="s">
        <v>9</v>
      </c>
      <c r="H2092" t="s">
        <v>201</v>
      </c>
      <c r="I2092" t="s">
        <v>536</v>
      </c>
    </row>
    <row r="2093" spans="1:9" x14ac:dyDescent="0.2">
      <c r="A2093" t="s">
        <v>1596</v>
      </c>
      <c r="D2093" t="str">
        <f>HYPERLINK("http://nlpdeep.cs.uic.edu:8080/proofing/gsii/532700-code-status-0-0.pdf","gsii/532700-code-status-0-0.pdf")</f>
        <v>gsii/532700-code-status-0-0.pdf</v>
      </c>
      <c r="E2093">
        <v>119960</v>
      </c>
      <c r="F2093">
        <v>532700</v>
      </c>
      <c r="G2093" t="s">
        <v>9</v>
      </c>
      <c r="H2093" t="s">
        <v>201</v>
      </c>
      <c r="I2093" t="s">
        <v>536</v>
      </c>
    </row>
    <row r="2094" spans="1:9" x14ac:dyDescent="0.2">
      <c r="A2094" t="s">
        <v>1597</v>
      </c>
      <c r="D2094" t="str">
        <f>HYPERLINK("http://nlpdeep.cs.uic.edu:8080/proofing/t5/532700-disposition-0-0.pdf","t5/532700-disposition-0-0.pdf")</f>
        <v>t5/532700-disposition-0-0.pdf</v>
      </c>
      <c r="E2094">
        <v>119960</v>
      </c>
      <c r="F2094">
        <v>532700</v>
      </c>
      <c r="G2094" t="s">
        <v>9</v>
      </c>
      <c r="H2094" t="s">
        <v>204</v>
      </c>
      <c r="I2094" t="s">
        <v>1598</v>
      </c>
    </row>
    <row r="2095" spans="1:9" x14ac:dyDescent="0.2">
      <c r="A2095" t="s">
        <v>1597</v>
      </c>
      <c r="D2095" t="str">
        <f>HYPERLINK("http://nlpdeep.cs.uic.edu:8080/proofing/gsii/532700-disposition-0-0.pdf","gsii/532700-disposition-0-0.pdf")</f>
        <v>gsii/532700-disposition-0-0.pdf</v>
      </c>
      <c r="E2095">
        <v>119960</v>
      </c>
      <c r="F2095">
        <v>532700</v>
      </c>
      <c r="G2095" t="s">
        <v>9</v>
      </c>
      <c r="H2095" t="s">
        <v>204</v>
      </c>
      <c r="I2095" t="s">
        <v>1598</v>
      </c>
    </row>
    <row r="2096" spans="1:9" x14ac:dyDescent="0.2">
      <c r="A2096" t="s">
        <v>1599</v>
      </c>
      <c r="D2096" t="str">
        <f>HYPERLINK("http://nlpdeep.cs.uic.edu:8080/proofing/t5/532407-chief-complaint-0-0.pdf","t5/532407-chief-complaint-0-0.pdf")</f>
        <v>t5/532407-chief-complaint-0-0.pdf</v>
      </c>
      <c r="E2096">
        <v>119960</v>
      </c>
      <c r="F2096">
        <v>532407</v>
      </c>
      <c r="G2096" t="s">
        <v>9</v>
      </c>
      <c r="H2096" t="s">
        <v>10</v>
      </c>
      <c r="I2096" t="s">
        <v>11</v>
      </c>
    </row>
    <row r="2097" spans="1:9" x14ac:dyDescent="0.2">
      <c r="A2097" t="s">
        <v>1599</v>
      </c>
      <c r="D2097" t="str">
        <f>HYPERLINK("http://nlpdeep.cs.uic.edu:8080/proofing/gsii/532407-chief-complaint-0-0.pdf","gsii/532407-chief-complaint-0-0.pdf")</f>
        <v>gsii/532407-chief-complaint-0-0.pdf</v>
      </c>
      <c r="E2097">
        <v>119960</v>
      </c>
      <c r="F2097">
        <v>532407</v>
      </c>
      <c r="G2097" t="s">
        <v>9</v>
      </c>
      <c r="H2097" t="s">
        <v>10</v>
      </c>
      <c r="I2097" t="s">
        <v>11</v>
      </c>
    </row>
    <row r="2098" spans="1:9" x14ac:dyDescent="0.2">
      <c r="A2098" t="s">
        <v>1600</v>
      </c>
      <c r="D2098" t="str">
        <f>HYPERLINK("http://nlpdeep.cs.uic.edu:8080/proofing/t5/532407-history-of-present-illness-0-0.pdf","t5/532407-history-of-present-illness-0-0.pdf")</f>
        <v>t5/532407-history-of-present-illness-0-0.pdf</v>
      </c>
      <c r="E2098">
        <v>119960</v>
      </c>
      <c r="F2098">
        <v>532407</v>
      </c>
      <c r="G2098" t="s">
        <v>9</v>
      </c>
      <c r="H2098" t="s">
        <v>13</v>
      </c>
      <c r="I2098" t="s">
        <v>14</v>
      </c>
    </row>
    <row r="2099" spans="1:9" x14ac:dyDescent="0.2">
      <c r="A2099" t="s">
        <v>1600</v>
      </c>
      <c r="D2099" t="str">
        <f>HYPERLINK("http://nlpdeep.cs.uic.edu:8080/proofing/gsii/532407-history-of-present-illness-0-0.pdf","gsii/532407-history-of-present-illness-0-0.pdf")</f>
        <v>gsii/532407-history-of-present-illness-0-0.pdf</v>
      </c>
      <c r="E2099">
        <v>119960</v>
      </c>
      <c r="F2099">
        <v>532407</v>
      </c>
      <c r="G2099" t="s">
        <v>9</v>
      </c>
      <c r="H2099" t="s">
        <v>13</v>
      </c>
      <c r="I2099" t="s">
        <v>14</v>
      </c>
    </row>
    <row r="2100" spans="1:9" x14ac:dyDescent="0.2">
      <c r="A2100" t="s">
        <v>1601</v>
      </c>
      <c r="D2100" t="str">
        <f>HYPERLINK("http://nlpdeep.cs.uic.edu:8080/proofing/t5/532407-history-of-present-illness-0-1.pdf","t5/532407-history-of-present-illness-0-1.pdf")</f>
        <v>t5/532407-history-of-present-illness-0-1.pdf</v>
      </c>
      <c r="E2100">
        <v>119960</v>
      </c>
      <c r="F2100">
        <v>532407</v>
      </c>
      <c r="G2100" t="s">
        <v>9</v>
      </c>
      <c r="H2100" t="s">
        <v>13</v>
      </c>
      <c r="I2100" t="s">
        <v>16</v>
      </c>
    </row>
    <row r="2101" spans="1:9" x14ac:dyDescent="0.2">
      <c r="A2101" t="s">
        <v>1601</v>
      </c>
      <c r="D2101" t="str">
        <f>HYPERLINK("http://nlpdeep.cs.uic.edu:8080/proofing/gsii/532407-history-of-present-illness-0-1.pdf","gsii/532407-history-of-present-illness-0-1.pdf")</f>
        <v>gsii/532407-history-of-present-illness-0-1.pdf</v>
      </c>
      <c r="E2101">
        <v>119960</v>
      </c>
      <c r="F2101">
        <v>532407</v>
      </c>
      <c r="G2101" t="s">
        <v>9</v>
      </c>
      <c r="H2101" t="s">
        <v>13</v>
      </c>
      <c r="I2101" t="s">
        <v>16</v>
      </c>
    </row>
    <row r="2102" spans="1:9" x14ac:dyDescent="0.2">
      <c r="A2102" t="s">
        <v>1602</v>
      </c>
      <c r="D2102" t="str">
        <f>HYPERLINK("http://nlpdeep.cs.uic.edu:8080/proofing/t5/532407-history-of-present-illness-0-2.pdf","t5/532407-history-of-present-illness-0-2.pdf")</f>
        <v>t5/532407-history-of-present-illness-0-2.pdf</v>
      </c>
      <c r="E2102">
        <v>119960</v>
      </c>
      <c r="F2102">
        <v>532407</v>
      </c>
      <c r="G2102" t="s">
        <v>9</v>
      </c>
      <c r="H2102" t="s">
        <v>13</v>
      </c>
      <c r="I2102" t="s">
        <v>18</v>
      </c>
    </row>
    <row r="2103" spans="1:9" x14ac:dyDescent="0.2">
      <c r="A2103" t="s">
        <v>1602</v>
      </c>
      <c r="D2103" t="str">
        <f>HYPERLINK("http://nlpdeep.cs.uic.edu:8080/proofing/gsii/532407-history-of-present-illness-0-2.pdf","gsii/532407-history-of-present-illness-0-2.pdf")</f>
        <v>gsii/532407-history-of-present-illness-0-2.pdf</v>
      </c>
      <c r="E2103">
        <v>119960</v>
      </c>
      <c r="F2103">
        <v>532407</v>
      </c>
      <c r="G2103" t="s">
        <v>9</v>
      </c>
      <c r="H2103" t="s">
        <v>13</v>
      </c>
      <c r="I2103" t="s">
        <v>18</v>
      </c>
    </row>
    <row r="2104" spans="1:9" x14ac:dyDescent="0.2">
      <c r="A2104" t="s">
        <v>1603</v>
      </c>
      <c r="D2104" t="str">
        <f>HYPERLINK("http://nlpdeep.cs.uic.edu:8080/proofing/t5/532407-history-of-present-illness-0-3.pdf","t5/532407-history-of-present-illness-0-3.pdf")</f>
        <v>t5/532407-history-of-present-illness-0-3.pdf</v>
      </c>
      <c r="E2104">
        <v>119960</v>
      </c>
      <c r="F2104">
        <v>532407</v>
      </c>
      <c r="G2104" t="s">
        <v>9</v>
      </c>
      <c r="H2104" t="s">
        <v>13</v>
      </c>
      <c r="I2104" t="s">
        <v>20</v>
      </c>
    </row>
    <row r="2105" spans="1:9" x14ac:dyDescent="0.2">
      <c r="A2105" t="s">
        <v>1603</v>
      </c>
      <c r="D2105" t="str">
        <f>HYPERLINK("http://nlpdeep.cs.uic.edu:8080/proofing/gsii/532407-history-of-present-illness-0-3.pdf","gsii/532407-history-of-present-illness-0-3.pdf")</f>
        <v>gsii/532407-history-of-present-illness-0-3.pdf</v>
      </c>
      <c r="E2105">
        <v>119960</v>
      </c>
      <c r="F2105">
        <v>532407</v>
      </c>
      <c r="G2105" t="s">
        <v>9</v>
      </c>
      <c r="H2105" t="s">
        <v>13</v>
      </c>
      <c r="I2105" t="s">
        <v>20</v>
      </c>
    </row>
    <row r="2106" spans="1:9" x14ac:dyDescent="0.2">
      <c r="A2106" t="s">
        <v>1604</v>
      </c>
      <c r="D2106" t="str">
        <f>HYPERLINK("http://nlpdeep.cs.uic.edu:8080/proofing/t5/532407-history-of-present-illness-0-4.pdf","t5/532407-history-of-present-illness-0-4.pdf")</f>
        <v>t5/532407-history-of-present-illness-0-4.pdf</v>
      </c>
      <c r="E2106">
        <v>119960</v>
      </c>
      <c r="F2106">
        <v>532407</v>
      </c>
      <c r="G2106" t="s">
        <v>9</v>
      </c>
      <c r="H2106" t="s">
        <v>13</v>
      </c>
      <c r="I2106" t="s">
        <v>22</v>
      </c>
    </row>
    <row r="2107" spans="1:9" x14ac:dyDescent="0.2">
      <c r="A2107" t="s">
        <v>1604</v>
      </c>
      <c r="D2107" t="str">
        <f>HYPERLINK("http://nlpdeep.cs.uic.edu:8080/proofing/gsii/532407-history-of-present-illness-0-4.pdf","gsii/532407-history-of-present-illness-0-4.pdf")</f>
        <v>gsii/532407-history-of-present-illness-0-4.pdf</v>
      </c>
      <c r="E2107">
        <v>119960</v>
      </c>
      <c r="F2107">
        <v>532407</v>
      </c>
      <c r="G2107" t="s">
        <v>9</v>
      </c>
      <c r="H2107" t="s">
        <v>13</v>
      </c>
      <c r="I2107" t="s">
        <v>22</v>
      </c>
    </row>
    <row r="2108" spans="1:9" x14ac:dyDescent="0.2">
      <c r="A2108" t="s">
        <v>1605</v>
      </c>
      <c r="D2108" t="str">
        <f>HYPERLINK("http://nlpdeep.cs.uic.edu:8080/proofing/t5/532407-history-of-present-illness-0-5.pdf","t5/532407-history-of-present-illness-0-5.pdf")</f>
        <v>t5/532407-history-of-present-illness-0-5.pdf</v>
      </c>
      <c r="E2108">
        <v>119960</v>
      </c>
      <c r="F2108">
        <v>532407</v>
      </c>
      <c r="G2108" t="s">
        <v>9</v>
      </c>
      <c r="H2108" t="s">
        <v>13</v>
      </c>
      <c r="I2108" t="s">
        <v>24</v>
      </c>
    </row>
    <row r="2109" spans="1:9" x14ac:dyDescent="0.2">
      <c r="A2109" t="s">
        <v>1605</v>
      </c>
      <c r="D2109" t="str">
        <f>HYPERLINK("http://nlpdeep.cs.uic.edu:8080/proofing/gsii/532407-history-of-present-illness-0-5.pdf","gsii/532407-history-of-present-illness-0-5.pdf")</f>
        <v>gsii/532407-history-of-present-illness-0-5.pdf</v>
      </c>
      <c r="E2109">
        <v>119960</v>
      </c>
      <c r="F2109">
        <v>532407</v>
      </c>
      <c r="G2109" t="s">
        <v>9</v>
      </c>
      <c r="H2109" t="s">
        <v>13</v>
      </c>
      <c r="I2109" t="s">
        <v>24</v>
      </c>
    </row>
    <row r="2110" spans="1:9" x14ac:dyDescent="0.2">
      <c r="A2110" t="s">
        <v>1606</v>
      </c>
      <c r="D2110" t="str">
        <f>HYPERLINK("http://nlpdeep.cs.uic.edu:8080/proofing/t5/532407-history-of-present-illness-0-6.pdf","t5/532407-history-of-present-illness-0-6.pdf")</f>
        <v>t5/532407-history-of-present-illness-0-6.pdf</v>
      </c>
      <c r="E2110">
        <v>119960</v>
      </c>
      <c r="F2110">
        <v>532407</v>
      </c>
      <c r="G2110" t="s">
        <v>9</v>
      </c>
      <c r="H2110" t="s">
        <v>13</v>
      </c>
      <c r="I2110" t="s">
        <v>26</v>
      </c>
    </row>
    <row r="2111" spans="1:9" x14ac:dyDescent="0.2">
      <c r="A2111" t="s">
        <v>1606</v>
      </c>
      <c r="D2111" t="str">
        <f>HYPERLINK("http://nlpdeep.cs.uic.edu:8080/proofing/gsii/532407-history-of-present-illness-0-6.pdf","gsii/532407-history-of-present-illness-0-6.pdf")</f>
        <v>gsii/532407-history-of-present-illness-0-6.pdf</v>
      </c>
      <c r="E2111">
        <v>119960</v>
      </c>
      <c r="F2111">
        <v>532407</v>
      </c>
      <c r="G2111" t="s">
        <v>9</v>
      </c>
      <c r="H2111" t="s">
        <v>13</v>
      </c>
      <c r="I2111" t="s">
        <v>26</v>
      </c>
    </row>
    <row r="2112" spans="1:9" x14ac:dyDescent="0.2">
      <c r="A2112" t="s">
        <v>1607</v>
      </c>
      <c r="D2112" t="str">
        <f>HYPERLINK("http://nlpdeep.cs.uic.edu:8080/proofing/t5/532407-history-of-present-illness-1-0.pdf","t5/532407-history-of-present-illness-1-0.pdf")</f>
        <v>t5/532407-history-of-present-illness-1-0.pdf</v>
      </c>
      <c r="E2112">
        <v>119960</v>
      </c>
      <c r="F2112">
        <v>532407</v>
      </c>
      <c r="G2112" t="s">
        <v>9</v>
      </c>
      <c r="H2112" t="s">
        <v>13</v>
      </c>
      <c r="I2112" t="s">
        <v>28</v>
      </c>
    </row>
    <row r="2113" spans="1:9" x14ac:dyDescent="0.2">
      <c r="A2113" t="s">
        <v>1607</v>
      </c>
      <c r="D2113" t="str">
        <f>HYPERLINK("http://nlpdeep.cs.uic.edu:8080/proofing/gsii/532407-history-of-present-illness-1-0.pdf","gsii/532407-history-of-present-illness-1-0.pdf")</f>
        <v>gsii/532407-history-of-present-illness-1-0.pdf</v>
      </c>
      <c r="E2113">
        <v>119960</v>
      </c>
      <c r="F2113">
        <v>532407</v>
      </c>
      <c r="G2113" t="s">
        <v>9</v>
      </c>
      <c r="H2113" t="s">
        <v>13</v>
      </c>
      <c r="I2113" t="s">
        <v>28</v>
      </c>
    </row>
    <row r="2114" spans="1:9" x14ac:dyDescent="0.2">
      <c r="A2114" t="s">
        <v>1608</v>
      </c>
      <c r="D2114" t="str">
        <f>HYPERLINK("http://nlpdeep.cs.uic.edu:8080/proofing/t5/532407-history-of-present-illness-1-1.pdf","t5/532407-history-of-present-illness-1-1.pdf")</f>
        <v>t5/532407-history-of-present-illness-1-1.pdf</v>
      </c>
      <c r="E2114">
        <v>119960</v>
      </c>
      <c r="F2114">
        <v>532407</v>
      </c>
      <c r="G2114" t="s">
        <v>9</v>
      </c>
      <c r="H2114" t="s">
        <v>13</v>
      </c>
      <c r="I2114" t="s">
        <v>30</v>
      </c>
    </row>
    <row r="2115" spans="1:9" x14ac:dyDescent="0.2">
      <c r="A2115" t="s">
        <v>1608</v>
      </c>
      <c r="D2115" t="str">
        <f>HYPERLINK("http://nlpdeep.cs.uic.edu:8080/proofing/gsii/532407-history-of-present-illness-1-1.pdf","gsii/532407-history-of-present-illness-1-1.pdf")</f>
        <v>gsii/532407-history-of-present-illness-1-1.pdf</v>
      </c>
      <c r="E2115">
        <v>119960</v>
      </c>
      <c r="F2115">
        <v>532407</v>
      </c>
      <c r="G2115" t="s">
        <v>9</v>
      </c>
      <c r="H2115" t="s">
        <v>13</v>
      </c>
      <c r="I2115" t="s">
        <v>30</v>
      </c>
    </row>
    <row r="2116" spans="1:9" x14ac:dyDescent="0.2">
      <c r="A2116" t="s">
        <v>1609</v>
      </c>
      <c r="D2116" t="str">
        <f>HYPERLINK("http://nlpdeep.cs.uic.edu:8080/proofing/t5/532407-history-of-present-illness-1-2.pdf","t5/532407-history-of-present-illness-1-2.pdf")</f>
        <v>t5/532407-history-of-present-illness-1-2.pdf</v>
      </c>
      <c r="E2116">
        <v>119960</v>
      </c>
      <c r="F2116">
        <v>532407</v>
      </c>
      <c r="G2116" t="s">
        <v>9</v>
      </c>
      <c r="H2116" t="s">
        <v>13</v>
      </c>
      <c r="I2116" t="s">
        <v>32</v>
      </c>
    </row>
    <row r="2117" spans="1:9" x14ac:dyDescent="0.2">
      <c r="A2117" t="s">
        <v>1609</v>
      </c>
      <c r="D2117" t="str">
        <f>HYPERLINK("http://nlpdeep.cs.uic.edu:8080/proofing/gsii/532407-history-of-present-illness-1-2.pdf","gsii/532407-history-of-present-illness-1-2.pdf")</f>
        <v>gsii/532407-history-of-present-illness-1-2.pdf</v>
      </c>
      <c r="E2117">
        <v>119960</v>
      </c>
      <c r="F2117">
        <v>532407</v>
      </c>
      <c r="G2117" t="s">
        <v>9</v>
      </c>
      <c r="H2117" t="s">
        <v>13</v>
      </c>
      <c r="I2117" t="s">
        <v>32</v>
      </c>
    </row>
    <row r="2118" spans="1:9" x14ac:dyDescent="0.2">
      <c r="A2118" t="s">
        <v>1610</v>
      </c>
      <c r="D2118" t="str">
        <f>HYPERLINK("http://nlpdeep.cs.uic.edu:8080/proofing/t5/532407-history-of-present-illness-1-3.pdf","t5/532407-history-of-present-illness-1-3.pdf")</f>
        <v>t5/532407-history-of-present-illness-1-3.pdf</v>
      </c>
      <c r="E2118">
        <v>119960</v>
      </c>
      <c r="F2118">
        <v>532407</v>
      </c>
      <c r="G2118" t="s">
        <v>9</v>
      </c>
      <c r="H2118" t="s">
        <v>13</v>
      </c>
      <c r="I2118" t="s">
        <v>34</v>
      </c>
    </row>
    <row r="2119" spans="1:9" x14ac:dyDescent="0.2">
      <c r="A2119" t="s">
        <v>1610</v>
      </c>
      <c r="D2119" t="str">
        <f>HYPERLINK("http://nlpdeep.cs.uic.edu:8080/proofing/gsii/532407-history-of-present-illness-1-3.pdf","gsii/532407-history-of-present-illness-1-3.pdf")</f>
        <v>gsii/532407-history-of-present-illness-1-3.pdf</v>
      </c>
      <c r="E2119">
        <v>119960</v>
      </c>
      <c r="F2119">
        <v>532407</v>
      </c>
      <c r="G2119" t="s">
        <v>9</v>
      </c>
      <c r="H2119" t="s">
        <v>13</v>
      </c>
      <c r="I2119" t="s">
        <v>34</v>
      </c>
    </row>
    <row r="2120" spans="1:9" x14ac:dyDescent="0.2">
      <c r="A2120" t="s">
        <v>1611</v>
      </c>
      <c r="D2120" t="str">
        <f>HYPERLINK("http://nlpdeep.cs.uic.edu:8080/proofing/t5/532407-history-of-present-illness-1-4.pdf","t5/532407-history-of-present-illness-1-4.pdf")</f>
        <v>t5/532407-history-of-present-illness-1-4.pdf</v>
      </c>
      <c r="E2120">
        <v>119960</v>
      </c>
      <c r="F2120">
        <v>532407</v>
      </c>
      <c r="G2120" t="s">
        <v>9</v>
      </c>
      <c r="H2120" t="s">
        <v>13</v>
      </c>
      <c r="I2120" t="s">
        <v>36</v>
      </c>
    </row>
    <row r="2121" spans="1:9" x14ac:dyDescent="0.2">
      <c r="A2121" t="s">
        <v>1611</v>
      </c>
      <c r="D2121" t="str">
        <f>HYPERLINK("http://nlpdeep.cs.uic.edu:8080/proofing/gsii/532407-history-of-present-illness-1-4.pdf","gsii/532407-history-of-present-illness-1-4.pdf")</f>
        <v>gsii/532407-history-of-present-illness-1-4.pdf</v>
      </c>
      <c r="E2121">
        <v>119960</v>
      </c>
      <c r="F2121">
        <v>532407</v>
      </c>
      <c r="G2121" t="s">
        <v>9</v>
      </c>
      <c r="H2121" t="s">
        <v>13</v>
      </c>
      <c r="I2121" t="s">
        <v>36</v>
      </c>
    </row>
    <row r="2122" spans="1:9" x14ac:dyDescent="0.2">
      <c r="A2122" t="s">
        <v>1612</v>
      </c>
      <c r="D2122" t="str">
        <f>HYPERLINK("http://nlpdeep.cs.uic.edu:8080/proofing/t5/532407-history-of-present-illness-2-0.pdf","t5/532407-history-of-present-illness-2-0.pdf")</f>
        <v>t5/532407-history-of-present-illness-2-0.pdf</v>
      </c>
      <c r="E2122">
        <v>119960</v>
      </c>
      <c r="F2122">
        <v>532407</v>
      </c>
      <c r="G2122" t="s">
        <v>9</v>
      </c>
      <c r="H2122" t="s">
        <v>13</v>
      </c>
      <c r="I2122" t="s">
        <v>38</v>
      </c>
    </row>
    <row r="2123" spans="1:9" x14ac:dyDescent="0.2">
      <c r="A2123" t="s">
        <v>1612</v>
      </c>
      <c r="D2123" t="str">
        <f>HYPERLINK("http://nlpdeep.cs.uic.edu:8080/proofing/gsii/532407-history-of-present-illness-2-0.pdf","gsii/532407-history-of-present-illness-2-0.pdf")</f>
        <v>gsii/532407-history-of-present-illness-2-0.pdf</v>
      </c>
      <c r="E2123">
        <v>119960</v>
      </c>
      <c r="F2123">
        <v>532407</v>
      </c>
      <c r="G2123" t="s">
        <v>9</v>
      </c>
      <c r="H2123" t="s">
        <v>13</v>
      </c>
      <c r="I2123" t="s">
        <v>38</v>
      </c>
    </row>
    <row r="2124" spans="1:9" x14ac:dyDescent="0.2">
      <c r="A2124" t="s">
        <v>1613</v>
      </c>
      <c r="D2124" t="str">
        <f>HYPERLINK("http://nlpdeep.cs.uic.edu:8080/proofing/t5/532407-history-of-present-illness-2-1.pdf","t5/532407-history-of-present-illness-2-1.pdf")</f>
        <v>t5/532407-history-of-present-illness-2-1.pdf</v>
      </c>
      <c r="E2124">
        <v>119960</v>
      </c>
      <c r="F2124">
        <v>532407</v>
      </c>
      <c r="G2124" t="s">
        <v>9</v>
      </c>
      <c r="H2124" t="s">
        <v>13</v>
      </c>
      <c r="I2124" t="s">
        <v>40</v>
      </c>
    </row>
    <row r="2125" spans="1:9" x14ac:dyDescent="0.2">
      <c r="A2125" t="s">
        <v>1613</v>
      </c>
      <c r="D2125" t="str">
        <f>HYPERLINK("http://nlpdeep.cs.uic.edu:8080/proofing/gsii/532407-history-of-present-illness-2-1.pdf","gsii/532407-history-of-present-illness-2-1.pdf")</f>
        <v>gsii/532407-history-of-present-illness-2-1.pdf</v>
      </c>
      <c r="E2125">
        <v>119960</v>
      </c>
      <c r="F2125">
        <v>532407</v>
      </c>
      <c r="G2125" t="s">
        <v>9</v>
      </c>
      <c r="H2125" t="s">
        <v>13</v>
      </c>
      <c r="I2125" t="s">
        <v>40</v>
      </c>
    </row>
    <row r="2126" spans="1:9" x14ac:dyDescent="0.2">
      <c r="A2126" t="s">
        <v>1614</v>
      </c>
      <c r="D2126" t="str">
        <f>HYPERLINK("http://nlpdeep.cs.uic.edu:8080/proofing/t5/532407-history-of-present-illness-2-2.pdf","t5/532407-history-of-present-illness-2-2.pdf")</f>
        <v>t5/532407-history-of-present-illness-2-2.pdf</v>
      </c>
      <c r="E2126">
        <v>119960</v>
      </c>
      <c r="F2126">
        <v>532407</v>
      </c>
      <c r="G2126" t="s">
        <v>9</v>
      </c>
      <c r="H2126" t="s">
        <v>13</v>
      </c>
      <c r="I2126" t="s">
        <v>42</v>
      </c>
    </row>
    <row r="2127" spans="1:9" x14ac:dyDescent="0.2">
      <c r="A2127" t="s">
        <v>1614</v>
      </c>
      <c r="D2127" t="str">
        <f>HYPERLINK("http://nlpdeep.cs.uic.edu:8080/proofing/gsii/532407-history-of-present-illness-2-2.pdf","gsii/532407-history-of-present-illness-2-2.pdf")</f>
        <v>gsii/532407-history-of-present-illness-2-2.pdf</v>
      </c>
      <c r="E2127">
        <v>119960</v>
      </c>
      <c r="F2127">
        <v>532407</v>
      </c>
      <c r="G2127" t="s">
        <v>9</v>
      </c>
      <c r="H2127" t="s">
        <v>13</v>
      </c>
      <c r="I2127" t="s">
        <v>42</v>
      </c>
    </row>
    <row r="2128" spans="1:9" x14ac:dyDescent="0.2">
      <c r="A2128" t="s">
        <v>1615</v>
      </c>
      <c r="D2128" t="str">
        <f>HYPERLINK("http://nlpdeep.cs.uic.edu:8080/proofing/t5/532407-history-of-present-illness-2-3.pdf","t5/532407-history-of-present-illness-2-3.pdf")</f>
        <v>t5/532407-history-of-present-illness-2-3.pdf</v>
      </c>
      <c r="E2128">
        <v>119960</v>
      </c>
      <c r="F2128">
        <v>532407</v>
      </c>
      <c r="G2128" t="s">
        <v>9</v>
      </c>
      <c r="H2128" t="s">
        <v>13</v>
      </c>
      <c r="I2128" t="s">
        <v>44</v>
      </c>
    </row>
    <row r="2129" spans="1:9" x14ac:dyDescent="0.2">
      <c r="A2129" t="s">
        <v>1615</v>
      </c>
      <c r="D2129" t="str">
        <f>HYPERLINK("http://nlpdeep.cs.uic.edu:8080/proofing/gsii/532407-history-of-present-illness-2-3.pdf","gsii/532407-history-of-present-illness-2-3.pdf")</f>
        <v>gsii/532407-history-of-present-illness-2-3.pdf</v>
      </c>
      <c r="E2129">
        <v>119960</v>
      </c>
      <c r="F2129">
        <v>532407</v>
      </c>
      <c r="G2129" t="s">
        <v>9</v>
      </c>
      <c r="H2129" t="s">
        <v>13</v>
      </c>
      <c r="I2129" t="s">
        <v>44</v>
      </c>
    </row>
    <row r="2130" spans="1:9" x14ac:dyDescent="0.2">
      <c r="A2130" t="s">
        <v>1616</v>
      </c>
      <c r="D2130" t="str">
        <f>HYPERLINK("http://nlpdeep.cs.uic.edu:8080/proofing/t5/532407-history-of-present-illness-2-4.pdf","t5/532407-history-of-present-illness-2-4.pdf")</f>
        <v>t5/532407-history-of-present-illness-2-4.pdf</v>
      </c>
      <c r="E2130">
        <v>119960</v>
      </c>
      <c r="F2130">
        <v>532407</v>
      </c>
      <c r="G2130" t="s">
        <v>9</v>
      </c>
      <c r="H2130" t="s">
        <v>13</v>
      </c>
      <c r="I2130" t="s">
        <v>46</v>
      </c>
    </row>
    <row r="2131" spans="1:9" x14ac:dyDescent="0.2">
      <c r="A2131" t="s">
        <v>1616</v>
      </c>
      <c r="D2131" t="str">
        <f>HYPERLINK("http://nlpdeep.cs.uic.edu:8080/proofing/gsii/532407-history-of-present-illness-2-4.pdf","gsii/532407-history-of-present-illness-2-4.pdf")</f>
        <v>gsii/532407-history-of-present-illness-2-4.pdf</v>
      </c>
      <c r="E2131">
        <v>119960</v>
      </c>
      <c r="F2131">
        <v>532407</v>
      </c>
      <c r="G2131" t="s">
        <v>9</v>
      </c>
      <c r="H2131" t="s">
        <v>13</v>
      </c>
      <c r="I2131" t="s">
        <v>46</v>
      </c>
    </row>
    <row r="2132" spans="1:9" x14ac:dyDescent="0.2">
      <c r="A2132" t="s">
        <v>1617</v>
      </c>
      <c r="D2132" t="str">
        <f>HYPERLINK("http://nlpdeep.cs.uic.edu:8080/proofing/t5/532407-history-of-present-illness-2-5.pdf","t5/532407-history-of-present-illness-2-5.pdf")</f>
        <v>t5/532407-history-of-present-illness-2-5.pdf</v>
      </c>
      <c r="E2132">
        <v>119960</v>
      </c>
      <c r="F2132">
        <v>532407</v>
      </c>
      <c r="G2132" t="s">
        <v>9</v>
      </c>
      <c r="H2132" t="s">
        <v>13</v>
      </c>
      <c r="I2132" t="s">
        <v>48</v>
      </c>
    </row>
    <row r="2133" spans="1:9" x14ac:dyDescent="0.2">
      <c r="A2133" t="s">
        <v>1617</v>
      </c>
      <c r="D2133" t="str">
        <f>HYPERLINK("http://nlpdeep.cs.uic.edu:8080/proofing/gsii/532407-history-of-present-illness-2-5.pdf","gsii/532407-history-of-present-illness-2-5.pdf")</f>
        <v>gsii/532407-history-of-present-illness-2-5.pdf</v>
      </c>
      <c r="E2133">
        <v>119960</v>
      </c>
      <c r="F2133">
        <v>532407</v>
      </c>
      <c r="G2133" t="s">
        <v>9</v>
      </c>
      <c r="H2133" t="s">
        <v>13</v>
      </c>
      <c r="I2133" t="s">
        <v>48</v>
      </c>
    </row>
    <row r="2134" spans="1:9" x14ac:dyDescent="0.2">
      <c r="A2134" t="s">
        <v>1618</v>
      </c>
      <c r="D2134" t="str">
        <f>HYPERLINK("http://nlpdeep.cs.uic.edu:8080/proofing/t5/532407-history-of-present-illness-2-6.pdf","t5/532407-history-of-present-illness-2-6.pdf")</f>
        <v>t5/532407-history-of-present-illness-2-6.pdf</v>
      </c>
      <c r="E2134">
        <v>119960</v>
      </c>
      <c r="F2134">
        <v>532407</v>
      </c>
      <c r="G2134" t="s">
        <v>9</v>
      </c>
      <c r="H2134" t="s">
        <v>13</v>
      </c>
      <c r="I2134" t="s">
        <v>50</v>
      </c>
    </row>
    <row r="2135" spans="1:9" x14ac:dyDescent="0.2">
      <c r="A2135" t="s">
        <v>1618</v>
      </c>
      <c r="D2135" t="str">
        <f>HYPERLINK("http://nlpdeep.cs.uic.edu:8080/proofing/gsii/532407-history-of-present-illness-2-6.pdf","gsii/532407-history-of-present-illness-2-6.pdf")</f>
        <v>gsii/532407-history-of-present-illness-2-6.pdf</v>
      </c>
      <c r="E2135">
        <v>119960</v>
      </c>
      <c r="F2135">
        <v>532407</v>
      </c>
      <c r="G2135" t="s">
        <v>9</v>
      </c>
      <c r="H2135" t="s">
        <v>13</v>
      </c>
      <c r="I2135" t="s">
        <v>50</v>
      </c>
    </row>
    <row r="2136" spans="1:9" x14ac:dyDescent="0.2">
      <c r="A2136" t="s">
        <v>1619</v>
      </c>
      <c r="D2136" t="str">
        <f>HYPERLINK("http://nlpdeep.cs.uic.edu:8080/proofing/t5/532407-history-of-present-illness-2-7.pdf","t5/532407-history-of-present-illness-2-7.pdf")</f>
        <v>t5/532407-history-of-present-illness-2-7.pdf</v>
      </c>
      <c r="E2136">
        <v>119960</v>
      </c>
      <c r="F2136">
        <v>532407</v>
      </c>
      <c r="G2136" t="s">
        <v>9</v>
      </c>
      <c r="H2136" t="s">
        <v>13</v>
      </c>
      <c r="I2136" t="s">
        <v>52</v>
      </c>
    </row>
    <row r="2137" spans="1:9" x14ac:dyDescent="0.2">
      <c r="A2137" t="s">
        <v>1619</v>
      </c>
      <c r="D2137" t="str">
        <f>HYPERLINK("http://nlpdeep.cs.uic.edu:8080/proofing/gsii/532407-history-of-present-illness-2-7.pdf","gsii/532407-history-of-present-illness-2-7.pdf")</f>
        <v>gsii/532407-history-of-present-illness-2-7.pdf</v>
      </c>
      <c r="E2137">
        <v>119960</v>
      </c>
      <c r="F2137">
        <v>532407</v>
      </c>
      <c r="G2137" t="s">
        <v>9</v>
      </c>
      <c r="H2137" t="s">
        <v>13</v>
      </c>
      <c r="I2137" t="s">
        <v>52</v>
      </c>
    </row>
    <row r="2138" spans="1:9" x14ac:dyDescent="0.2">
      <c r="A2138" t="s">
        <v>1620</v>
      </c>
      <c r="D2138" t="str">
        <f>HYPERLINK("http://nlpdeep.cs.uic.edu:8080/proofing/t5/532407-history-of-present-illness-2-8.pdf","t5/532407-history-of-present-illness-2-8.pdf")</f>
        <v>t5/532407-history-of-present-illness-2-8.pdf</v>
      </c>
      <c r="E2138">
        <v>119960</v>
      </c>
      <c r="F2138">
        <v>532407</v>
      </c>
      <c r="G2138" t="s">
        <v>9</v>
      </c>
      <c r="H2138" t="s">
        <v>13</v>
      </c>
      <c r="I2138" t="s">
        <v>54</v>
      </c>
    </row>
    <row r="2139" spans="1:9" x14ac:dyDescent="0.2">
      <c r="A2139" t="s">
        <v>1620</v>
      </c>
      <c r="D2139" t="str">
        <f>HYPERLINK("http://nlpdeep.cs.uic.edu:8080/proofing/gsii/532407-history-of-present-illness-2-8.pdf","gsii/532407-history-of-present-illness-2-8.pdf")</f>
        <v>gsii/532407-history-of-present-illness-2-8.pdf</v>
      </c>
      <c r="E2139">
        <v>119960</v>
      </c>
      <c r="F2139">
        <v>532407</v>
      </c>
      <c r="G2139" t="s">
        <v>9</v>
      </c>
      <c r="H2139" t="s">
        <v>13</v>
      </c>
      <c r="I2139" t="s">
        <v>54</v>
      </c>
    </row>
    <row r="2140" spans="1:9" x14ac:dyDescent="0.2">
      <c r="A2140" t="s">
        <v>1621</v>
      </c>
      <c r="D2140" t="str">
        <f>HYPERLINK("http://nlpdeep.cs.uic.edu:8080/proofing/t5/532407-history-of-present-illness-3-0.pdf","t5/532407-history-of-present-illness-3-0.pdf")</f>
        <v>t5/532407-history-of-present-illness-3-0.pdf</v>
      </c>
      <c r="E2140">
        <v>119960</v>
      </c>
      <c r="F2140">
        <v>532407</v>
      </c>
      <c r="G2140" t="s">
        <v>9</v>
      </c>
      <c r="H2140" t="s">
        <v>13</v>
      </c>
      <c r="I2140" t="s">
        <v>56</v>
      </c>
    </row>
    <row r="2141" spans="1:9" x14ac:dyDescent="0.2">
      <c r="A2141" t="s">
        <v>1621</v>
      </c>
      <c r="D2141" t="str">
        <f>HYPERLINK("http://nlpdeep.cs.uic.edu:8080/proofing/gsii/532407-history-of-present-illness-3-0.pdf","gsii/532407-history-of-present-illness-3-0.pdf")</f>
        <v>gsii/532407-history-of-present-illness-3-0.pdf</v>
      </c>
      <c r="E2141">
        <v>119960</v>
      </c>
      <c r="F2141">
        <v>532407</v>
      </c>
      <c r="G2141" t="s">
        <v>9</v>
      </c>
      <c r="H2141" t="s">
        <v>13</v>
      </c>
      <c r="I2141" t="s">
        <v>56</v>
      </c>
    </row>
    <row r="2142" spans="1:9" x14ac:dyDescent="0.2">
      <c r="A2142" t="s">
        <v>1622</v>
      </c>
      <c r="D2142" t="str">
        <f>HYPERLINK("http://nlpdeep.cs.uic.edu:8080/proofing/t5/532407-history-of-present-illness-4-0.pdf","t5/532407-history-of-present-illness-4-0.pdf")</f>
        <v>t5/532407-history-of-present-illness-4-0.pdf</v>
      </c>
      <c r="E2142">
        <v>119960</v>
      </c>
      <c r="F2142">
        <v>532407</v>
      </c>
      <c r="G2142" t="s">
        <v>9</v>
      </c>
      <c r="H2142" t="s">
        <v>13</v>
      </c>
      <c r="I2142" t="s">
        <v>58</v>
      </c>
    </row>
    <row r="2143" spans="1:9" x14ac:dyDescent="0.2">
      <c r="A2143" t="s">
        <v>1622</v>
      </c>
      <c r="D2143" t="str">
        <f>HYPERLINK("http://nlpdeep.cs.uic.edu:8080/proofing/gsii/532407-history-of-present-illness-4-0.pdf","gsii/532407-history-of-present-illness-4-0.pdf")</f>
        <v>gsii/532407-history-of-present-illness-4-0.pdf</v>
      </c>
      <c r="E2143">
        <v>119960</v>
      </c>
      <c r="F2143">
        <v>532407</v>
      </c>
      <c r="G2143" t="s">
        <v>9</v>
      </c>
      <c r="H2143" t="s">
        <v>13</v>
      </c>
      <c r="I2143" t="s">
        <v>58</v>
      </c>
    </row>
    <row r="2144" spans="1:9" x14ac:dyDescent="0.2">
      <c r="A2144" t="s">
        <v>1623</v>
      </c>
      <c r="D2144" t="str">
        <f>HYPERLINK("http://nlpdeep.cs.uic.edu:8080/proofing/t5/532407-history-of-present-illness-4-1.pdf","t5/532407-history-of-present-illness-4-1.pdf")</f>
        <v>t5/532407-history-of-present-illness-4-1.pdf</v>
      </c>
      <c r="E2144">
        <v>119960</v>
      </c>
      <c r="F2144">
        <v>532407</v>
      </c>
      <c r="G2144" t="s">
        <v>9</v>
      </c>
      <c r="H2144" t="s">
        <v>13</v>
      </c>
      <c r="I2144" t="s">
        <v>60</v>
      </c>
    </row>
    <row r="2145" spans="1:9" x14ac:dyDescent="0.2">
      <c r="A2145" t="s">
        <v>1623</v>
      </c>
      <c r="D2145" t="str">
        <f>HYPERLINK("http://nlpdeep.cs.uic.edu:8080/proofing/gsii/532407-history-of-present-illness-4-1.pdf","gsii/532407-history-of-present-illness-4-1.pdf")</f>
        <v>gsii/532407-history-of-present-illness-4-1.pdf</v>
      </c>
      <c r="E2145">
        <v>119960</v>
      </c>
      <c r="F2145">
        <v>532407</v>
      </c>
      <c r="G2145" t="s">
        <v>9</v>
      </c>
      <c r="H2145" t="s">
        <v>13</v>
      </c>
      <c r="I2145" t="s">
        <v>60</v>
      </c>
    </row>
    <row r="2146" spans="1:9" x14ac:dyDescent="0.2">
      <c r="A2146" t="s">
        <v>1624</v>
      </c>
      <c r="D2146" t="str">
        <f>HYPERLINK("http://nlpdeep.cs.uic.edu:8080/proofing/t5/532407-history-of-present-illness-4-2.pdf","t5/532407-history-of-present-illness-4-2.pdf")</f>
        <v>t5/532407-history-of-present-illness-4-2.pdf</v>
      </c>
      <c r="E2146">
        <v>119960</v>
      </c>
      <c r="F2146">
        <v>532407</v>
      </c>
      <c r="G2146" t="s">
        <v>9</v>
      </c>
      <c r="H2146" t="s">
        <v>13</v>
      </c>
      <c r="I2146" t="s">
        <v>62</v>
      </c>
    </row>
    <row r="2147" spans="1:9" x14ac:dyDescent="0.2">
      <c r="A2147" t="s">
        <v>1624</v>
      </c>
      <c r="D2147" t="str">
        <f>HYPERLINK("http://nlpdeep.cs.uic.edu:8080/proofing/gsii/532407-history-of-present-illness-4-2.pdf","gsii/532407-history-of-present-illness-4-2.pdf")</f>
        <v>gsii/532407-history-of-present-illness-4-2.pdf</v>
      </c>
      <c r="E2147">
        <v>119960</v>
      </c>
      <c r="F2147">
        <v>532407</v>
      </c>
      <c r="G2147" t="s">
        <v>9</v>
      </c>
      <c r="H2147" t="s">
        <v>13</v>
      </c>
      <c r="I2147" t="s">
        <v>62</v>
      </c>
    </row>
    <row r="2148" spans="1:9" x14ac:dyDescent="0.2">
      <c r="A2148" t="s">
        <v>1625</v>
      </c>
      <c r="D2148" t="str">
        <f>HYPERLINK("http://nlpdeep.cs.uic.edu:8080/proofing/t5/532407-allergies-0-0.pdf","t5/532407-allergies-0-0.pdf")</f>
        <v>t5/532407-allergies-0-0.pdf</v>
      </c>
      <c r="E2148">
        <v>119960</v>
      </c>
      <c r="F2148">
        <v>532407</v>
      </c>
      <c r="G2148" t="s">
        <v>9</v>
      </c>
      <c r="H2148" t="s">
        <v>64</v>
      </c>
      <c r="I2148" t="s">
        <v>65</v>
      </c>
    </row>
    <row r="2149" spans="1:9" x14ac:dyDescent="0.2">
      <c r="A2149" t="s">
        <v>1625</v>
      </c>
      <c r="D2149" t="str">
        <f>HYPERLINK("http://nlpdeep.cs.uic.edu:8080/proofing/gsii/532407-allergies-0-0.pdf","gsii/532407-allergies-0-0.pdf")</f>
        <v>gsii/532407-allergies-0-0.pdf</v>
      </c>
      <c r="E2149">
        <v>119960</v>
      </c>
      <c r="F2149">
        <v>532407</v>
      </c>
      <c r="G2149" t="s">
        <v>9</v>
      </c>
      <c r="H2149" t="s">
        <v>64</v>
      </c>
      <c r="I2149" t="s">
        <v>65</v>
      </c>
    </row>
    <row r="2150" spans="1:9" x14ac:dyDescent="0.2">
      <c r="A2150" t="s">
        <v>1626</v>
      </c>
      <c r="D2150" t="str">
        <f>HYPERLINK("http://nlpdeep.cs.uic.edu:8080/proofing/t5/532407-other-medications-0-0.pdf","t5/532407-other-medications-0-0.pdf")</f>
        <v>t5/532407-other-medications-0-0.pdf</v>
      </c>
      <c r="E2150">
        <v>119960</v>
      </c>
      <c r="F2150">
        <v>532407</v>
      </c>
      <c r="G2150" t="s">
        <v>9</v>
      </c>
      <c r="H2150" t="s">
        <v>67</v>
      </c>
      <c r="I2150" t="s">
        <v>68</v>
      </c>
    </row>
    <row r="2151" spans="1:9" x14ac:dyDescent="0.2">
      <c r="A2151" t="s">
        <v>1626</v>
      </c>
      <c r="D2151" t="str">
        <f>HYPERLINK("http://nlpdeep.cs.uic.edu:8080/proofing/gsii/532407-other-medications-0-0.pdf","gsii/532407-other-medications-0-0.pdf")</f>
        <v>gsii/532407-other-medications-0-0.pdf</v>
      </c>
      <c r="E2151">
        <v>119960</v>
      </c>
      <c r="F2151">
        <v>532407</v>
      </c>
      <c r="G2151" t="s">
        <v>9</v>
      </c>
      <c r="H2151" t="s">
        <v>67</v>
      </c>
      <c r="I2151" t="s">
        <v>68</v>
      </c>
    </row>
    <row r="2152" spans="1:9" x14ac:dyDescent="0.2">
      <c r="A2152" t="s">
        <v>1627</v>
      </c>
      <c r="D2152" t="str">
        <f>HYPERLINK("http://nlpdeep.cs.uic.edu:8080/proofing/t5/532407-other-medications-0-1.pdf","t5/532407-other-medications-0-1.pdf")</f>
        <v>t5/532407-other-medications-0-1.pdf</v>
      </c>
      <c r="E2152">
        <v>119960</v>
      </c>
      <c r="F2152">
        <v>532407</v>
      </c>
      <c r="G2152" t="s">
        <v>9</v>
      </c>
      <c r="H2152" t="s">
        <v>67</v>
      </c>
      <c r="I2152" t="s">
        <v>70</v>
      </c>
    </row>
    <row r="2153" spans="1:9" x14ac:dyDescent="0.2">
      <c r="A2153" t="s">
        <v>1627</v>
      </c>
      <c r="D2153" t="str">
        <f>HYPERLINK("http://nlpdeep.cs.uic.edu:8080/proofing/gsii/532407-other-medications-0-1.pdf","gsii/532407-other-medications-0-1.pdf")</f>
        <v>gsii/532407-other-medications-0-1.pdf</v>
      </c>
      <c r="E2153">
        <v>119960</v>
      </c>
      <c r="F2153">
        <v>532407</v>
      </c>
      <c r="G2153" t="s">
        <v>9</v>
      </c>
      <c r="H2153" t="s">
        <v>67</v>
      </c>
      <c r="I2153" t="s">
        <v>70</v>
      </c>
    </row>
    <row r="2154" spans="1:9" x14ac:dyDescent="0.2">
      <c r="A2154" t="s">
        <v>1628</v>
      </c>
      <c r="D2154" t="str">
        <f>HYPERLINK("http://nlpdeep.cs.uic.edu:8080/proofing/t5/532407-other-medications-0-2.pdf","t5/532407-other-medications-0-2.pdf")</f>
        <v>t5/532407-other-medications-0-2.pdf</v>
      </c>
      <c r="E2154">
        <v>119960</v>
      </c>
      <c r="F2154">
        <v>532407</v>
      </c>
      <c r="G2154" t="s">
        <v>9</v>
      </c>
      <c r="H2154" t="s">
        <v>67</v>
      </c>
      <c r="I2154" t="s">
        <v>72</v>
      </c>
    </row>
    <row r="2155" spans="1:9" x14ac:dyDescent="0.2">
      <c r="A2155" t="s">
        <v>1628</v>
      </c>
      <c r="D2155" t="str">
        <f>HYPERLINK("http://nlpdeep.cs.uic.edu:8080/proofing/gsii/532407-other-medications-0-2.pdf","gsii/532407-other-medications-0-2.pdf")</f>
        <v>gsii/532407-other-medications-0-2.pdf</v>
      </c>
      <c r="E2155">
        <v>119960</v>
      </c>
      <c r="F2155">
        <v>532407</v>
      </c>
      <c r="G2155" t="s">
        <v>9</v>
      </c>
      <c r="H2155" t="s">
        <v>67</v>
      </c>
      <c r="I2155" t="s">
        <v>72</v>
      </c>
    </row>
    <row r="2156" spans="1:9" x14ac:dyDescent="0.2">
      <c r="A2156" t="s">
        <v>1629</v>
      </c>
      <c r="D2156" t="str">
        <f>HYPERLINK("http://nlpdeep.cs.uic.edu:8080/proofing/t5/532407-other-medications-0-3.pdf","t5/532407-other-medications-0-3.pdf")</f>
        <v>t5/532407-other-medications-0-3.pdf</v>
      </c>
      <c r="E2156">
        <v>119960</v>
      </c>
      <c r="F2156">
        <v>532407</v>
      </c>
      <c r="G2156" t="s">
        <v>9</v>
      </c>
      <c r="H2156" t="s">
        <v>67</v>
      </c>
      <c r="I2156" t="s">
        <v>74</v>
      </c>
    </row>
    <row r="2157" spans="1:9" x14ac:dyDescent="0.2">
      <c r="A2157" t="s">
        <v>1629</v>
      </c>
      <c r="D2157" t="str">
        <f>HYPERLINK("http://nlpdeep.cs.uic.edu:8080/proofing/gsii/532407-other-medications-0-3.pdf","gsii/532407-other-medications-0-3.pdf")</f>
        <v>gsii/532407-other-medications-0-3.pdf</v>
      </c>
      <c r="E2157">
        <v>119960</v>
      </c>
      <c r="F2157">
        <v>532407</v>
      </c>
      <c r="G2157" t="s">
        <v>9</v>
      </c>
      <c r="H2157" t="s">
        <v>67</v>
      </c>
      <c r="I2157" t="s">
        <v>74</v>
      </c>
    </row>
    <row r="2158" spans="1:9" x14ac:dyDescent="0.2">
      <c r="A2158" t="s">
        <v>1630</v>
      </c>
      <c r="D2158" t="str">
        <f>HYPERLINK("http://nlpdeep.cs.uic.edu:8080/proofing/t5/532407-past-medical-history-0-0.pdf","t5/532407-past-medical-history-0-0.pdf")</f>
        <v>t5/532407-past-medical-history-0-0.pdf</v>
      </c>
      <c r="E2158">
        <v>119960</v>
      </c>
      <c r="F2158">
        <v>532407</v>
      </c>
      <c r="G2158" t="s">
        <v>9</v>
      </c>
      <c r="H2158" t="s">
        <v>76</v>
      </c>
      <c r="I2158" t="s">
        <v>77</v>
      </c>
    </row>
    <row r="2159" spans="1:9" x14ac:dyDescent="0.2">
      <c r="A2159" t="s">
        <v>1630</v>
      </c>
      <c r="D2159" t="str">
        <f>HYPERLINK("http://nlpdeep.cs.uic.edu:8080/proofing/gsii/532407-past-medical-history-0-0.pdf","gsii/532407-past-medical-history-0-0.pdf")</f>
        <v>gsii/532407-past-medical-history-0-0.pdf</v>
      </c>
      <c r="E2159">
        <v>119960</v>
      </c>
      <c r="F2159">
        <v>532407</v>
      </c>
      <c r="G2159" t="s">
        <v>9</v>
      </c>
      <c r="H2159" t="s">
        <v>76</v>
      </c>
      <c r="I2159" t="s">
        <v>77</v>
      </c>
    </row>
    <row r="2160" spans="1:9" x14ac:dyDescent="0.2">
      <c r="A2160" t="s">
        <v>1631</v>
      </c>
      <c r="D2160" t="str">
        <f>HYPERLINK("http://nlpdeep.cs.uic.edu:8080/proofing/t5/532407-past-medical-history-0-1.pdf","t5/532407-past-medical-history-0-1.pdf")</f>
        <v>t5/532407-past-medical-history-0-1.pdf</v>
      </c>
      <c r="E2160">
        <v>119960</v>
      </c>
      <c r="F2160">
        <v>532407</v>
      </c>
      <c r="G2160" t="s">
        <v>9</v>
      </c>
      <c r="H2160" t="s">
        <v>76</v>
      </c>
      <c r="I2160" t="s">
        <v>79</v>
      </c>
    </row>
    <row r="2161" spans="1:9" x14ac:dyDescent="0.2">
      <c r="A2161" t="s">
        <v>1631</v>
      </c>
      <c r="D2161" t="str">
        <f>HYPERLINK("http://nlpdeep.cs.uic.edu:8080/proofing/gsii/532407-past-medical-history-0-1.pdf","gsii/532407-past-medical-history-0-1.pdf")</f>
        <v>gsii/532407-past-medical-history-0-1.pdf</v>
      </c>
      <c r="E2161">
        <v>119960</v>
      </c>
      <c r="F2161">
        <v>532407</v>
      </c>
      <c r="G2161" t="s">
        <v>9</v>
      </c>
      <c r="H2161" t="s">
        <v>76</v>
      </c>
      <c r="I2161" t="s">
        <v>79</v>
      </c>
    </row>
    <row r="2162" spans="1:9" x14ac:dyDescent="0.2">
      <c r="A2162" t="s">
        <v>1632</v>
      </c>
      <c r="D2162" t="str">
        <f>HYPERLINK("http://nlpdeep.cs.uic.edu:8080/proofing/t5/532407-past-medical-history-0-2.pdf","t5/532407-past-medical-history-0-2.pdf")</f>
        <v>t5/532407-past-medical-history-0-2.pdf</v>
      </c>
      <c r="E2162">
        <v>119960</v>
      </c>
      <c r="F2162">
        <v>532407</v>
      </c>
      <c r="G2162" t="s">
        <v>9</v>
      </c>
      <c r="H2162" t="s">
        <v>76</v>
      </c>
      <c r="I2162" t="s">
        <v>81</v>
      </c>
    </row>
    <row r="2163" spans="1:9" x14ac:dyDescent="0.2">
      <c r="A2163" t="s">
        <v>1632</v>
      </c>
      <c r="D2163" t="str">
        <f>HYPERLINK("http://nlpdeep.cs.uic.edu:8080/proofing/gsii/532407-past-medical-history-0-2.pdf","gsii/532407-past-medical-history-0-2.pdf")</f>
        <v>gsii/532407-past-medical-history-0-2.pdf</v>
      </c>
      <c r="E2163">
        <v>119960</v>
      </c>
      <c r="F2163">
        <v>532407</v>
      </c>
      <c r="G2163" t="s">
        <v>9</v>
      </c>
      <c r="H2163" t="s">
        <v>76</v>
      </c>
      <c r="I2163" t="s">
        <v>81</v>
      </c>
    </row>
    <row r="2164" spans="1:9" x14ac:dyDescent="0.2">
      <c r="A2164" t="s">
        <v>1633</v>
      </c>
      <c r="D2164" t="str">
        <f>HYPERLINK("http://nlpdeep.cs.uic.edu:8080/proofing/t5/532407-past-medical-history-0-3.pdf","t5/532407-past-medical-history-0-3.pdf")</f>
        <v>t5/532407-past-medical-history-0-3.pdf</v>
      </c>
      <c r="E2164">
        <v>119960</v>
      </c>
      <c r="F2164">
        <v>532407</v>
      </c>
      <c r="G2164" t="s">
        <v>9</v>
      </c>
      <c r="H2164" t="s">
        <v>76</v>
      </c>
      <c r="I2164" t="s">
        <v>83</v>
      </c>
    </row>
    <row r="2165" spans="1:9" x14ac:dyDescent="0.2">
      <c r="A2165" t="s">
        <v>1633</v>
      </c>
      <c r="D2165" t="str">
        <f>HYPERLINK("http://nlpdeep.cs.uic.edu:8080/proofing/gsii/532407-past-medical-history-0-3.pdf","gsii/532407-past-medical-history-0-3.pdf")</f>
        <v>gsii/532407-past-medical-history-0-3.pdf</v>
      </c>
      <c r="E2165">
        <v>119960</v>
      </c>
      <c r="F2165">
        <v>532407</v>
      </c>
      <c r="G2165" t="s">
        <v>9</v>
      </c>
      <c r="H2165" t="s">
        <v>76</v>
      </c>
      <c r="I2165" t="s">
        <v>83</v>
      </c>
    </row>
    <row r="2166" spans="1:9" x14ac:dyDescent="0.2">
      <c r="A2166" t="s">
        <v>1634</v>
      </c>
      <c r="D2166" t="str">
        <f>HYPERLINK("http://nlpdeep.cs.uic.edu:8080/proofing/t5/532407-past-medical-history-0-4.pdf","t5/532407-past-medical-history-0-4.pdf")</f>
        <v>t5/532407-past-medical-history-0-4.pdf</v>
      </c>
      <c r="E2166">
        <v>119960</v>
      </c>
      <c r="F2166">
        <v>532407</v>
      </c>
      <c r="G2166" t="s">
        <v>9</v>
      </c>
      <c r="H2166" t="s">
        <v>76</v>
      </c>
      <c r="I2166" t="s">
        <v>85</v>
      </c>
    </row>
    <row r="2167" spans="1:9" x14ac:dyDescent="0.2">
      <c r="A2167" t="s">
        <v>1634</v>
      </c>
      <c r="D2167" t="str">
        <f>HYPERLINK("http://nlpdeep.cs.uic.edu:8080/proofing/gsii/532407-past-medical-history-0-4.pdf","gsii/532407-past-medical-history-0-4.pdf")</f>
        <v>gsii/532407-past-medical-history-0-4.pdf</v>
      </c>
      <c r="E2167">
        <v>119960</v>
      </c>
      <c r="F2167">
        <v>532407</v>
      </c>
      <c r="G2167" t="s">
        <v>9</v>
      </c>
      <c r="H2167" t="s">
        <v>76</v>
      </c>
      <c r="I2167" t="s">
        <v>85</v>
      </c>
    </row>
    <row r="2168" spans="1:9" x14ac:dyDescent="0.2">
      <c r="A2168" t="s">
        <v>1635</v>
      </c>
      <c r="D2168" t="str">
        <f>HYPERLINK("http://nlpdeep.cs.uic.edu:8080/proofing/t5/532407-past-medical-history-0-5.pdf","t5/532407-past-medical-history-0-5.pdf")</f>
        <v>t5/532407-past-medical-history-0-5.pdf</v>
      </c>
      <c r="E2168">
        <v>119960</v>
      </c>
      <c r="F2168">
        <v>532407</v>
      </c>
      <c r="G2168" t="s">
        <v>9</v>
      </c>
      <c r="H2168" t="s">
        <v>76</v>
      </c>
    </row>
    <row r="2169" spans="1:9" x14ac:dyDescent="0.2">
      <c r="A2169" t="s">
        <v>1635</v>
      </c>
      <c r="D2169" t="str">
        <f>HYPERLINK("http://nlpdeep.cs.uic.edu:8080/proofing/gsii/532407-past-medical-history-0-5.pdf","gsii/532407-past-medical-history-0-5.pdf")</f>
        <v>gsii/532407-past-medical-history-0-5.pdf</v>
      </c>
      <c r="E2169">
        <v>119960</v>
      </c>
      <c r="F2169">
        <v>532407</v>
      </c>
      <c r="G2169" t="s">
        <v>9</v>
      </c>
      <c r="H2169" t="s">
        <v>76</v>
      </c>
    </row>
    <row r="2170" spans="1:9" x14ac:dyDescent="0.2">
      <c r="A2170" t="s">
        <v>1636</v>
      </c>
      <c r="D2170" t="str">
        <f>HYPERLINK("http://nlpdeep.cs.uic.edu:8080/proofing/t5/532407-past-medical-history-1-0.pdf","t5/532407-past-medical-history-1-0.pdf")</f>
        <v>t5/532407-past-medical-history-1-0.pdf</v>
      </c>
      <c r="E2170">
        <v>119960</v>
      </c>
      <c r="F2170">
        <v>532407</v>
      </c>
      <c r="G2170" t="s">
        <v>9</v>
      </c>
      <c r="H2170" t="s">
        <v>76</v>
      </c>
    </row>
    <row r="2171" spans="1:9" x14ac:dyDescent="0.2">
      <c r="A2171" t="s">
        <v>1636</v>
      </c>
      <c r="D2171" t="str">
        <f>HYPERLINK("http://nlpdeep.cs.uic.edu:8080/proofing/gsii/532407-past-medical-history-1-0.pdf","gsii/532407-past-medical-history-1-0.pdf")</f>
        <v>gsii/532407-past-medical-history-1-0.pdf</v>
      </c>
      <c r="E2171">
        <v>119960</v>
      </c>
      <c r="F2171">
        <v>532407</v>
      </c>
      <c r="G2171" t="s">
        <v>9</v>
      </c>
      <c r="H2171" t="s">
        <v>76</v>
      </c>
    </row>
    <row r="2172" spans="1:9" x14ac:dyDescent="0.2">
      <c r="A2172" t="s">
        <v>1637</v>
      </c>
      <c r="D2172" t="str">
        <f>HYPERLINK("http://nlpdeep.cs.uic.edu:8080/proofing/t5/532407-past-medical-history-2-0.pdf","t5/532407-past-medical-history-2-0.pdf")</f>
        <v>t5/532407-past-medical-history-2-0.pdf</v>
      </c>
      <c r="E2172">
        <v>119960</v>
      </c>
      <c r="F2172">
        <v>532407</v>
      </c>
      <c r="G2172" t="s">
        <v>9</v>
      </c>
      <c r="H2172" t="s">
        <v>76</v>
      </c>
      <c r="I2172" t="s">
        <v>89</v>
      </c>
    </row>
    <row r="2173" spans="1:9" x14ac:dyDescent="0.2">
      <c r="A2173" t="s">
        <v>1637</v>
      </c>
      <c r="D2173" t="str">
        <f>HYPERLINK("http://nlpdeep.cs.uic.edu:8080/proofing/gsii/532407-past-medical-history-2-0.pdf","gsii/532407-past-medical-history-2-0.pdf")</f>
        <v>gsii/532407-past-medical-history-2-0.pdf</v>
      </c>
      <c r="E2173">
        <v>119960</v>
      </c>
      <c r="F2173">
        <v>532407</v>
      </c>
      <c r="G2173" t="s">
        <v>9</v>
      </c>
      <c r="H2173" t="s">
        <v>76</v>
      </c>
      <c r="I2173" t="s">
        <v>89</v>
      </c>
    </row>
    <row r="2174" spans="1:9" x14ac:dyDescent="0.2">
      <c r="A2174" t="s">
        <v>1638</v>
      </c>
      <c r="D2174" t="str">
        <f>HYPERLINK("http://nlpdeep.cs.uic.edu:8080/proofing/t5/532407-past-medical-history-2-1.pdf","t5/532407-past-medical-history-2-1.pdf")</f>
        <v>t5/532407-past-medical-history-2-1.pdf</v>
      </c>
      <c r="E2174">
        <v>119960</v>
      </c>
      <c r="F2174">
        <v>532407</v>
      </c>
      <c r="G2174" t="s">
        <v>9</v>
      </c>
      <c r="H2174" t="s">
        <v>76</v>
      </c>
    </row>
    <row r="2175" spans="1:9" x14ac:dyDescent="0.2">
      <c r="A2175" t="s">
        <v>1638</v>
      </c>
      <c r="D2175" t="str">
        <f>HYPERLINK("http://nlpdeep.cs.uic.edu:8080/proofing/gsii/532407-past-medical-history-2-1.pdf","gsii/532407-past-medical-history-2-1.pdf")</f>
        <v>gsii/532407-past-medical-history-2-1.pdf</v>
      </c>
      <c r="E2175">
        <v>119960</v>
      </c>
      <c r="F2175">
        <v>532407</v>
      </c>
      <c r="G2175" t="s">
        <v>9</v>
      </c>
      <c r="H2175" t="s">
        <v>76</v>
      </c>
    </row>
    <row r="2176" spans="1:9" x14ac:dyDescent="0.2">
      <c r="A2176" t="s">
        <v>1639</v>
      </c>
      <c r="D2176" t="str">
        <f>HYPERLINK("http://nlpdeep.cs.uic.edu:8080/proofing/t5/532407-past-medical-history-3-0.pdf","t5/532407-past-medical-history-3-0.pdf")</f>
        <v>t5/532407-past-medical-history-3-0.pdf</v>
      </c>
      <c r="E2176">
        <v>119960</v>
      </c>
      <c r="F2176">
        <v>532407</v>
      </c>
      <c r="G2176" t="s">
        <v>9</v>
      </c>
      <c r="H2176" t="s">
        <v>76</v>
      </c>
    </row>
    <row r="2177" spans="1:9" x14ac:dyDescent="0.2">
      <c r="A2177" t="s">
        <v>1639</v>
      </c>
      <c r="D2177" t="str">
        <f>HYPERLINK("http://nlpdeep.cs.uic.edu:8080/proofing/gsii/532407-past-medical-history-3-0.pdf","gsii/532407-past-medical-history-3-0.pdf")</f>
        <v>gsii/532407-past-medical-history-3-0.pdf</v>
      </c>
      <c r="E2177">
        <v>119960</v>
      </c>
      <c r="F2177">
        <v>532407</v>
      </c>
      <c r="G2177" t="s">
        <v>9</v>
      </c>
      <c r="H2177" t="s">
        <v>76</v>
      </c>
    </row>
    <row r="2178" spans="1:9" x14ac:dyDescent="0.2">
      <c r="A2178" t="s">
        <v>1640</v>
      </c>
      <c r="D2178" t="str">
        <f>HYPERLINK("http://nlpdeep.cs.uic.edu:8080/proofing/t5/532407-past-medical-history-4-0.pdf","t5/532407-past-medical-history-4-0.pdf")</f>
        <v>t5/532407-past-medical-history-4-0.pdf</v>
      </c>
      <c r="E2178">
        <v>119960</v>
      </c>
      <c r="F2178">
        <v>532407</v>
      </c>
      <c r="G2178" t="s">
        <v>9</v>
      </c>
      <c r="H2178" t="s">
        <v>76</v>
      </c>
      <c r="I2178" t="s">
        <v>93</v>
      </c>
    </row>
    <row r="2179" spans="1:9" x14ac:dyDescent="0.2">
      <c r="A2179" t="s">
        <v>1640</v>
      </c>
      <c r="D2179" t="str">
        <f>HYPERLINK("http://nlpdeep.cs.uic.edu:8080/proofing/gsii/532407-past-medical-history-4-0.pdf","gsii/532407-past-medical-history-4-0.pdf")</f>
        <v>gsii/532407-past-medical-history-4-0.pdf</v>
      </c>
      <c r="E2179">
        <v>119960</v>
      </c>
      <c r="F2179">
        <v>532407</v>
      </c>
      <c r="G2179" t="s">
        <v>9</v>
      </c>
      <c r="H2179" t="s">
        <v>76</v>
      </c>
      <c r="I2179" t="s">
        <v>93</v>
      </c>
    </row>
    <row r="2180" spans="1:9" x14ac:dyDescent="0.2">
      <c r="A2180" t="s">
        <v>1641</v>
      </c>
      <c r="D2180" t="str">
        <f>HYPERLINK("http://nlpdeep.cs.uic.edu:8080/proofing/t5/532407-past-medical-history-4-1.pdf","t5/532407-past-medical-history-4-1.pdf")</f>
        <v>t5/532407-past-medical-history-4-1.pdf</v>
      </c>
      <c r="E2180">
        <v>119960</v>
      </c>
      <c r="F2180">
        <v>532407</v>
      </c>
      <c r="G2180" t="s">
        <v>9</v>
      </c>
      <c r="H2180" t="s">
        <v>76</v>
      </c>
      <c r="I2180" t="s">
        <v>95</v>
      </c>
    </row>
    <row r="2181" spans="1:9" x14ac:dyDescent="0.2">
      <c r="A2181" t="s">
        <v>1641</v>
      </c>
      <c r="D2181" t="str">
        <f>HYPERLINK("http://nlpdeep.cs.uic.edu:8080/proofing/gsii/532407-past-medical-history-4-1.pdf","gsii/532407-past-medical-history-4-1.pdf")</f>
        <v>gsii/532407-past-medical-history-4-1.pdf</v>
      </c>
      <c r="E2181">
        <v>119960</v>
      </c>
      <c r="F2181">
        <v>532407</v>
      </c>
      <c r="G2181" t="s">
        <v>9</v>
      </c>
      <c r="H2181" t="s">
        <v>76</v>
      </c>
      <c r="I2181" t="s">
        <v>95</v>
      </c>
    </row>
    <row r="2182" spans="1:9" x14ac:dyDescent="0.2">
      <c r="A2182" t="s">
        <v>1642</v>
      </c>
      <c r="D2182" t="str">
        <f>HYPERLINK("http://nlpdeep.cs.uic.edu:8080/proofing/t5/532407-past-medical-history-4-2.pdf","t5/532407-past-medical-history-4-2.pdf")</f>
        <v>t5/532407-past-medical-history-4-2.pdf</v>
      </c>
      <c r="E2182">
        <v>119960</v>
      </c>
      <c r="F2182">
        <v>532407</v>
      </c>
      <c r="G2182" t="s">
        <v>9</v>
      </c>
      <c r="H2182" t="s">
        <v>76</v>
      </c>
      <c r="I2182" t="s">
        <v>97</v>
      </c>
    </row>
    <row r="2183" spans="1:9" x14ac:dyDescent="0.2">
      <c r="A2183" t="s">
        <v>1642</v>
      </c>
      <c r="D2183" t="str">
        <f>HYPERLINK("http://nlpdeep.cs.uic.edu:8080/proofing/gsii/532407-past-medical-history-4-2.pdf","gsii/532407-past-medical-history-4-2.pdf")</f>
        <v>gsii/532407-past-medical-history-4-2.pdf</v>
      </c>
      <c r="E2183">
        <v>119960</v>
      </c>
      <c r="F2183">
        <v>532407</v>
      </c>
      <c r="G2183" t="s">
        <v>9</v>
      </c>
      <c r="H2183" t="s">
        <v>76</v>
      </c>
      <c r="I2183" t="s">
        <v>97</v>
      </c>
    </row>
    <row r="2184" spans="1:9" x14ac:dyDescent="0.2">
      <c r="A2184" t="s">
        <v>1643</v>
      </c>
      <c r="D2184" t="str">
        <f>HYPERLINK("http://nlpdeep.cs.uic.edu:8080/proofing/t5/532407-past-medical-history-4-3.pdf","t5/532407-past-medical-history-4-3.pdf")</f>
        <v>t5/532407-past-medical-history-4-3.pdf</v>
      </c>
      <c r="E2184">
        <v>119960</v>
      </c>
      <c r="F2184">
        <v>532407</v>
      </c>
      <c r="G2184" t="s">
        <v>9</v>
      </c>
      <c r="H2184" t="s">
        <v>76</v>
      </c>
      <c r="I2184" t="s">
        <v>99</v>
      </c>
    </row>
    <row r="2185" spans="1:9" x14ac:dyDescent="0.2">
      <c r="A2185" t="s">
        <v>1643</v>
      </c>
      <c r="D2185" t="str">
        <f>HYPERLINK("http://nlpdeep.cs.uic.edu:8080/proofing/gsii/532407-past-medical-history-4-3.pdf","gsii/532407-past-medical-history-4-3.pdf")</f>
        <v>gsii/532407-past-medical-history-4-3.pdf</v>
      </c>
      <c r="E2185">
        <v>119960</v>
      </c>
      <c r="F2185">
        <v>532407</v>
      </c>
      <c r="G2185" t="s">
        <v>9</v>
      </c>
      <c r="H2185" t="s">
        <v>76</v>
      </c>
      <c r="I2185" t="s">
        <v>99</v>
      </c>
    </row>
    <row r="2186" spans="1:9" x14ac:dyDescent="0.2">
      <c r="A2186" t="s">
        <v>1644</v>
      </c>
      <c r="D2186" t="str">
        <f>HYPERLINK("http://nlpdeep.cs.uic.edu:8080/proofing/t5/532407-past-medical-history-4-4.pdf","t5/532407-past-medical-history-4-4.pdf")</f>
        <v>t5/532407-past-medical-history-4-4.pdf</v>
      </c>
      <c r="E2186">
        <v>119960</v>
      </c>
      <c r="F2186">
        <v>532407</v>
      </c>
      <c r="G2186" t="s">
        <v>9</v>
      </c>
      <c r="H2186" t="s">
        <v>76</v>
      </c>
      <c r="I2186" t="s">
        <v>101</v>
      </c>
    </row>
    <row r="2187" spans="1:9" x14ac:dyDescent="0.2">
      <c r="A2187" t="s">
        <v>1644</v>
      </c>
      <c r="D2187" t="str">
        <f>HYPERLINK("http://nlpdeep.cs.uic.edu:8080/proofing/gsii/532407-past-medical-history-4-4.pdf","gsii/532407-past-medical-history-4-4.pdf")</f>
        <v>gsii/532407-past-medical-history-4-4.pdf</v>
      </c>
      <c r="E2187">
        <v>119960</v>
      </c>
      <c r="F2187">
        <v>532407</v>
      </c>
      <c r="G2187" t="s">
        <v>9</v>
      </c>
      <c r="H2187" t="s">
        <v>76</v>
      </c>
      <c r="I2187" t="s">
        <v>101</v>
      </c>
    </row>
    <row r="2188" spans="1:9" x14ac:dyDescent="0.2">
      <c r="A2188" t="s">
        <v>1645</v>
      </c>
      <c r="D2188" t="str">
        <f>HYPERLINK("http://nlpdeep.cs.uic.edu:8080/proofing/t5/532407-past-medical-history-4-5.pdf","t5/532407-past-medical-history-4-5.pdf")</f>
        <v>t5/532407-past-medical-history-4-5.pdf</v>
      </c>
      <c r="E2188">
        <v>119960</v>
      </c>
      <c r="F2188">
        <v>532407</v>
      </c>
      <c r="G2188" t="s">
        <v>9</v>
      </c>
      <c r="H2188" t="s">
        <v>76</v>
      </c>
      <c r="I2188" t="s">
        <v>103</v>
      </c>
    </row>
    <row r="2189" spans="1:9" x14ac:dyDescent="0.2">
      <c r="A2189" t="s">
        <v>1645</v>
      </c>
      <c r="D2189" t="str">
        <f>HYPERLINK("http://nlpdeep.cs.uic.edu:8080/proofing/gsii/532407-past-medical-history-4-5.pdf","gsii/532407-past-medical-history-4-5.pdf")</f>
        <v>gsii/532407-past-medical-history-4-5.pdf</v>
      </c>
      <c r="E2189">
        <v>119960</v>
      </c>
      <c r="F2189">
        <v>532407</v>
      </c>
      <c r="G2189" t="s">
        <v>9</v>
      </c>
      <c r="H2189" t="s">
        <v>76</v>
      </c>
      <c r="I2189" t="s">
        <v>103</v>
      </c>
    </row>
    <row r="2190" spans="1:9" x14ac:dyDescent="0.2">
      <c r="A2190" t="s">
        <v>1646</v>
      </c>
      <c r="D2190" t="str">
        <f>HYPERLINK("http://nlpdeep.cs.uic.edu:8080/proofing/t5/532407-past-medical-history-4-6.pdf","t5/532407-past-medical-history-4-6.pdf")</f>
        <v>t5/532407-past-medical-history-4-6.pdf</v>
      </c>
      <c r="E2190">
        <v>119960</v>
      </c>
      <c r="F2190">
        <v>532407</v>
      </c>
      <c r="G2190" t="s">
        <v>9</v>
      </c>
      <c r="H2190" t="s">
        <v>76</v>
      </c>
      <c r="I2190" t="s">
        <v>105</v>
      </c>
    </row>
    <row r="2191" spans="1:9" x14ac:dyDescent="0.2">
      <c r="A2191" t="s">
        <v>1646</v>
      </c>
      <c r="D2191" t="str">
        <f>HYPERLINK("http://nlpdeep.cs.uic.edu:8080/proofing/gsii/532407-past-medical-history-4-6.pdf","gsii/532407-past-medical-history-4-6.pdf")</f>
        <v>gsii/532407-past-medical-history-4-6.pdf</v>
      </c>
      <c r="E2191">
        <v>119960</v>
      </c>
      <c r="F2191">
        <v>532407</v>
      </c>
      <c r="G2191" t="s">
        <v>9</v>
      </c>
      <c r="H2191" t="s">
        <v>76</v>
      </c>
      <c r="I2191" t="s">
        <v>105</v>
      </c>
    </row>
    <row r="2192" spans="1:9" x14ac:dyDescent="0.2">
      <c r="A2192" t="s">
        <v>1647</v>
      </c>
      <c r="D2192" t="str">
        <f>HYPERLINK("http://nlpdeep.cs.uic.edu:8080/proofing/t5/532407-family-history-0-0.pdf","t5/532407-family-history-0-0.pdf")</f>
        <v>t5/532407-family-history-0-0.pdf</v>
      </c>
      <c r="E2192">
        <v>119960</v>
      </c>
      <c r="F2192">
        <v>532407</v>
      </c>
      <c r="G2192" t="s">
        <v>9</v>
      </c>
      <c r="H2192" t="s">
        <v>107</v>
      </c>
      <c r="I2192" t="s">
        <v>108</v>
      </c>
    </row>
    <row r="2193" spans="1:9" x14ac:dyDescent="0.2">
      <c r="A2193" t="s">
        <v>1647</v>
      </c>
      <c r="D2193" t="str">
        <f>HYPERLINK("http://nlpdeep.cs.uic.edu:8080/proofing/gsii/532407-family-history-0-0.pdf","gsii/532407-family-history-0-0.pdf")</f>
        <v>gsii/532407-family-history-0-0.pdf</v>
      </c>
      <c r="E2193">
        <v>119960</v>
      </c>
      <c r="F2193">
        <v>532407</v>
      </c>
      <c r="G2193" t="s">
        <v>9</v>
      </c>
      <c r="H2193" t="s">
        <v>107</v>
      </c>
      <c r="I2193" t="s">
        <v>108</v>
      </c>
    </row>
    <row r="2194" spans="1:9" x14ac:dyDescent="0.2">
      <c r="A2194" t="s">
        <v>1648</v>
      </c>
      <c r="D2194" t="str">
        <f>HYPERLINK("http://nlpdeep.cs.uic.edu:8080/proofing/t5/532407-family-history-0-1.pdf","t5/532407-family-history-0-1.pdf")</f>
        <v>t5/532407-family-history-0-1.pdf</v>
      </c>
      <c r="E2194">
        <v>119960</v>
      </c>
      <c r="F2194">
        <v>532407</v>
      </c>
      <c r="G2194" t="s">
        <v>9</v>
      </c>
      <c r="H2194" t="s">
        <v>107</v>
      </c>
      <c r="I2194" t="s">
        <v>110</v>
      </c>
    </row>
    <row r="2195" spans="1:9" x14ac:dyDescent="0.2">
      <c r="A2195" t="s">
        <v>1648</v>
      </c>
      <c r="D2195" t="str">
        <f>HYPERLINK("http://nlpdeep.cs.uic.edu:8080/proofing/gsii/532407-family-history-0-1.pdf","gsii/532407-family-history-0-1.pdf")</f>
        <v>gsii/532407-family-history-0-1.pdf</v>
      </c>
      <c r="E2195">
        <v>119960</v>
      </c>
      <c r="F2195">
        <v>532407</v>
      </c>
      <c r="G2195" t="s">
        <v>9</v>
      </c>
      <c r="H2195" t="s">
        <v>107</v>
      </c>
      <c r="I2195" t="s">
        <v>110</v>
      </c>
    </row>
    <row r="2196" spans="1:9" x14ac:dyDescent="0.2">
      <c r="A2196" t="s">
        <v>1649</v>
      </c>
      <c r="D2196" t="str">
        <f>HYPERLINK("http://nlpdeep.cs.uic.edu:8080/proofing/t5/532407-family-history-0-2.pdf","t5/532407-family-history-0-2.pdf")</f>
        <v>t5/532407-family-history-0-2.pdf</v>
      </c>
      <c r="E2196">
        <v>119960</v>
      </c>
      <c r="F2196">
        <v>532407</v>
      </c>
      <c r="G2196" t="s">
        <v>9</v>
      </c>
      <c r="H2196" t="s">
        <v>107</v>
      </c>
      <c r="I2196" t="s">
        <v>112</v>
      </c>
    </row>
    <row r="2197" spans="1:9" x14ac:dyDescent="0.2">
      <c r="A2197" t="s">
        <v>1649</v>
      </c>
      <c r="D2197" t="str">
        <f>HYPERLINK("http://nlpdeep.cs.uic.edu:8080/proofing/gsii/532407-family-history-0-2.pdf","gsii/532407-family-history-0-2.pdf")</f>
        <v>gsii/532407-family-history-0-2.pdf</v>
      </c>
      <c r="E2197">
        <v>119960</v>
      </c>
      <c r="F2197">
        <v>532407</v>
      </c>
      <c r="G2197" t="s">
        <v>9</v>
      </c>
      <c r="H2197" t="s">
        <v>107</v>
      </c>
      <c r="I2197" t="s">
        <v>112</v>
      </c>
    </row>
    <row r="2198" spans="1:9" x14ac:dyDescent="0.2">
      <c r="A2198" t="s">
        <v>1650</v>
      </c>
      <c r="D2198" t="str">
        <f>HYPERLINK("http://nlpdeep.cs.uic.edu:8080/proofing/t5/532407-family-history-0-3.pdf","t5/532407-family-history-0-3.pdf")</f>
        <v>t5/532407-family-history-0-3.pdf</v>
      </c>
      <c r="E2198">
        <v>119960</v>
      </c>
      <c r="F2198">
        <v>532407</v>
      </c>
      <c r="G2198" t="s">
        <v>9</v>
      </c>
      <c r="H2198" t="s">
        <v>107</v>
      </c>
      <c r="I2198" t="s">
        <v>114</v>
      </c>
    </row>
    <row r="2199" spans="1:9" x14ac:dyDescent="0.2">
      <c r="A2199" t="s">
        <v>1650</v>
      </c>
      <c r="D2199" t="str">
        <f>HYPERLINK("http://nlpdeep.cs.uic.edu:8080/proofing/gsii/532407-family-history-0-3.pdf","gsii/532407-family-history-0-3.pdf")</f>
        <v>gsii/532407-family-history-0-3.pdf</v>
      </c>
      <c r="E2199">
        <v>119960</v>
      </c>
      <c r="F2199">
        <v>532407</v>
      </c>
      <c r="G2199" t="s">
        <v>9</v>
      </c>
      <c r="H2199" t="s">
        <v>107</v>
      </c>
      <c r="I2199" t="s">
        <v>114</v>
      </c>
    </row>
    <row r="2200" spans="1:9" x14ac:dyDescent="0.2">
      <c r="A2200" t="s">
        <v>1651</v>
      </c>
      <c r="D2200" t="str">
        <f>HYPERLINK("http://nlpdeep.cs.uic.edu:8080/proofing/t5/532407-family-history-0-4.pdf","t5/532407-family-history-0-4.pdf")</f>
        <v>t5/532407-family-history-0-4.pdf</v>
      </c>
      <c r="E2200">
        <v>119960</v>
      </c>
      <c r="F2200">
        <v>532407</v>
      </c>
      <c r="G2200" t="s">
        <v>9</v>
      </c>
      <c r="H2200" t="s">
        <v>107</v>
      </c>
      <c r="I2200" t="s">
        <v>116</v>
      </c>
    </row>
    <row r="2201" spans="1:9" x14ac:dyDescent="0.2">
      <c r="A2201" t="s">
        <v>1651</v>
      </c>
      <c r="D2201" t="str">
        <f>HYPERLINK("http://nlpdeep.cs.uic.edu:8080/proofing/gsii/532407-family-history-0-4.pdf","gsii/532407-family-history-0-4.pdf")</f>
        <v>gsii/532407-family-history-0-4.pdf</v>
      </c>
      <c r="E2201">
        <v>119960</v>
      </c>
      <c r="F2201">
        <v>532407</v>
      </c>
      <c r="G2201" t="s">
        <v>9</v>
      </c>
      <c r="H2201" t="s">
        <v>107</v>
      </c>
      <c r="I2201" t="s">
        <v>116</v>
      </c>
    </row>
    <row r="2202" spans="1:9" x14ac:dyDescent="0.2">
      <c r="A2202" t="s">
        <v>1652</v>
      </c>
      <c r="D2202" t="str">
        <f>HYPERLINK("http://nlpdeep.cs.uic.edu:8080/proofing/t5/532407-social-history-0-0.pdf","t5/532407-social-history-0-0.pdf")</f>
        <v>t5/532407-social-history-0-0.pdf</v>
      </c>
      <c r="E2202">
        <v>119960</v>
      </c>
      <c r="F2202">
        <v>532407</v>
      </c>
      <c r="G2202" t="s">
        <v>9</v>
      </c>
      <c r="H2202" t="s">
        <v>118</v>
      </c>
      <c r="I2202" t="s">
        <v>119</v>
      </c>
    </row>
    <row r="2203" spans="1:9" x14ac:dyDescent="0.2">
      <c r="A2203" t="s">
        <v>1652</v>
      </c>
      <c r="D2203" t="str">
        <f>HYPERLINK("http://nlpdeep.cs.uic.edu:8080/proofing/gsii/532407-social-history-0-0.pdf","gsii/532407-social-history-0-0.pdf")</f>
        <v>gsii/532407-social-history-0-0.pdf</v>
      </c>
      <c r="E2203">
        <v>119960</v>
      </c>
      <c r="F2203">
        <v>532407</v>
      </c>
      <c r="G2203" t="s">
        <v>9</v>
      </c>
      <c r="H2203" t="s">
        <v>118</v>
      </c>
      <c r="I2203" t="s">
        <v>119</v>
      </c>
    </row>
    <row r="2204" spans="1:9" x14ac:dyDescent="0.2">
      <c r="A2204" t="s">
        <v>1653</v>
      </c>
      <c r="D2204" t="str">
        <f>HYPERLINK("http://nlpdeep.cs.uic.edu:8080/proofing/t5/532407-social-history-0-1.pdf","t5/532407-social-history-0-1.pdf")</f>
        <v>t5/532407-social-history-0-1.pdf</v>
      </c>
      <c r="E2204">
        <v>119960</v>
      </c>
      <c r="F2204">
        <v>532407</v>
      </c>
      <c r="G2204" t="s">
        <v>9</v>
      </c>
      <c r="H2204" t="s">
        <v>118</v>
      </c>
      <c r="I2204" t="s">
        <v>121</v>
      </c>
    </row>
    <row r="2205" spans="1:9" x14ac:dyDescent="0.2">
      <c r="A2205" t="s">
        <v>1653</v>
      </c>
      <c r="D2205" t="str">
        <f>HYPERLINK("http://nlpdeep.cs.uic.edu:8080/proofing/gsii/532407-social-history-0-1.pdf","gsii/532407-social-history-0-1.pdf")</f>
        <v>gsii/532407-social-history-0-1.pdf</v>
      </c>
      <c r="E2205">
        <v>119960</v>
      </c>
      <c r="F2205">
        <v>532407</v>
      </c>
      <c r="G2205" t="s">
        <v>9</v>
      </c>
      <c r="H2205" t="s">
        <v>118</v>
      </c>
      <c r="I2205" t="s">
        <v>121</v>
      </c>
    </row>
    <row r="2206" spans="1:9" x14ac:dyDescent="0.2">
      <c r="A2206" t="s">
        <v>1654</v>
      </c>
      <c r="D2206" t="str">
        <f>HYPERLINK("http://nlpdeep.cs.uic.edu:8080/proofing/t5/532407-social-history-0-2.pdf","t5/532407-social-history-0-2.pdf")</f>
        <v>t5/532407-social-history-0-2.pdf</v>
      </c>
      <c r="E2206">
        <v>119960</v>
      </c>
      <c r="F2206">
        <v>532407</v>
      </c>
      <c r="G2206" t="s">
        <v>9</v>
      </c>
      <c r="H2206" t="s">
        <v>118</v>
      </c>
      <c r="I2206" t="s">
        <v>123</v>
      </c>
    </row>
    <row r="2207" spans="1:9" x14ac:dyDescent="0.2">
      <c r="A2207" t="s">
        <v>1654</v>
      </c>
      <c r="D2207" t="str">
        <f>HYPERLINK("http://nlpdeep.cs.uic.edu:8080/proofing/gsii/532407-social-history-0-2.pdf","gsii/532407-social-history-0-2.pdf")</f>
        <v>gsii/532407-social-history-0-2.pdf</v>
      </c>
      <c r="E2207">
        <v>119960</v>
      </c>
      <c r="F2207">
        <v>532407</v>
      </c>
      <c r="G2207" t="s">
        <v>9</v>
      </c>
      <c r="H2207" t="s">
        <v>118</v>
      </c>
      <c r="I2207" t="s">
        <v>123</v>
      </c>
    </row>
    <row r="2208" spans="1:9" x14ac:dyDescent="0.2">
      <c r="A2208" t="s">
        <v>1655</v>
      </c>
      <c r="D2208" t="str">
        <f>HYPERLINK("http://nlpdeep.cs.uic.edu:8080/proofing/t5/532407-social-history-0-3.pdf","t5/532407-social-history-0-3.pdf")</f>
        <v>t5/532407-social-history-0-3.pdf</v>
      </c>
      <c r="E2208">
        <v>119960</v>
      </c>
      <c r="F2208">
        <v>532407</v>
      </c>
      <c r="G2208" t="s">
        <v>9</v>
      </c>
      <c r="H2208" t="s">
        <v>118</v>
      </c>
      <c r="I2208" t="s">
        <v>125</v>
      </c>
    </row>
    <row r="2209" spans="1:9" x14ac:dyDescent="0.2">
      <c r="A2209" t="s">
        <v>1655</v>
      </c>
      <c r="D2209" t="str">
        <f>HYPERLINK("http://nlpdeep.cs.uic.edu:8080/proofing/gsii/532407-social-history-0-3.pdf","gsii/532407-social-history-0-3.pdf")</f>
        <v>gsii/532407-social-history-0-3.pdf</v>
      </c>
      <c r="E2209">
        <v>119960</v>
      </c>
      <c r="F2209">
        <v>532407</v>
      </c>
      <c r="G2209" t="s">
        <v>9</v>
      </c>
      <c r="H2209" t="s">
        <v>118</v>
      </c>
      <c r="I2209" t="s">
        <v>125</v>
      </c>
    </row>
    <row r="2210" spans="1:9" x14ac:dyDescent="0.2">
      <c r="A2210" t="s">
        <v>1656</v>
      </c>
      <c r="D2210" t="str">
        <f>HYPERLINK("http://nlpdeep.cs.uic.edu:8080/proofing/t5/532407-social-history-0-4.pdf","t5/532407-social-history-0-4.pdf")</f>
        <v>t5/532407-social-history-0-4.pdf</v>
      </c>
      <c r="E2210">
        <v>119960</v>
      </c>
      <c r="F2210">
        <v>532407</v>
      </c>
      <c r="G2210" t="s">
        <v>9</v>
      </c>
      <c r="H2210" t="s">
        <v>118</v>
      </c>
      <c r="I2210" t="s">
        <v>127</v>
      </c>
    </row>
    <row r="2211" spans="1:9" x14ac:dyDescent="0.2">
      <c r="A2211" t="s">
        <v>1656</v>
      </c>
      <c r="D2211" t="str">
        <f>HYPERLINK("http://nlpdeep.cs.uic.edu:8080/proofing/gsii/532407-social-history-0-4.pdf","gsii/532407-social-history-0-4.pdf")</f>
        <v>gsii/532407-social-history-0-4.pdf</v>
      </c>
      <c r="E2211">
        <v>119960</v>
      </c>
      <c r="F2211">
        <v>532407</v>
      </c>
      <c r="G2211" t="s">
        <v>9</v>
      </c>
      <c r="H2211" t="s">
        <v>118</v>
      </c>
      <c r="I2211" t="s">
        <v>127</v>
      </c>
    </row>
    <row r="2212" spans="1:9" x14ac:dyDescent="0.2">
      <c r="A2212" t="s">
        <v>1657</v>
      </c>
      <c r="D2212" t="str">
        <f>HYPERLINK("http://nlpdeep.cs.uic.edu:8080/proofing/t5/532407-social-history-0-5.pdf","t5/532407-social-history-0-5.pdf")</f>
        <v>t5/532407-social-history-0-5.pdf</v>
      </c>
      <c r="E2212">
        <v>119960</v>
      </c>
      <c r="F2212">
        <v>532407</v>
      </c>
      <c r="G2212" t="s">
        <v>9</v>
      </c>
      <c r="H2212" t="s">
        <v>118</v>
      </c>
      <c r="I2212" t="s">
        <v>129</v>
      </c>
    </row>
    <row r="2213" spans="1:9" x14ac:dyDescent="0.2">
      <c r="A2213" t="s">
        <v>1657</v>
      </c>
      <c r="D2213" t="str">
        <f>HYPERLINK("http://nlpdeep.cs.uic.edu:8080/proofing/gsii/532407-social-history-0-5.pdf","gsii/532407-social-history-0-5.pdf")</f>
        <v>gsii/532407-social-history-0-5.pdf</v>
      </c>
      <c r="E2213">
        <v>119960</v>
      </c>
      <c r="F2213">
        <v>532407</v>
      </c>
      <c r="G2213" t="s">
        <v>9</v>
      </c>
      <c r="H2213" t="s">
        <v>118</v>
      </c>
      <c r="I2213" t="s">
        <v>129</v>
      </c>
    </row>
    <row r="2214" spans="1:9" x14ac:dyDescent="0.2">
      <c r="A2214" t="s">
        <v>1658</v>
      </c>
      <c r="D2214" t="str">
        <f>HYPERLINK("http://nlpdeep.cs.uic.edu:8080/proofing/t5/532407-social-history-0-6.pdf","t5/532407-social-history-0-6.pdf")</f>
        <v>t5/532407-social-history-0-6.pdf</v>
      </c>
      <c r="E2214">
        <v>119960</v>
      </c>
      <c r="F2214">
        <v>532407</v>
      </c>
      <c r="G2214" t="s">
        <v>9</v>
      </c>
      <c r="H2214" t="s">
        <v>118</v>
      </c>
      <c r="I2214" t="s">
        <v>131</v>
      </c>
    </row>
    <row r="2215" spans="1:9" x14ac:dyDescent="0.2">
      <c r="A2215" t="s">
        <v>1658</v>
      </c>
      <c r="D2215" t="str">
        <f>HYPERLINK("http://nlpdeep.cs.uic.edu:8080/proofing/gsii/532407-social-history-0-6.pdf","gsii/532407-social-history-0-6.pdf")</f>
        <v>gsii/532407-social-history-0-6.pdf</v>
      </c>
      <c r="E2215">
        <v>119960</v>
      </c>
      <c r="F2215">
        <v>532407</v>
      </c>
      <c r="G2215" t="s">
        <v>9</v>
      </c>
      <c r="H2215" t="s">
        <v>118</v>
      </c>
      <c r="I2215" t="s">
        <v>131</v>
      </c>
    </row>
    <row r="2216" spans="1:9" x14ac:dyDescent="0.2">
      <c r="A2216" t="s">
        <v>1659</v>
      </c>
      <c r="D2216" t="str">
        <f>HYPERLINK("http://nlpdeep.cs.uic.edu:8080/proofing/t5/532407-social-history-0-7.pdf","t5/532407-social-history-0-7.pdf")</f>
        <v>t5/532407-social-history-0-7.pdf</v>
      </c>
      <c r="E2216">
        <v>119960</v>
      </c>
      <c r="F2216">
        <v>532407</v>
      </c>
      <c r="G2216" t="s">
        <v>9</v>
      </c>
      <c r="H2216" t="s">
        <v>118</v>
      </c>
      <c r="I2216" t="s">
        <v>133</v>
      </c>
    </row>
    <row r="2217" spans="1:9" x14ac:dyDescent="0.2">
      <c r="A2217" t="s">
        <v>1659</v>
      </c>
      <c r="D2217" t="str">
        <f>HYPERLINK("http://nlpdeep.cs.uic.edu:8080/proofing/gsii/532407-social-history-0-7.pdf","gsii/532407-social-history-0-7.pdf")</f>
        <v>gsii/532407-social-history-0-7.pdf</v>
      </c>
      <c r="E2217">
        <v>119960</v>
      </c>
      <c r="F2217">
        <v>532407</v>
      </c>
      <c r="G2217" t="s">
        <v>9</v>
      </c>
      <c r="H2217" t="s">
        <v>118</v>
      </c>
      <c r="I2217" t="s">
        <v>133</v>
      </c>
    </row>
    <row r="2218" spans="1:9" x14ac:dyDescent="0.2">
      <c r="A2218" t="s">
        <v>1660</v>
      </c>
      <c r="D2218" t="str">
        <f>HYPERLINK("http://nlpdeep.cs.uic.edu:8080/proofing/t5/532407-flowsheet-data-vitals-0-0.pdf","t5/532407-flowsheet-data-vitals-0-0.pdf")</f>
        <v>t5/532407-flowsheet-data-vitals-0-0.pdf</v>
      </c>
      <c r="E2218">
        <v>119960</v>
      </c>
      <c r="F2218">
        <v>532407</v>
      </c>
      <c r="G2218" t="s">
        <v>9</v>
      </c>
      <c r="H2218" t="s">
        <v>135</v>
      </c>
      <c r="I2218" t="s">
        <v>136</v>
      </c>
    </row>
    <row r="2219" spans="1:9" x14ac:dyDescent="0.2">
      <c r="A2219" t="s">
        <v>1660</v>
      </c>
      <c r="D2219" t="str">
        <f>HYPERLINK("http://nlpdeep.cs.uic.edu:8080/proofing/gsii/532407-flowsheet-data-vitals-0-0.pdf","gsii/532407-flowsheet-data-vitals-0-0.pdf")</f>
        <v>gsii/532407-flowsheet-data-vitals-0-0.pdf</v>
      </c>
      <c r="E2219">
        <v>119960</v>
      </c>
      <c r="F2219">
        <v>532407</v>
      </c>
      <c r="G2219" t="s">
        <v>9</v>
      </c>
      <c r="H2219" t="s">
        <v>135</v>
      </c>
      <c r="I2219" t="s">
        <v>136</v>
      </c>
    </row>
    <row r="2220" spans="1:9" x14ac:dyDescent="0.2">
      <c r="A2220" t="s">
        <v>1661</v>
      </c>
      <c r="D2220" t="str">
        <f>HYPERLINK("http://nlpdeep.cs.uic.edu:8080/proofing/t5/532407-physical-examination-0-0.pdf","t5/532407-physical-examination-0-0.pdf")</f>
        <v>t5/532407-physical-examination-0-0.pdf</v>
      </c>
      <c r="E2220">
        <v>119960</v>
      </c>
      <c r="F2220">
        <v>532407</v>
      </c>
      <c r="G2220" t="s">
        <v>9</v>
      </c>
      <c r="H2220" t="s">
        <v>138</v>
      </c>
      <c r="I2220" t="s">
        <v>139</v>
      </c>
    </row>
    <row r="2221" spans="1:9" x14ac:dyDescent="0.2">
      <c r="A2221" t="s">
        <v>1661</v>
      </c>
      <c r="D2221" t="str">
        <f>HYPERLINK("http://nlpdeep.cs.uic.edu:8080/proofing/gsii/532407-physical-examination-0-0.pdf","gsii/532407-physical-examination-0-0.pdf")</f>
        <v>gsii/532407-physical-examination-0-0.pdf</v>
      </c>
      <c r="E2221">
        <v>119960</v>
      </c>
      <c r="F2221">
        <v>532407</v>
      </c>
      <c r="G2221" t="s">
        <v>9</v>
      </c>
      <c r="H2221" t="s">
        <v>138</v>
      </c>
      <c r="I2221" t="s">
        <v>139</v>
      </c>
    </row>
    <row r="2222" spans="1:9" x14ac:dyDescent="0.2">
      <c r="A2222" t="s">
        <v>1662</v>
      </c>
      <c r="D2222" t="str">
        <f>HYPERLINK("http://nlpdeep.cs.uic.edu:8080/proofing/t5/532407-physical-examination-0-1.pdf","t5/532407-physical-examination-0-1.pdf")</f>
        <v>t5/532407-physical-examination-0-1.pdf</v>
      </c>
      <c r="E2222">
        <v>119960</v>
      </c>
      <c r="F2222">
        <v>532407</v>
      </c>
      <c r="G2222" t="s">
        <v>9</v>
      </c>
      <c r="H2222" t="s">
        <v>138</v>
      </c>
      <c r="I2222" t="s">
        <v>141</v>
      </c>
    </row>
    <row r="2223" spans="1:9" x14ac:dyDescent="0.2">
      <c r="A2223" t="s">
        <v>1662</v>
      </c>
      <c r="D2223" t="str">
        <f>HYPERLINK("http://nlpdeep.cs.uic.edu:8080/proofing/gsii/532407-physical-examination-0-1.pdf","gsii/532407-physical-examination-0-1.pdf")</f>
        <v>gsii/532407-physical-examination-0-1.pdf</v>
      </c>
      <c r="E2223">
        <v>119960</v>
      </c>
      <c r="F2223">
        <v>532407</v>
      </c>
      <c r="G2223" t="s">
        <v>9</v>
      </c>
      <c r="H2223" t="s">
        <v>138</v>
      </c>
      <c r="I2223" t="s">
        <v>141</v>
      </c>
    </row>
    <row r="2224" spans="1:9" x14ac:dyDescent="0.2">
      <c r="A2224" t="s">
        <v>1663</v>
      </c>
      <c r="D2224" t="str">
        <f>HYPERLINK("http://nlpdeep.cs.uic.edu:8080/proofing/t5/532407-physical-examination-0-2.pdf","t5/532407-physical-examination-0-2.pdf")</f>
        <v>t5/532407-physical-examination-0-2.pdf</v>
      </c>
      <c r="E2224">
        <v>119960</v>
      </c>
      <c r="F2224">
        <v>532407</v>
      </c>
      <c r="G2224" t="s">
        <v>9</v>
      </c>
      <c r="H2224" t="s">
        <v>138</v>
      </c>
      <c r="I2224" t="s">
        <v>143</v>
      </c>
    </row>
    <row r="2225" spans="1:9" x14ac:dyDescent="0.2">
      <c r="A2225" t="s">
        <v>1663</v>
      </c>
      <c r="D2225" t="str">
        <f>HYPERLINK("http://nlpdeep.cs.uic.edu:8080/proofing/gsii/532407-physical-examination-0-2.pdf","gsii/532407-physical-examination-0-2.pdf")</f>
        <v>gsii/532407-physical-examination-0-2.pdf</v>
      </c>
      <c r="E2225">
        <v>119960</v>
      </c>
      <c r="F2225">
        <v>532407</v>
      </c>
      <c r="G2225" t="s">
        <v>9</v>
      </c>
      <c r="H2225" t="s">
        <v>138</v>
      </c>
      <c r="I2225" t="s">
        <v>143</v>
      </c>
    </row>
    <row r="2226" spans="1:9" x14ac:dyDescent="0.2">
      <c r="A2226" t="s">
        <v>1664</v>
      </c>
      <c r="D2226" t="str">
        <f>HYPERLINK("http://nlpdeep.cs.uic.edu:8080/proofing/t5/532407-physical-examination-0-3.pdf","t5/532407-physical-examination-0-3.pdf")</f>
        <v>t5/532407-physical-examination-0-3.pdf</v>
      </c>
      <c r="E2226">
        <v>119960</v>
      </c>
      <c r="F2226">
        <v>532407</v>
      </c>
      <c r="G2226" t="s">
        <v>9</v>
      </c>
      <c r="H2226" t="s">
        <v>138</v>
      </c>
      <c r="I2226" t="s">
        <v>145</v>
      </c>
    </row>
    <row r="2227" spans="1:9" x14ac:dyDescent="0.2">
      <c r="A2227" t="s">
        <v>1664</v>
      </c>
      <c r="D2227" t="str">
        <f>HYPERLINK("http://nlpdeep.cs.uic.edu:8080/proofing/gsii/532407-physical-examination-0-3.pdf","gsii/532407-physical-examination-0-3.pdf")</f>
        <v>gsii/532407-physical-examination-0-3.pdf</v>
      </c>
      <c r="E2227">
        <v>119960</v>
      </c>
      <c r="F2227">
        <v>532407</v>
      </c>
      <c r="G2227" t="s">
        <v>9</v>
      </c>
      <c r="H2227" t="s">
        <v>138</v>
      </c>
      <c r="I2227" t="s">
        <v>145</v>
      </c>
    </row>
    <row r="2228" spans="1:9" x14ac:dyDescent="0.2">
      <c r="A2228" t="s">
        <v>1665</v>
      </c>
      <c r="D2228" t="str">
        <f>HYPERLINK("http://nlpdeep.cs.uic.edu:8080/proofing/t5/532407-labs-imaging-0-0.pdf","t5/532407-labs-imaging-0-0.pdf")</f>
        <v>t5/532407-labs-imaging-0-0.pdf</v>
      </c>
      <c r="E2228">
        <v>119960</v>
      </c>
      <c r="F2228">
        <v>532407</v>
      </c>
      <c r="G2228" t="s">
        <v>9</v>
      </c>
      <c r="H2228" t="s">
        <v>147</v>
      </c>
      <c r="I2228" t="s">
        <v>148</v>
      </c>
    </row>
    <row r="2229" spans="1:9" x14ac:dyDescent="0.2">
      <c r="A2229" t="s">
        <v>1665</v>
      </c>
      <c r="D2229" t="str">
        <f>HYPERLINK("http://nlpdeep.cs.uic.edu:8080/proofing/gsii/532407-labs-imaging-0-0.pdf","gsii/532407-labs-imaging-0-0.pdf")</f>
        <v>gsii/532407-labs-imaging-0-0.pdf</v>
      </c>
      <c r="E2229">
        <v>119960</v>
      </c>
      <c r="F2229">
        <v>532407</v>
      </c>
      <c r="G2229" t="s">
        <v>9</v>
      </c>
      <c r="H2229" t="s">
        <v>147</v>
      </c>
      <c r="I2229" t="s">
        <v>148</v>
      </c>
    </row>
    <row r="2230" spans="1:9" x14ac:dyDescent="0.2">
      <c r="A2230" t="s">
        <v>1666</v>
      </c>
      <c r="D2230" t="str">
        <f>HYPERLINK("http://nlpdeep.cs.uic.edu:8080/proofing/t5/532407-labs-imaging-0-1.pdf","t5/532407-labs-imaging-0-1.pdf")</f>
        <v>t5/532407-labs-imaging-0-1.pdf</v>
      </c>
      <c r="E2230">
        <v>119960</v>
      </c>
      <c r="F2230">
        <v>532407</v>
      </c>
      <c r="G2230" t="s">
        <v>9</v>
      </c>
      <c r="H2230" t="s">
        <v>147</v>
      </c>
      <c r="I2230" t="s">
        <v>150</v>
      </c>
    </row>
    <row r="2231" spans="1:9" x14ac:dyDescent="0.2">
      <c r="A2231" t="s">
        <v>1666</v>
      </c>
      <c r="D2231" t="str">
        <f>HYPERLINK("http://nlpdeep.cs.uic.edu:8080/proofing/gsii/532407-labs-imaging-0-1.pdf","gsii/532407-labs-imaging-0-1.pdf")</f>
        <v>gsii/532407-labs-imaging-0-1.pdf</v>
      </c>
      <c r="E2231">
        <v>119960</v>
      </c>
      <c r="F2231">
        <v>532407</v>
      </c>
      <c r="G2231" t="s">
        <v>9</v>
      </c>
      <c r="H2231" t="s">
        <v>147</v>
      </c>
      <c r="I2231" t="s">
        <v>150</v>
      </c>
    </row>
    <row r="2232" spans="1:9" x14ac:dyDescent="0.2">
      <c r="A2232" t="s">
        <v>1667</v>
      </c>
      <c r="D2232" t="str">
        <f>HYPERLINK("http://nlpdeep.cs.uic.edu:8080/proofing/t5/532407-labs-imaging-0-2.pdf","t5/532407-labs-imaging-0-2.pdf")</f>
        <v>t5/532407-labs-imaging-0-2.pdf</v>
      </c>
      <c r="E2232">
        <v>119960</v>
      </c>
      <c r="F2232">
        <v>532407</v>
      </c>
      <c r="G2232" t="s">
        <v>9</v>
      </c>
      <c r="H2232" t="s">
        <v>147</v>
      </c>
      <c r="I2232" t="s">
        <v>152</v>
      </c>
    </row>
    <row r="2233" spans="1:9" x14ac:dyDescent="0.2">
      <c r="A2233" t="s">
        <v>1667</v>
      </c>
      <c r="D2233" t="str">
        <f>HYPERLINK("http://nlpdeep.cs.uic.edu:8080/proofing/gsii/532407-labs-imaging-0-2.pdf","gsii/532407-labs-imaging-0-2.pdf")</f>
        <v>gsii/532407-labs-imaging-0-2.pdf</v>
      </c>
      <c r="E2233">
        <v>119960</v>
      </c>
      <c r="F2233">
        <v>532407</v>
      </c>
      <c r="G2233" t="s">
        <v>9</v>
      </c>
      <c r="H2233" t="s">
        <v>147</v>
      </c>
      <c r="I2233" t="s">
        <v>152</v>
      </c>
    </row>
    <row r="2234" spans="1:9" x14ac:dyDescent="0.2">
      <c r="A2234" t="s">
        <v>1668</v>
      </c>
      <c r="D2234" t="str">
        <f>HYPERLINK("http://nlpdeep.cs.uic.edu:8080/proofing/t5/532407-labs-imaging-0-3.pdf","t5/532407-labs-imaging-0-3.pdf")</f>
        <v>t5/532407-labs-imaging-0-3.pdf</v>
      </c>
      <c r="E2234">
        <v>119960</v>
      </c>
      <c r="F2234">
        <v>532407</v>
      </c>
      <c r="G2234" t="s">
        <v>9</v>
      </c>
      <c r="H2234" t="s">
        <v>147</v>
      </c>
      <c r="I2234" t="s">
        <v>154</v>
      </c>
    </row>
    <row r="2235" spans="1:9" x14ac:dyDescent="0.2">
      <c r="A2235" t="s">
        <v>1668</v>
      </c>
      <c r="D2235" t="str">
        <f>HYPERLINK("http://nlpdeep.cs.uic.edu:8080/proofing/gsii/532407-labs-imaging-0-3.pdf","gsii/532407-labs-imaging-0-3.pdf")</f>
        <v>gsii/532407-labs-imaging-0-3.pdf</v>
      </c>
      <c r="E2235">
        <v>119960</v>
      </c>
      <c r="F2235">
        <v>532407</v>
      </c>
      <c r="G2235" t="s">
        <v>9</v>
      </c>
      <c r="H2235" t="s">
        <v>147</v>
      </c>
      <c r="I2235" t="s">
        <v>154</v>
      </c>
    </row>
    <row r="2236" spans="1:9" x14ac:dyDescent="0.2">
      <c r="A2236" t="s">
        <v>1669</v>
      </c>
      <c r="D2236" t="str">
        <f>HYPERLINK("http://nlpdeep.cs.uic.edu:8080/proofing/t5/532407-labs-imaging-0-4.pdf","t5/532407-labs-imaging-0-4.pdf")</f>
        <v>t5/532407-labs-imaging-0-4.pdf</v>
      </c>
      <c r="E2236">
        <v>119960</v>
      </c>
      <c r="F2236">
        <v>532407</v>
      </c>
      <c r="G2236" t="s">
        <v>9</v>
      </c>
      <c r="H2236" t="s">
        <v>147</v>
      </c>
      <c r="I2236" t="s">
        <v>156</v>
      </c>
    </row>
    <row r="2237" spans="1:9" x14ac:dyDescent="0.2">
      <c r="A2237" t="s">
        <v>1669</v>
      </c>
      <c r="D2237" t="str">
        <f>HYPERLINK("http://nlpdeep.cs.uic.edu:8080/proofing/gsii/532407-labs-imaging-0-4.pdf","gsii/532407-labs-imaging-0-4.pdf")</f>
        <v>gsii/532407-labs-imaging-0-4.pdf</v>
      </c>
      <c r="E2237">
        <v>119960</v>
      </c>
      <c r="F2237">
        <v>532407</v>
      </c>
      <c r="G2237" t="s">
        <v>9</v>
      </c>
      <c r="H2237" t="s">
        <v>147</v>
      </c>
      <c r="I2237" t="s">
        <v>156</v>
      </c>
    </row>
    <row r="2238" spans="1:9" x14ac:dyDescent="0.2">
      <c r="A2238" t="s">
        <v>1670</v>
      </c>
      <c r="D2238" t="str">
        <f>HYPERLINK("http://nlpdeep.cs.uic.edu:8080/proofing/t5/532407-labs-imaging-0-5.pdf","t5/532407-labs-imaging-0-5.pdf")</f>
        <v>t5/532407-labs-imaging-0-5.pdf</v>
      </c>
      <c r="E2238">
        <v>119960</v>
      </c>
      <c r="F2238">
        <v>532407</v>
      </c>
      <c r="G2238" t="s">
        <v>9</v>
      </c>
      <c r="H2238" t="s">
        <v>147</v>
      </c>
      <c r="I2238" t="s">
        <v>158</v>
      </c>
    </row>
    <row r="2239" spans="1:9" x14ac:dyDescent="0.2">
      <c r="A2239" t="s">
        <v>1670</v>
      </c>
      <c r="D2239" t="str">
        <f>HYPERLINK("http://nlpdeep.cs.uic.edu:8080/proofing/gsii/532407-labs-imaging-0-5.pdf","gsii/532407-labs-imaging-0-5.pdf")</f>
        <v>gsii/532407-labs-imaging-0-5.pdf</v>
      </c>
      <c r="E2239">
        <v>119960</v>
      </c>
      <c r="F2239">
        <v>532407</v>
      </c>
      <c r="G2239" t="s">
        <v>9</v>
      </c>
      <c r="H2239" t="s">
        <v>147</v>
      </c>
      <c r="I2239" t="s">
        <v>158</v>
      </c>
    </row>
    <row r="2240" spans="1:9" x14ac:dyDescent="0.2">
      <c r="A2240" t="s">
        <v>1671</v>
      </c>
      <c r="D2240" t="str">
        <f>HYPERLINK("http://nlpdeep.cs.uic.edu:8080/proofing/t5/532407-labs-imaging-0-6.pdf","t5/532407-labs-imaging-0-6.pdf")</f>
        <v>t5/532407-labs-imaging-0-6.pdf</v>
      </c>
      <c r="E2240">
        <v>119960</v>
      </c>
      <c r="F2240">
        <v>532407</v>
      </c>
      <c r="G2240" t="s">
        <v>9</v>
      </c>
      <c r="H2240" t="s">
        <v>147</v>
      </c>
      <c r="I2240" t="s">
        <v>160</v>
      </c>
    </row>
    <row r="2241" spans="1:9" x14ac:dyDescent="0.2">
      <c r="A2241" t="s">
        <v>1671</v>
      </c>
      <c r="D2241" t="str">
        <f>HYPERLINK("http://nlpdeep.cs.uic.edu:8080/proofing/gsii/532407-labs-imaging-0-6.pdf","gsii/532407-labs-imaging-0-6.pdf")</f>
        <v>gsii/532407-labs-imaging-0-6.pdf</v>
      </c>
      <c r="E2241">
        <v>119960</v>
      </c>
      <c r="F2241">
        <v>532407</v>
      </c>
      <c r="G2241" t="s">
        <v>9</v>
      </c>
      <c r="H2241" t="s">
        <v>147</v>
      </c>
      <c r="I2241" t="s">
        <v>160</v>
      </c>
    </row>
    <row r="2242" spans="1:9" x14ac:dyDescent="0.2">
      <c r="A2242" t="s">
        <v>1672</v>
      </c>
      <c r="D2242" t="str">
        <f>HYPERLINK("http://nlpdeep.cs.uic.edu:8080/proofing/t5/532407-labs-imaging-0-7.pdf","t5/532407-labs-imaging-0-7.pdf")</f>
        <v>t5/532407-labs-imaging-0-7.pdf</v>
      </c>
      <c r="E2242">
        <v>119960</v>
      </c>
      <c r="F2242">
        <v>532407</v>
      </c>
      <c r="G2242" t="s">
        <v>9</v>
      </c>
      <c r="H2242" t="s">
        <v>147</v>
      </c>
      <c r="I2242" t="s">
        <v>162</v>
      </c>
    </row>
    <row r="2243" spans="1:9" x14ac:dyDescent="0.2">
      <c r="A2243" t="s">
        <v>1672</v>
      </c>
      <c r="D2243" t="str">
        <f>HYPERLINK("http://nlpdeep.cs.uic.edu:8080/proofing/gsii/532407-labs-imaging-0-7.pdf","gsii/532407-labs-imaging-0-7.pdf")</f>
        <v>gsii/532407-labs-imaging-0-7.pdf</v>
      </c>
      <c r="E2243">
        <v>119960</v>
      </c>
      <c r="F2243">
        <v>532407</v>
      </c>
      <c r="G2243" t="s">
        <v>9</v>
      </c>
      <c r="H2243" t="s">
        <v>147</v>
      </c>
      <c r="I2243" t="s">
        <v>162</v>
      </c>
    </row>
    <row r="2244" spans="1:9" x14ac:dyDescent="0.2">
      <c r="A2244" t="s">
        <v>1673</v>
      </c>
      <c r="D2244" t="str">
        <f>HYPERLINK("http://nlpdeep.cs.uic.edu:8080/proofing/t5/532407-labs-imaging-0-8.pdf","t5/532407-labs-imaging-0-8.pdf")</f>
        <v>t5/532407-labs-imaging-0-8.pdf</v>
      </c>
      <c r="E2244">
        <v>119960</v>
      </c>
      <c r="F2244">
        <v>532407</v>
      </c>
      <c r="G2244" t="s">
        <v>9</v>
      </c>
      <c r="H2244" t="s">
        <v>147</v>
      </c>
      <c r="I2244" t="s">
        <v>164</v>
      </c>
    </row>
    <row r="2245" spans="1:9" x14ac:dyDescent="0.2">
      <c r="A2245" t="s">
        <v>1673</v>
      </c>
      <c r="D2245" t="str">
        <f>HYPERLINK("http://nlpdeep.cs.uic.edu:8080/proofing/gsii/532407-labs-imaging-0-8.pdf","gsii/532407-labs-imaging-0-8.pdf")</f>
        <v>gsii/532407-labs-imaging-0-8.pdf</v>
      </c>
      <c r="E2245">
        <v>119960</v>
      </c>
      <c r="F2245">
        <v>532407</v>
      </c>
      <c r="G2245" t="s">
        <v>9</v>
      </c>
      <c r="H2245" t="s">
        <v>147</v>
      </c>
      <c r="I2245" t="s">
        <v>164</v>
      </c>
    </row>
    <row r="2246" spans="1:9" x14ac:dyDescent="0.2">
      <c r="A2246" t="s">
        <v>1674</v>
      </c>
      <c r="D2246" t="str">
        <f>HYPERLINK("http://nlpdeep.cs.uic.edu:8080/proofing/t5/532407-labs-imaging-1-0.pdf","t5/532407-labs-imaging-1-0.pdf")</f>
        <v>t5/532407-labs-imaging-1-0.pdf</v>
      </c>
      <c r="E2246">
        <v>119960</v>
      </c>
      <c r="F2246">
        <v>532407</v>
      </c>
      <c r="G2246" t="s">
        <v>9</v>
      </c>
      <c r="H2246" t="s">
        <v>147</v>
      </c>
    </row>
    <row r="2247" spans="1:9" x14ac:dyDescent="0.2">
      <c r="A2247" t="s">
        <v>1674</v>
      </c>
      <c r="D2247" t="str">
        <f>HYPERLINK("http://nlpdeep.cs.uic.edu:8080/proofing/gsii/532407-labs-imaging-1-0.pdf","gsii/532407-labs-imaging-1-0.pdf")</f>
        <v>gsii/532407-labs-imaging-1-0.pdf</v>
      </c>
      <c r="E2247">
        <v>119960</v>
      </c>
      <c r="F2247">
        <v>532407</v>
      </c>
      <c r="G2247" t="s">
        <v>9</v>
      </c>
      <c r="H2247" t="s">
        <v>147</v>
      </c>
    </row>
    <row r="2248" spans="1:9" x14ac:dyDescent="0.2">
      <c r="A2248" t="s">
        <v>1675</v>
      </c>
      <c r="D2248" t="str">
        <f>HYPERLINK("http://nlpdeep.cs.uic.edu:8080/proofing/t5/532407-labs-imaging-2-0.pdf","t5/532407-labs-imaging-2-0.pdf")</f>
        <v>t5/532407-labs-imaging-2-0.pdf</v>
      </c>
      <c r="E2248">
        <v>119960</v>
      </c>
      <c r="F2248">
        <v>532407</v>
      </c>
      <c r="G2248" t="s">
        <v>9</v>
      </c>
      <c r="H2248" t="s">
        <v>147</v>
      </c>
    </row>
    <row r="2249" spans="1:9" x14ac:dyDescent="0.2">
      <c r="A2249" t="s">
        <v>1675</v>
      </c>
      <c r="D2249" t="str">
        <f>HYPERLINK("http://nlpdeep.cs.uic.edu:8080/proofing/gsii/532407-labs-imaging-2-0.pdf","gsii/532407-labs-imaging-2-0.pdf")</f>
        <v>gsii/532407-labs-imaging-2-0.pdf</v>
      </c>
      <c r="E2249">
        <v>119960</v>
      </c>
      <c r="F2249">
        <v>532407</v>
      </c>
      <c r="G2249" t="s">
        <v>9</v>
      </c>
      <c r="H2249" t="s">
        <v>147</v>
      </c>
    </row>
    <row r="2250" spans="1:9" x14ac:dyDescent="0.2">
      <c r="A2250" t="s">
        <v>1676</v>
      </c>
      <c r="D2250" t="str">
        <f>HYPERLINK("http://nlpdeep.cs.uic.edu:8080/proofing/t5/532407-labs-imaging-3-0.pdf","t5/532407-labs-imaging-3-0.pdf")</f>
        <v>t5/532407-labs-imaging-3-0.pdf</v>
      </c>
      <c r="E2250">
        <v>119960</v>
      </c>
      <c r="F2250">
        <v>532407</v>
      </c>
      <c r="G2250" t="s">
        <v>9</v>
      </c>
      <c r="H2250" t="s">
        <v>147</v>
      </c>
    </row>
    <row r="2251" spans="1:9" x14ac:dyDescent="0.2">
      <c r="A2251" t="s">
        <v>1676</v>
      </c>
      <c r="D2251" t="str">
        <f>HYPERLINK("http://nlpdeep.cs.uic.edu:8080/proofing/gsii/532407-labs-imaging-3-0.pdf","gsii/532407-labs-imaging-3-0.pdf")</f>
        <v>gsii/532407-labs-imaging-3-0.pdf</v>
      </c>
      <c r="E2251">
        <v>119960</v>
      </c>
      <c r="F2251">
        <v>532407</v>
      </c>
      <c r="G2251" t="s">
        <v>9</v>
      </c>
      <c r="H2251" t="s">
        <v>147</v>
      </c>
    </row>
    <row r="2252" spans="1:9" x14ac:dyDescent="0.2">
      <c r="A2252" t="s">
        <v>1677</v>
      </c>
      <c r="D2252" t="str">
        <f>HYPERLINK("http://nlpdeep.cs.uic.edu:8080/proofing/t5/532407-labs-imaging-4-0.pdf","t5/532407-labs-imaging-4-0.pdf")</f>
        <v>t5/532407-labs-imaging-4-0.pdf</v>
      </c>
      <c r="E2252">
        <v>119960</v>
      </c>
      <c r="F2252">
        <v>532407</v>
      </c>
      <c r="G2252" t="s">
        <v>9</v>
      </c>
      <c r="H2252" t="s">
        <v>147</v>
      </c>
      <c r="I2252" t="s">
        <v>169</v>
      </c>
    </row>
    <row r="2253" spans="1:9" x14ac:dyDescent="0.2">
      <c r="A2253" t="s">
        <v>1677</v>
      </c>
      <c r="D2253" t="str">
        <f>HYPERLINK("http://nlpdeep.cs.uic.edu:8080/proofing/gsii/532407-labs-imaging-4-0.pdf","gsii/532407-labs-imaging-4-0.pdf")</f>
        <v>gsii/532407-labs-imaging-4-0.pdf</v>
      </c>
      <c r="E2253">
        <v>119960</v>
      </c>
      <c r="F2253">
        <v>532407</v>
      </c>
      <c r="G2253" t="s">
        <v>9</v>
      </c>
      <c r="H2253" t="s">
        <v>147</v>
      </c>
      <c r="I2253" t="s">
        <v>169</v>
      </c>
    </row>
    <row r="2254" spans="1:9" x14ac:dyDescent="0.2">
      <c r="A2254" t="s">
        <v>1678</v>
      </c>
      <c r="D2254" t="str">
        <f>HYPERLINK("http://nlpdeep.cs.uic.edu:8080/proofing/t5/532407-labs-imaging-4-1.pdf","t5/532407-labs-imaging-4-1.pdf")</f>
        <v>t5/532407-labs-imaging-4-1.pdf</v>
      </c>
      <c r="E2254">
        <v>119960</v>
      </c>
      <c r="F2254">
        <v>532407</v>
      </c>
      <c r="G2254" t="s">
        <v>9</v>
      </c>
      <c r="H2254" t="s">
        <v>147</v>
      </c>
      <c r="I2254" t="s">
        <v>171</v>
      </c>
    </row>
    <row r="2255" spans="1:9" x14ac:dyDescent="0.2">
      <c r="A2255" t="s">
        <v>1678</v>
      </c>
      <c r="D2255" t="str">
        <f>HYPERLINK("http://nlpdeep.cs.uic.edu:8080/proofing/gsii/532407-labs-imaging-4-1.pdf","gsii/532407-labs-imaging-4-1.pdf")</f>
        <v>gsii/532407-labs-imaging-4-1.pdf</v>
      </c>
      <c r="E2255">
        <v>119960</v>
      </c>
      <c r="F2255">
        <v>532407</v>
      </c>
      <c r="G2255" t="s">
        <v>9</v>
      </c>
      <c r="H2255" t="s">
        <v>147</v>
      </c>
      <c r="I2255" t="s">
        <v>171</v>
      </c>
    </row>
    <row r="2256" spans="1:9" x14ac:dyDescent="0.2">
      <c r="A2256" t="s">
        <v>1679</v>
      </c>
      <c r="D2256" t="str">
        <f>HYPERLINK("http://nlpdeep.cs.uic.edu:8080/proofing/t5/532407-labs-imaging-4-2.pdf","t5/532407-labs-imaging-4-2.pdf")</f>
        <v>t5/532407-labs-imaging-4-2.pdf</v>
      </c>
      <c r="E2256">
        <v>119960</v>
      </c>
      <c r="F2256">
        <v>532407</v>
      </c>
      <c r="G2256" t="s">
        <v>9</v>
      </c>
      <c r="H2256" t="s">
        <v>147</v>
      </c>
      <c r="I2256" t="s">
        <v>173</v>
      </c>
    </row>
    <row r="2257" spans="1:9" x14ac:dyDescent="0.2">
      <c r="A2257" t="s">
        <v>1679</v>
      </c>
      <c r="D2257" t="str">
        <f>HYPERLINK("http://nlpdeep.cs.uic.edu:8080/proofing/gsii/532407-labs-imaging-4-2.pdf","gsii/532407-labs-imaging-4-2.pdf")</f>
        <v>gsii/532407-labs-imaging-4-2.pdf</v>
      </c>
      <c r="E2257">
        <v>119960</v>
      </c>
      <c r="F2257">
        <v>532407</v>
      </c>
      <c r="G2257" t="s">
        <v>9</v>
      </c>
      <c r="H2257" t="s">
        <v>147</v>
      </c>
      <c r="I2257" t="s">
        <v>173</v>
      </c>
    </row>
    <row r="2258" spans="1:9" x14ac:dyDescent="0.2">
      <c r="A2258" t="s">
        <v>1680</v>
      </c>
      <c r="D2258" t="str">
        <f>HYPERLINK("http://nlpdeep.cs.uic.edu:8080/proofing/t5/532407-labs-imaging-4-3.pdf","t5/532407-labs-imaging-4-3.pdf")</f>
        <v>t5/532407-labs-imaging-4-3.pdf</v>
      </c>
      <c r="E2258">
        <v>119960</v>
      </c>
      <c r="F2258">
        <v>532407</v>
      </c>
      <c r="G2258" t="s">
        <v>9</v>
      </c>
      <c r="H2258" t="s">
        <v>147</v>
      </c>
      <c r="I2258" t="s">
        <v>175</v>
      </c>
    </row>
    <row r="2259" spans="1:9" x14ac:dyDescent="0.2">
      <c r="A2259" t="s">
        <v>1680</v>
      </c>
      <c r="D2259" t="str">
        <f>HYPERLINK("http://nlpdeep.cs.uic.edu:8080/proofing/gsii/532407-labs-imaging-4-3.pdf","gsii/532407-labs-imaging-4-3.pdf")</f>
        <v>gsii/532407-labs-imaging-4-3.pdf</v>
      </c>
      <c r="E2259">
        <v>119960</v>
      </c>
      <c r="F2259">
        <v>532407</v>
      </c>
      <c r="G2259" t="s">
        <v>9</v>
      </c>
      <c r="H2259" t="s">
        <v>147</v>
      </c>
      <c r="I2259" t="s">
        <v>175</v>
      </c>
    </row>
    <row r="2260" spans="1:9" x14ac:dyDescent="0.2">
      <c r="A2260" t="s">
        <v>1681</v>
      </c>
      <c r="D2260" t="str">
        <f>HYPERLINK("http://nlpdeep.cs.uic.edu:8080/proofing/t5/532407-labs-imaging-5-0.pdf","t5/532407-labs-imaging-5-0.pdf")</f>
        <v>t5/532407-labs-imaging-5-0.pdf</v>
      </c>
      <c r="E2260">
        <v>119960</v>
      </c>
      <c r="F2260">
        <v>532407</v>
      </c>
      <c r="G2260" t="s">
        <v>9</v>
      </c>
      <c r="H2260" t="s">
        <v>147</v>
      </c>
      <c r="I2260" t="s">
        <v>177</v>
      </c>
    </row>
    <row r="2261" spans="1:9" x14ac:dyDescent="0.2">
      <c r="A2261" t="s">
        <v>1681</v>
      </c>
      <c r="D2261" t="str">
        <f>HYPERLINK("http://nlpdeep.cs.uic.edu:8080/proofing/gsii/532407-labs-imaging-5-0.pdf","gsii/532407-labs-imaging-5-0.pdf")</f>
        <v>gsii/532407-labs-imaging-5-0.pdf</v>
      </c>
      <c r="E2261">
        <v>119960</v>
      </c>
      <c r="F2261">
        <v>532407</v>
      </c>
      <c r="G2261" t="s">
        <v>9</v>
      </c>
      <c r="H2261" t="s">
        <v>147</v>
      </c>
      <c r="I2261" t="s">
        <v>177</v>
      </c>
    </row>
    <row r="2262" spans="1:9" x14ac:dyDescent="0.2">
      <c r="A2262" t="s">
        <v>1682</v>
      </c>
      <c r="D2262" t="str">
        <f>HYPERLINK("http://nlpdeep.cs.uic.edu:8080/proofing/t5/532407-labs-imaging-5-1.pdf","t5/532407-labs-imaging-5-1.pdf")</f>
        <v>t5/532407-labs-imaging-5-1.pdf</v>
      </c>
      <c r="E2262">
        <v>119960</v>
      </c>
      <c r="F2262">
        <v>532407</v>
      </c>
      <c r="G2262" t="s">
        <v>9</v>
      </c>
      <c r="H2262" t="s">
        <v>147</v>
      </c>
      <c r="I2262" t="s">
        <v>179</v>
      </c>
    </row>
    <row r="2263" spans="1:9" x14ac:dyDescent="0.2">
      <c r="A2263" t="s">
        <v>1682</v>
      </c>
      <c r="D2263" t="str">
        <f>HYPERLINK("http://nlpdeep.cs.uic.edu:8080/proofing/gsii/532407-labs-imaging-5-1.pdf","gsii/532407-labs-imaging-5-1.pdf")</f>
        <v>gsii/532407-labs-imaging-5-1.pdf</v>
      </c>
      <c r="E2263">
        <v>119960</v>
      </c>
      <c r="F2263">
        <v>532407</v>
      </c>
      <c r="G2263" t="s">
        <v>9</v>
      </c>
      <c r="H2263" t="s">
        <v>147</v>
      </c>
      <c r="I2263" t="s">
        <v>179</v>
      </c>
    </row>
    <row r="2264" spans="1:9" x14ac:dyDescent="0.2">
      <c r="A2264" t="s">
        <v>1683</v>
      </c>
      <c r="D2264" t="str">
        <f>HYPERLINK("http://nlpdeep.cs.uic.edu:8080/proofing/t5/532407-labs-imaging-5-2.pdf","t5/532407-labs-imaging-5-2.pdf")</f>
        <v>t5/532407-labs-imaging-5-2.pdf</v>
      </c>
      <c r="E2264">
        <v>119960</v>
      </c>
      <c r="F2264">
        <v>532407</v>
      </c>
      <c r="G2264" t="s">
        <v>9</v>
      </c>
      <c r="H2264" t="s">
        <v>147</v>
      </c>
      <c r="I2264" t="s">
        <v>181</v>
      </c>
    </row>
    <row r="2265" spans="1:9" x14ac:dyDescent="0.2">
      <c r="A2265" t="s">
        <v>1683</v>
      </c>
      <c r="D2265" t="str">
        <f>HYPERLINK("http://nlpdeep.cs.uic.edu:8080/proofing/gsii/532407-labs-imaging-5-2.pdf","gsii/532407-labs-imaging-5-2.pdf")</f>
        <v>gsii/532407-labs-imaging-5-2.pdf</v>
      </c>
      <c r="E2265">
        <v>119960</v>
      </c>
      <c r="F2265">
        <v>532407</v>
      </c>
      <c r="G2265" t="s">
        <v>9</v>
      </c>
      <c r="H2265" t="s">
        <v>147</v>
      </c>
      <c r="I2265" t="s">
        <v>181</v>
      </c>
    </row>
    <row r="2266" spans="1:9" x14ac:dyDescent="0.2">
      <c r="A2266" t="s">
        <v>1684</v>
      </c>
      <c r="D2266" t="str">
        <f>HYPERLINK("http://nlpdeep.cs.uic.edu:8080/proofing/t5/532407-labs-imaging-5-3.pdf","t5/532407-labs-imaging-5-3.pdf")</f>
        <v>t5/532407-labs-imaging-5-3.pdf</v>
      </c>
      <c r="E2266">
        <v>119960</v>
      </c>
      <c r="F2266">
        <v>532407</v>
      </c>
      <c r="G2266" t="s">
        <v>9</v>
      </c>
      <c r="H2266" t="s">
        <v>147</v>
      </c>
      <c r="I2266" t="s">
        <v>183</v>
      </c>
    </row>
    <row r="2267" spans="1:9" x14ac:dyDescent="0.2">
      <c r="A2267" t="s">
        <v>1684</v>
      </c>
      <c r="D2267" t="str">
        <f>HYPERLINK("http://nlpdeep.cs.uic.edu:8080/proofing/gsii/532407-labs-imaging-5-3.pdf","gsii/532407-labs-imaging-5-3.pdf")</f>
        <v>gsii/532407-labs-imaging-5-3.pdf</v>
      </c>
      <c r="E2267">
        <v>119960</v>
      </c>
      <c r="F2267">
        <v>532407</v>
      </c>
      <c r="G2267" t="s">
        <v>9</v>
      </c>
      <c r="H2267" t="s">
        <v>147</v>
      </c>
      <c r="I2267" t="s">
        <v>183</v>
      </c>
    </row>
    <row r="2268" spans="1:9" x14ac:dyDescent="0.2">
      <c r="A2268" t="s">
        <v>1685</v>
      </c>
      <c r="D2268" t="str">
        <f>HYPERLINK("http://nlpdeep.cs.uic.edu:8080/proofing/t5/532407-labs-imaging-5-4.pdf","t5/532407-labs-imaging-5-4.pdf")</f>
        <v>t5/532407-labs-imaging-5-4.pdf</v>
      </c>
      <c r="E2268">
        <v>119960</v>
      </c>
      <c r="F2268">
        <v>532407</v>
      </c>
      <c r="G2268" t="s">
        <v>9</v>
      </c>
      <c r="H2268" t="s">
        <v>147</v>
      </c>
      <c r="I2268" t="s">
        <v>185</v>
      </c>
    </row>
    <row r="2269" spans="1:9" x14ac:dyDescent="0.2">
      <c r="A2269" t="s">
        <v>1685</v>
      </c>
      <c r="D2269" t="str">
        <f>HYPERLINK("http://nlpdeep.cs.uic.edu:8080/proofing/gsii/532407-labs-imaging-5-4.pdf","gsii/532407-labs-imaging-5-4.pdf")</f>
        <v>gsii/532407-labs-imaging-5-4.pdf</v>
      </c>
      <c r="E2269">
        <v>119960</v>
      </c>
      <c r="F2269">
        <v>532407</v>
      </c>
      <c r="G2269" t="s">
        <v>9</v>
      </c>
      <c r="H2269" t="s">
        <v>147</v>
      </c>
      <c r="I2269" t="s">
        <v>185</v>
      </c>
    </row>
    <row r="2270" spans="1:9" x14ac:dyDescent="0.2">
      <c r="A2270" t="s">
        <v>1686</v>
      </c>
      <c r="D2270" t="str">
        <f>HYPERLINK("http://nlpdeep.cs.uic.edu:8080/proofing/t5/532407-labs-imaging-6-0.pdf","t5/532407-labs-imaging-6-0.pdf")</f>
        <v>t5/532407-labs-imaging-6-0.pdf</v>
      </c>
      <c r="E2270">
        <v>119960</v>
      </c>
      <c r="F2270">
        <v>532407</v>
      </c>
      <c r="G2270" t="s">
        <v>9</v>
      </c>
      <c r="H2270" t="s">
        <v>147</v>
      </c>
      <c r="I2270" t="s">
        <v>187</v>
      </c>
    </row>
    <row r="2271" spans="1:9" x14ac:dyDescent="0.2">
      <c r="A2271" t="s">
        <v>1686</v>
      </c>
      <c r="D2271" t="str">
        <f>HYPERLINK("http://nlpdeep.cs.uic.edu:8080/proofing/gsii/532407-labs-imaging-6-0.pdf","gsii/532407-labs-imaging-6-0.pdf")</f>
        <v>gsii/532407-labs-imaging-6-0.pdf</v>
      </c>
      <c r="E2271">
        <v>119960</v>
      </c>
      <c r="F2271">
        <v>532407</v>
      </c>
      <c r="G2271" t="s">
        <v>9</v>
      </c>
      <c r="H2271" t="s">
        <v>147</v>
      </c>
      <c r="I2271" t="s">
        <v>187</v>
      </c>
    </row>
    <row r="2272" spans="1:9" x14ac:dyDescent="0.2">
      <c r="A2272" t="s">
        <v>1687</v>
      </c>
      <c r="D2272" t="str">
        <f>HYPERLINK("http://nlpdeep.cs.uic.edu:8080/proofing/t5/532407-labs-imaging-6-1.pdf","t5/532407-labs-imaging-6-1.pdf")</f>
        <v>t5/532407-labs-imaging-6-1.pdf</v>
      </c>
      <c r="E2272">
        <v>119960</v>
      </c>
      <c r="F2272">
        <v>532407</v>
      </c>
      <c r="G2272" t="s">
        <v>9</v>
      </c>
      <c r="H2272" t="s">
        <v>147</v>
      </c>
      <c r="I2272" t="s">
        <v>189</v>
      </c>
    </row>
    <row r="2273" spans="1:9" x14ac:dyDescent="0.2">
      <c r="A2273" t="s">
        <v>1687</v>
      </c>
      <c r="D2273" t="str">
        <f>HYPERLINK("http://nlpdeep.cs.uic.edu:8080/proofing/gsii/532407-labs-imaging-6-1.pdf","gsii/532407-labs-imaging-6-1.pdf")</f>
        <v>gsii/532407-labs-imaging-6-1.pdf</v>
      </c>
      <c r="E2273">
        <v>119960</v>
      </c>
      <c r="F2273">
        <v>532407</v>
      </c>
      <c r="G2273" t="s">
        <v>9</v>
      </c>
      <c r="H2273" t="s">
        <v>147</v>
      </c>
      <c r="I2273" t="s">
        <v>189</v>
      </c>
    </row>
    <row r="2274" spans="1:9" x14ac:dyDescent="0.2">
      <c r="A2274" t="s">
        <v>1688</v>
      </c>
      <c r="D2274" t="str">
        <f>HYPERLINK("http://nlpdeep.cs.uic.edu:8080/proofing/t5/532407-labs-imaging-6-2.pdf","t5/532407-labs-imaging-6-2.pdf")</f>
        <v>t5/532407-labs-imaging-6-2.pdf</v>
      </c>
      <c r="E2274">
        <v>119960</v>
      </c>
      <c r="F2274">
        <v>532407</v>
      </c>
      <c r="G2274" t="s">
        <v>9</v>
      </c>
      <c r="H2274" t="s">
        <v>147</v>
      </c>
      <c r="I2274" t="s">
        <v>191</v>
      </c>
    </row>
    <row r="2275" spans="1:9" x14ac:dyDescent="0.2">
      <c r="A2275" t="s">
        <v>1688</v>
      </c>
      <c r="D2275" t="str">
        <f>HYPERLINK("http://nlpdeep.cs.uic.edu:8080/proofing/gsii/532407-labs-imaging-6-2.pdf","gsii/532407-labs-imaging-6-2.pdf")</f>
        <v>gsii/532407-labs-imaging-6-2.pdf</v>
      </c>
      <c r="E2275">
        <v>119960</v>
      </c>
      <c r="F2275">
        <v>532407</v>
      </c>
      <c r="G2275" t="s">
        <v>9</v>
      </c>
      <c r="H2275" t="s">
        <v>147</v>
      </c>
      <c r="I2275" t="s">
        <v>191</v>
      </c>
    </row>
    <row r="2276" spans="1:9" x14ac:dyDescent="0.2">
      <c r="A2276" t="s">
        <v>1689</v>
      </c>
      <c r="D2276" t="str">
        <f>HYPERLINK("http://nlpdeep.cs.uic.edu:8080/proofing/t5/532407-labs-imaging-6-3.pdf","t5/532407-labs-imaging-6-3.pdf")</f>
        <v>t5/532407-labs-imaging-6-3.pdf</v>
      </c>
      <c r="E2276">
        <v>119960</v>
      </c>
      <c r="F2276">
        <v>532407</v>
      </c>
      <c r="G2276" t="s">
        <v>9</v>
      </c>
      <c r="H2276" t="s">
        <v>147</v>
      </c>
      <c r="I2276" t="s">
        <v>193</v>
      </c>
    </row>
    <row r="2277" spans="1:9" x14ac:dyDescent="0.2">
      <c r="A2277" t="s">
        <v>1689</v>
      </c>
      <c r="D2277" t="str">
        <f>HYPERLINK("http://nlpdeep.cs.uic.edu:8080/proofing/gsii/532407-labs-imaging-6-3.pdf","gsii/532407-labs-imaging-6-3.pdf")</f>
        <v>gsii/532407-labs-imaging-6-3.pdf</v>
      </c>
      <c r="E2277">
        <v>119960</v>
      </c>
      <c r="F2277">
        <v>532407</v>
      </c>
      <c r="G2277" t="s">
        <v>9</v>
      </c>
      <c r="H2277" t="s">
        <v>147</v>
      </c>
      <c r="I2277" t="s">
        <v>193</v>
      </c>
    </row>
    <row r="2278" spans="1:9" x14ac:dyDescent="0.2">
      <c r="A2278" t="s">
        <v>1690</v>
      </c>
      <c r="D2278" t="str">
        <f>HYPERLINK("http://nlpdeep.cs.uic.edu:8080/proofing/t5/532407-assessment-and-plan-0-0.pdf","t5/532407-assessment-and-plan-0-0.pdf")</f>
        <v>t5/532407-assessment-and-plan-0-0.pdf</v>
      </c>
      <c r="E2278">
        <v>119960</v>
      </c>
      <c r="F2278">
        <v>532407</v>
      </c>
      <c r="G2278" t="s">
        <v>9</v>
      </c>
      <c r="H2278" t="s">
        <v>195</v>
      </c>
      <c r="I2278" t="s">
        <v>196</v>
      </c>
    </row>
  </sheetData>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78"/>
  <sheetViews>
    <sheetView workbookViewId="0">
      <selection activeCell="B1" sqref="B1"/>
    </sheetView>
  </sheetViews>
  <sheetFormatPr baseColWidth="10" defaultColWidth="8.83203125" defaultRowHeight="15" x14ac:dyDescent="0.2"/>
  <cols>
    <col min="1" max="1" width="29.6640625" customWidth="1"/>
    <col min="2" max="2" width="18" customWidth="1"/>
    <col min="3" max="3" width="23" customWidth="1"/>
    <col min="9" max="9" width="149.1640625" customWidth="1"/>
  </cols>
  <sheetData>
    <row r="1" spans="1:9" x14ac:dyDescent="0.2">
      <c r="A1" s="1" t="s">
        <v>0</v>
      </c>
      <c r="B1" s="1" t="s">
        <v>5578</v>
      </c>
      <c r="C1" s="1" t="s">
        <v>1</v>
      </c>
      <c r="D1" s="1" t="s">
        <v>2</v>
      </c>
      <c r="E1" s="1" t="s">
        <v>3</v>
      </c>
      <c r="F1" s="1" t="s">
        <v>4</v>
      </c>
      <c r="G1" s="1" t="s">
        <v>5</v>
      </c>
      <c r="H1" s="1" t="s">
        <v>6</v>
      </c>
      <c r="I1" s="1" t="s">
        <v>7</v>
      </c>
    </row>
    <row r="2" spans="1:9" x14ac:dyDescent="0.2">
      <c r="A2" t="s">
        <v>1690</v>
      </c>
      <c r="D2" t="str">
        <f>HYPERLINK("http://nlpdeep.cs.uic.edu:8080/proofing/gsii/532407-assessment-and-plan-0-0.pdf","gsii/532407-assessment-and-plan-0-0.pdf")</f>
        <v>gsii/532407-assessment-and-plan-0-0.pdf</v>
      </c>
      <c r="E2">
        <v>119960</v>
      </c>
      <c r="F2">
        <v>532407</v>
      </c>
      <c r="G2" t="s">
        <v>9</v>
      </c>
      <c r="H2" t="s">
        <v>195</v>
      </c>
      <c r="I2" t="s">
        <v>196</v>
      </c>
    </row>
    <row r="3" spans="1:9" x14ac:dyDescent="0.2">
      <c r="A3" t="s">
        <v>1691</v>
      </c>
      <c r="D3" t="str">
        <f>HYPERLINK("http://nlpdeep.cs.uic.edu:8080/proofing/t5/532407-communication-0-0.pdf","t5/532407-communication-0-0.pdf")</f>
        <v>t5/532407-communication-0-0.pdf</v>
      </c>
      <c r="E3">
        <v>119960</v>
      </c>
      <c r="F3">
        <v>532407</v>
      </c>
      <c r="G3" t="s">
        <v>9</v>
      </c>
      <c r="H3" t="s">
        <v>198</v>
      </c>
      <c r="I3" t="s">
        <v>199</v>
      </c>
    </row>
    <row r="4" spans="1:9" x14ac:dyDescent="0.2">
      <c r="A4" t="s">
        <v>1691</v>
      </c>
      <c r="D4" t="str">
        <f>HYPERLINK("http://nlpdeep.cs.uic.edu:8080/proofing/gsii/532407-communication-0-0.pdf","gsii/532407-communication-0-0.pdf")</f>
        <v>gsii/532407-communication-0-0.pdf</v>
      </c>
      <c r="E4">
        <v>119960</v>
      </c>
      <c r="F4">
        <v>532407</v>
      </c>
      <c r="G4" t="s">
        <v>9</v>
      </c>
      <c r="H4" t="s">
        <v>198</v>
      </c>
      <c r="I4" t="s">
        <v>199</v>
      </c>
    </row>
    <row r="5" spans="1:9" x14ac:dyDescent="0.2">
      <c r="A5" t="s">
        <v>1692</v>
      </c>
      <c r="D5" t="str">
        <f>HYPERLINK("http://nlpdeep.cs.uic.edu:8080/proofing/t5/532407-code-status-0-0.pdf","t5/532407-code-status-0-0.pdf")</f>
        <v>t5/532407-code-status-0-0.pdf</v>
      </c>
      <c r="E5">
        <v>119960</v>
      </c>
      <c r="F5">
        <v>532407</v>
      </c>
      <c r="G5" t="s">
        <v>9</v>
      </c>
      <c r="H5" t="s">
        <v>201</v>
      </c>
      <c r="I5" t="s">
        <v>202</v>
      </c>
    </row>
    <row r="6" spans="1:9" x14ac:dyDescent="0.2">
      <c r="A6" t="s">
        <v>1692</v>
      </c>
      <c r="D6" t="str">
        <f>HYPERLINK("http://nlpdeep.cs.uic.edu:8080/proofing/gsii/532407-code-status-0-0.pdf","gsii/532407-code-status-0-0.pdf")</f>
        <v>gsii/532407-code-status-0-0.pdf</v>
      </c>
      <c r="E6">
        <v>119960</v>
      </c>
      <c r="F6">
        <v>532407</v>
      </c>
      <c r="G6" t="s">
        <v>9</v>
      </c>
      <c r="H6" t="s">
        <v>201</v>
      </c>
      <c r="I6" t="s">
        <v>202</v>
      </c>
    </row>
    <row r="7" spans="1:9" x14ac:dyDescent="0.2">
      <c r="A7" t="s">
        <v>1693</v>
      </c>
      <c r="D7" t="str">
        <f>HYPERLINK("http://nlpdeep.cs.uic.edu:8080/proofing/t5/532407-disposition-0-0.pdf","t5/532407-disposition-0-0.pdf")</f>
        <v>t5/532407-disposition-0-0.pdf</v>
      </c>
      <c r="E7">
        <v>119960</v>
      </c>
      <c r="F7">
        <v>532407</v>
      </c>
      <c r="G7" t="s">
        <v>9</v>
      </c>
      <c r="H7" t="s">
        <v>204</v>
      </c>
      <c r="I7" t="s">
        <v>205</v>
      </c>
    </row>
    <row r="8" spans="1:9" x14ac:dyDescent="0.2">
      <c r="A8" t="s">
        <v>1693</v>
      </c>
      <c r="D8" t="str">
        <f>HYPERLINK("http://nlpdeep.cs.uic.edu:8080/proofing/gsii/532407-disposition-0-0.pdf","gsii/532407-disposition-0-0.pdf")</f>
        <v>gsii/532407-disposition-0-0.pdf</v>
      </c>
      <c r="E8">
        <v>119960</v>
      </c>
      <c r="F8">
        <v>532407</v>
      </c>
      <c r="G8" t="s">
        <v>9</v>
      </c>
      <c r="H8" t="s">
        <v>204</v>
      </c>
      <c r="I8" t="s">
        <v>205</v>
      </c>
    </row>
    <row r="9" spans="1:9" x14ac:dyDescent="0.2">
      <c r="A9" t="s">
        <v>1694</v>
      </c>
      <c r="D9" t="str">
        <f>HYPERLINK("http://nlpdeep.cs.uic.edu:8080/proofing/t5/9313-history-of-present-illness-0-0.pdf","t5/9313-history-of-present-illness-0-0.pdf")</f>
        <v>t5/9313-history-of-present-illness-0-0.pdf</v>
      </c>
      <c r="E9">
        <v>118659</v>
      </c>
      <c r="F9">
        <v>9313</v>
      </c>
      <c r="G9" t="s">
        <v>745</v>
      </c>
      <c r="H9" t="s">
        <v>13</v>
      </c>
      <c r="I9" t="s">
        <v>1695</v>
      </c>
    </row>
    <row r="10" spans="1:9" x14ac:dyDescent="0.2">
      <c r="A10" t="s">
        <v>1694</v>
      </c>
      <c r="D10" t="str">
        <f>HYPERLINK("http://nlpdeep.cs.uic.edu:8080/proofing/gsii/9313-history-of-present-illness-0-0.pdf","gsii/9313-history-of-present-illness-0-0.pdf")</f>
        <v>gsii/9313-history-of-present-illness-0-0.pdf</v>
      </c>
      <c r="E10">
        <v>118659</v>
      </c>
      <c r="F10">
        <v>9313</v>
      </c>
      <c r="G10" t="s">
        <v>745</v>
      </c>
      <c r="H10" t="s">
        <v>13</v>
      </c>
      <c r="I10" t="s">
        <v>1695</v>
      </c>
    </row>
    <row r="11" spans="1:9" x14ac:dyDescent="0.2">
      <c r="A11" t="s">
        <v>1696</v>
      </c>
      <c r="D11" t="str">
        <f>HYPERLINK("http://nlpdeep.cs.uic.edu:8080/proofing/t5/9313-history-of-present-illness-0-1.pdf","t5/9313-history-of-present-illness-0-1.pdf")</f>
        <v>t5/9313-history-of-present-illness-0-1.pdf</v>
      </c>
      <c r="E11">
        <v>118659</v>
      </c>
      <c r="F11">
        <v>9313</v>
      </c>
      <c r="G11" t="s">
        <v>745</v>
      </c>
      <c r="H11" t="s">
        <v>13</v>
      </c>
      <c r="I11" t="s">
        <v>1697</v>
      </c>
    </row>
    <row r="12" spans="1:9" x14ac:dyDescent="0.2">
      <c r="A12" t="s">
        <v>1696</v>
      </c>
      <c r="D12" t="str">
        <f>HYPERLINK("http://nlpdeep.cs.uic.edu:8080/proofing/gsii/9313-history-of-present-illness-0-1.pdf","gsii/9313-history-of-present-illness-0-1.pdf")</f>
        <v>gsii/9313-history-of-present-illness-0-1.pdf</v>
      </c>
      <c r="E12">
        <v>118659</v>
      </c>
      <c r="F12">
        <v>9313</v>
      </c>
      <c r="G12" t="s">
        <v>745</v>
      </c>
      <c r="H12" t="s">
        <v>13</v>
      </c>
      <c r="I12" t="s">
        <v>1697</v>
      </c>
    </row>
    <row r="13" spans="1:9" x14ac:dyDescent="0.2">
      <c r="A13" t="s">
        <v>1698</v>
      </c>
      <c r="D13" t="str">
        <f>HYPERLINK("http://nlpdeep.cs.uic.edu:8080/proofing/t5/9313-history-of-present-illness-0-2.pdf","t5/9313-history-of-present-illness-0-2.pdf")</f>
        <v>t5/9313-history-of-present-illness-0-2.pdf</v>
      </c>
      <c r="E13">
        <v>118659</v>
      </c>
      <c r="F13">
        <v>9313</v>
      </c>
      <c r="G13" t="s">
        <v>745</v>
      </c>
      <c r="H13" t="s">
        <v>13</v>
      </c>
      <c r="I13" t="s">
        <v>1699</v>
      </c>
    </row>
    <row r="14" spans="1:9" x14ac:dyDescent="0.2">
      <c r="A14" t="s">
        <v>1698</v>
      </c>
      <c r="D14" t="str">
        <f>HYPERLINK("http://nlpdeep.cs.uic.edu:8080/proofing/gsii/9313-history-of-present-illness-0-2.pdf","gsii/9313-history-of-present-illness-0-2.pdf")</f>
        <v>gsii/9313-history-of-present-illness-0-2.pdf</v>
      </c>
      <c r="E14">
        <v>118659</v>
      </c>
      <c r="F14">
        <v>9313</v>
      </c>
      <c r="G14" t="s">
        <v>745</v>
      </c>
      <c r="H14" t="s">
        <v>13</v>
      </c>
      <c r="I14" t="s">
        <v>1699</v>
      </c>
    </row>
    <row r="15" spans="1:9" x14ac:dyDescent="0.2">
      <c r="A15" t="s">
        <v>1700</v>
      </c>
      <c r="D15" t="str">
        <f>HYPERLINK("http://nlpdeep.cs.uic.edu:8080/proofing/t5/9313-past-medical-history-0-0.pdf","t5/9313-past-medical-history-0-0.pdf")</f>
        <v>t5/9313-past-medical-history-0-0.pdf</v>
      </c>
      <c r="E15">
        <v>118659</v>
      </c>
      <c r="F15">
        <v>9313</v>
      </c>
      <c r="G15" t="s">
        <v>745</v>
      </c>
      <c r="H15" t="s">
        <v>76</v>
      </c>
      <c r="I15" t="s">
        <v>1701</v>
      </c>
    </row>
    <row r="16" spans="1:9" x14ac:dyDescent="0.2">
      <c r="A16" t="s">
        <v>1700</v>
      </c>
      <c r="D16" t="str">
        <f>HYPERLINK("http://nlpdeep.cs.uic.edu:8080/proofing/gsii/9313-past-medical-history-0-0.pdf","gsii/9313-past-medical-history-0-0.pdf")</f>
        <v>gsii/9313-past-medical-history-0-0.pdf</v>
      </c>
      <c r="E16">
        <v>118659</v>
      </c>
      <c r="F16">
        <v>9313</v>
      </c>
      <c r="G16" t="s">
        <v>745</v>
      </c>
      <c r="H16" t="s">
        <v>76</v>
      </c>
      <c r="I16" t="s">
        <v>1701</v>
      </c>
    </row>
    <row r="17" spans="1:9" x14ac:dyDescent="0.2">
      <c r="A17" t="s">
        <v>1702</v>
      </c>
      <c r="D17" t="str">
        <f>HYPERLINK("http://nlpdeep.cs.uic.edu:8080/proofing/t5/9313-allergies-0-0.pdf","t5/9313-allergies-0-0.pdf")</f>
        <v>t5/9313-allergies-0-0.pdf</v>
      </c>
      <c r="E17">
        <v>118659</v>
      </c>
      <c r="F17">
        <v>9313</v>
      </c>
      <c r="G17" t="s">
        <v>745</v>
      </c>
      <c r="H17" t="s">
        <v>64</v>
      </c>
      <c r="I17" t="s">
        <v>1703</v>
      </c>
    </row>
    <row r="18" spans="1:9" x14ac:dyDescent="0.2">
      <c r="A18" t="s">
        <v>1702</v>
      </c>
      <c r="D18" t="str">
        <f>HYPERLINK("http://nlpdeep.cs.uic.edu:8080/proofing/gsii/9313-allergies-0-0.pdf","gsii/9313-allergies-0-0.pdf")</f>
        <v>gsii/9313-allergies-0-0.pdf</v>
      </c>
      <c r="E18">
        <v>118659</v>
      </c>
      <c r="F18">
        <v>9313</v>
      </c>
      <c r="G18" t="s">
        <v>745</v>
      </c>
      <c r="H18" t="s">
        <v>64</v>
      </c>
      <c r="I18" t="s">
        <v>1703</v>
      </c>
    </row>
    <row r="19" spans="1:9" x14ac:dyDescent="0.2">
      <c r="A19" t="s">
        <v>1704</v>
      </c>
      <c r="D19" t="str">
        <f>HYPERLINK("http://nlpdeep.cs.uic.edu:8080/proofing/t5/9313-physical-examination-0-0.pdf","t5/9313-physical-examination-0-0.pdf")</f>
        <v>t5/9313-physical-examination-0-0.pdf</v>
      </c>
      <c r="E19">
        <v>118659</v>
      </c>
      <c r="F19">
        <v>9313</v>
      </c>
      <c r="G19" t="s">
        <v>745</v>
      </c>
      <c r="H19" t="s">
        <v>138</v>
      </c>
      <c r="I19" t="s">
        <v>1705</v>
      </c>
    </row>
    <row r="20" spans="1:9" x14ac:dyDescent="0.2">
      <c r="A20" t="s">
        <v>1704</v>
      </c>
      <c r="D20" t="str">
        <f>HYPERLINK("http://nlpdeep.cs.uic.edu:8080/proofing/gsii/9313-physical-examination-0-0.pdf","gsii/9313-physical-examination-0-0.pdf")</f>
        <v>gsii/9313-physical-examination-0-0.pdf</v>
      </c>
      <c r="E20">
        <v>118659</v>
      </c>
      <c r="F20">
        <v>9313</v>
      </c>
      <c r="G20" t="s">
        <v>745</v>
      </c>
      <c r="H20" t="s">
        <v>138</v>
      </c>
      <c r="I20" t="s">
        <v>1705</v>
      </c>
    </row>
    <row r="21" spans="1:9" x14ac:dyDescent="0.2">
      <c r="A21" t="s">
        <v>1706</v>
      </c>
      <c r="D21" t="str">
        <f>HYPERLINK("http://nlpdeep.cs.uic.edu:8080/proofing/t5/9313-physical-examination-0-1.pdf","t5/9313-physical-examination-0-1.pdf")</f>
        <v>t5/9313-physical-examination-0-1.pdf</v>
      </c>
      <c r="E21">
        <v>118659</v>
      </c>
      <c r="F21">
        <v>9313</v>
      </c>
      <c r="G21" t="s">
        <v>745</v>
      </c>
      <c r="H21" t="s">
        <v>138</v>
      </c>
      <c r="I21" t="s">
        <v>1707</v>
      </c>
    </row>
    <row r="22" spans="1:9" x14ac:dyDescent="0.2">
      <c r="A22" t="s">
        <v>1706</v>
      </c>
      <c r="D22" t="str">
        <f>HYPERLINK("http://nlpdeep.cs.uic.edu:8080/proofing/gsii/9313-physical-examination-0-1.pdf","gsii/9313-physical-examination-0-1.pdf")</f>
        <v>gsii/9313-physical-examination-0-1.pdf</v>
      </c>
      <c r="E22">
        <v>118659</v>
      </c>
      <c r="F22">
        <v>9313</v>
      </c>
      <c r="G22" t="s">
        <v>745</v>
      </c>
      <c r="H22" t="s">
        <v>138</v>
      </c>
      <c r="I22" t="s">
        <v>1707</v>
      </c>
    </row>
    <row r="23" spans="1:9" x14ac:dyDescent="0.2">
      <c r="A23" t="s">
        <v>1708</v>
      </c>
      <c r="D23" t="str">
        <f>HYPERLINK("http://nlpdeep.cs.uic.edu:8080/proofing/t5/9313-physical-examination-0-2.pdf","t5/9313-physical-examination-0-2.pdf")</f>
        <v>t5/9313-physical-examination-0-2.pdf</v>
      </c>
      <c r="E23">
        <v>118659</v>
      </c>
      <c r="F23">
        <v>9313</v>
      </c>
      <c r="G23" t="s">
        <v>745</v>
      </c>
      <c r="H23" t="s">
        <v>138</v>
      </c>
      <c r="I23" t="s">
        <v>1709</v>
      </c>
    </row>
    <row r="24" spans="1:9" x14ac:dyDescent="0.2">
      <c r="A24" t="s">
        <v>1708</v>
      </c>
      <c r="D24" t="str">
        <f>HYPERLINK("http://nlpdeep.cs.uic.edu:8080/proofing/gsii/9313-physical-examination-0-2.pdf","gsii/9313-physical-examination-0-2.pdf")</f>
        <v>gsii/9313-physical-examination-0-2.pdf</v>
      </c>
      <c r="E24">
        <v>118659</v>
      </c>
      <c r="F24">
        <v>9313</v>
      </c>
      <c r="G24" t="s">
        <v>745</v>
      </c>
      <c r="H24" t="s">
        <v>138</v>
      </c>
      <c r="I24" t="s">
        <v>1709</v>
      </c>
    </row>
    <row r="25" spans="1:9" x14ac:dyDescent="0.2">
      <c r="A25" t="s">
        <v>1710</v>
      </c>
      <c r="D25" t="str">
        <f>HYPERLINK("http://nlpdeep.cs.uic.edu:8080/proofing/t5/9313-physical-examination-0-3.pdf","t5/9313-physical-examination-0-3.pdf")</f>
        <v>t5/9313-physical-examination-0-3.pdf</v>
      </c>
      <c r="E25">
        <v>118659</v>
      </c>
      <c r="F25">
        <v>9313</v>
      </c>
      <c r="G25" t="s">
        <v>745</v>
      </c>
      <c r="H25" t="s">
        <v>138</v>
      </c>
      <c r="I25" t="s">
        <v>1711</v>
      </c>
    </row>
    <row r="26" spans="1:9" x14ac:dyDescent="0.2">
      <c r="A26" t="s">
        <v>1710</v>
      </c>
      <c r="D26" t="str">
        <f>HYPERLINK("http://nlpdeep.cs.uic.edu:8080/proofing/gsii/9313-physical-examination-0-3.pdf","gsii/9313-physical-examination-0-3.pdf")</f>
        <v>gsii/9313-physical-examination-0-3.pdf</v>
      </c>
      <c r="E26">
        <v>118659</v>
      </c>
      <c r="F26">
        <v>9313</v>
      </c>
      <c r="G26" t="s">
        <v>745</v>
      </c>
      <c r="H26" t="s">
        <v>138</v>
      </c>
      <c r="I26" t="s">
        <v>1711</v>
      </c>
    </row>
    <row r="27" spans="1:9" x14ac:dyDescent="0.2">
      <c r="A27" t="s">
        <v>1712</v>
      </c>
      <c r="D27" t="str">
        <f>HYPERLINK("http://nlpdeep.cs.uic.edu:8080/proofing/t5/9313-physical-examination-0-4.pdf","t5/9313-physical-examination-0-4.pdf")</f>
        <v>t5/9313-physical-examination-0-4.pdf</v>
      </c>
      <c r="E27">
        <v>118659</v>
      </c>
      <c r="F27">
        <v>9313</v>
      </c>
      <c r="G27" t="s">
        <v>745</v>
      </c>
      <c r="H27" t="s">
        <v>138</v>
      </c>
      <c r="I27" t="s">
        <v>1713</v>
      </c>
    </row>
    <row r="28" spans="1:9" x14ac:dyDescent="0.2">
      <c r="A28" t="s">
        <v>1712</v>
      </c>
      <c r="D28" t="str">
        <f>HYPERLINK("http://nlpdeep.cs.uic.edu:8080/proofing/gsii/9313-physical-examination-0-4.pdf","gsii/9313-physical-examination-0-4.pdf")</f>
        <v>gsii/9313-physical-examination-0-4.pdf</v>
      </c>
      <c r="E28">
        <v>118659</v>
      </c>
      <c r="F28">
        <v>9313</v>
      </c>
      <c r="G28" t="s">
        <v>745</v>
      </c>
      <c r="H28" t="s">
        <v>138</v>
      </c>
      <c r="I28" t="s">
        <v>1713</v>
      </c>
    </row>
    <row r="29" spans="1:9" x14ac:dyDescent="0.2">
      <c r="A29" t="s">
        <v>1714</v>
      </c>
      <c r="D29" t="str">
        <f>HYPERLINK("http://nlpdeep.cs.uic.edu:8080/proofing/t5/9313-labs-imaging-0-0.pdf","t5/9313-labs-imaging-0-0.pdf")</f>
        <v>t5/9313-labs-imaging-0-0.pdf</v>
      </c>
      <c r="E29">
        <v>118659</v>
      </c>
      <c r="F29">
        <v>9313</v>
      </c>
      <c r="G29" t="s">
        <v>745</v>
      </c>
      <c r="H29" t="s">
        <v>147</v>
      </c>
      <c r="I29" t="s">
        <v>1715</v>
      </c>
    </row>
    <row r="30" spans="1:9" x14ac:dyDescent="0.2">
      <c r="A30" t="s">
        <v>1714</v>
      </c>
      <c r="D30" t="str">
        <f>HYPERLINK("http://nlpdeep.cs.uic.edu:8080/proofing/gsii/9313-labs-imaging-0-0.pdf","gsii/9313-labs-imaging-0-0.pdf")</f>
        <v>gsii/9313-labs-imaging-0-0.pdf</v>
      </c>
      <c r="E30">
        <v>118659</v>
      </c>
      <c r="F30">
        <v>9313</v>
      </c>
      <c r="G30" t="s">
        <v>745</v>
      </c>
      <c r="H30" t="s">
        <v>147</v>
      </c>
      <c r="I30" t="s">
        <v>1715</v>
      </c>
    </row>
    <row r="31" spans="1:9" x14ac:dyDescent="0.2">
      <c r="A31" t="s">
        <v>1716</v>
      </c>
      <c r="D31" t="str">
        <f>HYPERLINK("http://nlpdeep.cs.uic.edu:8080/proofing/t5/9313-labs-imaging-1-0.pdf","t5/9313-labs-imaging-1-0.pdf")</f>
        <v>t5/9313-labs-imaging-1-0.pdf</v>
      </c>
      <c r="E31">
        <v>118659</v>
      </c>
      <c r="F31">
        <v>9313</v>
      </c>
      <c r="G31" t="s">
        <v>745</v>
      </c>
      <c r="H31" t="s">
        <v>147</v>
      </c>
      <c r="I31" t="s">
        <v>1717</v>
      </c>
    </row>
    <row r="32" spans="1:9" x14ac:dyDescent="0.2">
      <c r="A32" t="s">
        <v>1716</v>
      </c>
      <c r="D32" t="str">
        <f>HYPERLINK("http://nlpdeep.cs.uic.edu:8080/proofing/gsii/9313-labs-imaging-1-0.pdf","gsii/9313-labs-imaging-1-0.pdf")</f>
        <v>gsii/9313-labs-imaging-1-0.pdf</v>
      </c>
      <c r="E32">
        <v>118659</v>
      </c>
      <c r="F32">
        <v>9313</v>
      </c>
      <c r="G32" t="s">
        <v>745</v>
      </c>
      <c r="H32" t="s">
        <v>147</v>
      </c>
      <c r="I32" t="s">
        <v>1717</v>
      </c>
    </row>
    <row r="33" spans="1:9" x14ac:dyDescent="0.2">
      <c r="A33" t="s">
        <v>1718</v>
      </c>
      <c r="D33" t="str">
        <f>HYPERLINK("http://nlpdeep.cs.uic.edu:8080/proofing/t5/9313-labs-imaging-1-1.pdf","t5/9313-labs-imaging-1-1.pdf")</f>
        <v>t5/9313-labs-imaging-1-1.pdf</v>
      </c>
      <c r="E33">
        <v>118659</v>
      </c>
      <c r="F33">
        <v>9313</v>
      </c>
      <c r="G33" t="s">
        <v>745</v>
      </c>
      <c r="H33" t="s">
        <v>147</v>
      </c>
      <c r="I33" t="s">
        <v>1719</v>
      </c>
    </row>
    <row r="34" spans="1:9" x14ac:dyDescent="0.2">
      <c r="A34" t="s">
        <v>1718</v>
      </c>
      <c r="D34" t="str">
        <f>HYPERLINK("http://nlpdeep.cs.uic.edu:8080/proofing/gsii/9313-labs-imaging-1-1.pdf","gsii/9313-labs-imaging-1-1.pdf")</f>
        <v>gsii/9313-labs-imaging-1-1.pdf</v>
      </c>
      <c r="E34">
        <v>118659</v>
      </c>
      <c r="F34">
        <v>9313</v>
      </c>
      <c r="G34" t="s">
        <v>745</v>
      </c>
      <c r="H34" t="s">
        <v>147</v>
      </c>
      <c r="I34" t="s">
        <v>1719</v>
      </c>
    </row>
    <row r="35" spans="1:9" x14ac:dyDescent="0.2">
      <c r="A35" t="s">
        <v>1720</v>
      </c>
      <c r="D35" t="str">
        <f>HYPERLINK("http://nlpdeep.cs.uic.edu:8080/proofing/t5/9313-labs-imaging-1-2.pdf","t5/9313-labs-imaging-1-2.pdf")</f>
        <v>t5/9313-labs-imaging-1-2.pdf</v>
      </c>
      <c r="E35">
        <v>118659</v>
      </c>
      <c r="F35">
        <v>9313</v>
      </c>
      <c r="G35" t="s">
        <v>745</v>
      </c>
      <c r="H35" t="s">
        <v>147</v>
      </c>
      <c r="I35" t="s">
        <v>1721</v>
      </c>
    </row>
    <row r="36" spans="1:9" x14ac:dyDescent="0.2">
      <c r="A36" t="s">
        <v>1720</v>
      </c>
      <c r="D36" t="str">
        <f>HYPERLINK("http://nlpdeep.cs.uic.edu:8080/proofing/gsii/9313-labs-imaging-1-2.pdf","gsii/9313-labs-imaging-1-2.pdf")</f>
        <v>gsii/9313-labs-imaging-1-2.pdf</v>
      </c>
      <c r="E36">
        <v>118659</v>
      </c>
      <c r="F36">
        <v>9313</v>
      </c>
      <c r="G36" t="s">
        <v>745</v>
      </c>
      <c r="H36" t="s">
        <v>147</v>
      </c>
      <c r="I36" t="s">
        <v>1721</v>
      </c>
    </row>
    <row r="37" spans="1:9" x14ac:dyDescent="0.2">
      <c r="A37" t="s">
        <v>1722</v>
      </c>
      <c r="D37" t="str">
        <f>HYPERLINK("http://nlpdeep.cs.uic.edu:8080/proofing/t5/9313-labs-imaging-1-3.pdf","t5/9313-labs-imaging-1-3.pdf")</f>
        <v>t5/9313-labs-imaging-1-3.pdf</v>
      </c>
      <c r="E37">
        <v>118659</v>
      </c>
      <c r="F37">
        <v>9313</v>
      </c>
      <c r="G37" t="s">
        <v>745</v>
      </c>
      <c r="H37" t="s">
        <v>147</v>
      </c>
      <c r="I37" t="s">
        <v>1723</v>
      </c>
    </row>
    <row r="38" spans="1:9" x14ac:dyDescent="0.2">
      <c r="A38" t="s">
        <v>1722</v>
      </c>
      <c r="D38" t="str">
        <f>HYPERLINK("http://nlpdeep.cs.uic.edu:8080/proofing/gsii/9313-labs-imaging-1-3.pdf","gsii/9313-labs-imaging-1-3.pdf")</f>
        <v>gsii/9313-labs-imaging-1-3.pdf</v>
      </c>
      <c r="E38">
        <v>118659</v>
      </c>
      <c r="F38">
        <v>9313</v>
      </c>
      <c r="G38" t="s">
        <v>745</v>
      </c>
      <c r="H38" t="s">
        <v>147</v>
      </c>
      <c r="I38" t="s">
        <v>1723</v>
      </c>
    </row>
    <row r="39" spans="1:9" x14ac:dyDescent="0.2">
      <c r="A39" t="s">
        <v>1724</v>
      </c>
      <c r="D39" t="str">
        <f>HYPERLINK("http://nlpdeep.cs.uic.edu:8080/proofing/t5/9313-labs-imaging-1-4.pdf","t5/9313-labs-imaging-1-4.pdf")</f>
        <v>t5/9313-labs-imaging-1-4.pdf</v>
      </c>
      <c r="E39">
        <v>118659</v>
      </c>
      <c r="F39">
        <v>9313</v>
      </c>
      <c r="G39" t="s">
        <v>745</v>
      </c>
      <c r="H39" t="s">
        <v>147</v>
      </c>
      <c r="I39" t="s">
        <v>1725</v>
      </c>
    </row>
    <row r="40" spans="1:9" x14ac:dyDescent="0.2">
      <c r="A40" t="s">
        <v>1724</v>
      </c>
      <c r="D40" t="str">
        <f>HYPERLINK("http://nlpdeep.cs.uic.edu:8080/proofing/gsii/9313-labs-imaging-1-4.pdf","gsii/9313-labs-imaging-1-4.pdf")</f>
        <v>gsii/9313-labs-imaging-1-4.pdf</v>
      </c>
      <c r="E40">
        <v>118659</v>
      </c>
      <c r="F40">
        <v>9313</v>
      </c>
      <c r="G40" t="s">
        <v>745</v>
      </c>
      <c r="H40" t="s">
        <v>147</v>
      </c>
      <c r="I40" t="s">
        <v>1725</v>
      </c>
    </row>
    <row r="41" spans="1:9" x14ac:dyDescent="0.2">
      <c r="A41" t="s">
        <v>1726</v>
      </c>
      <c r="D41" t="str">
        <f>HYPERLINK("http://nlpdeep.cs.uic.edu:8080/proofing/t5/9313-labs-imaging-1-5.pdf","t5/9313-labs-imaging-1-5.pdf")</f>
        <v>t5/9313-labs-imaging-1-5.pdf</v>
      </c>
      <c r="E41">
        <v>118659</v>
      </c>
      <c r="F41">
        <v>9313</v>
      </c>
      <c r="G41" t="s">
        <v>745</v>
      </c>
      <c r="H41" t="s">
        <v>147</v>
      </c>
      <c r="I41" t="s">
        <v>1727</v>
      </c>
    </row>
    <row r="42" spans="1:9" x14ac:dyDescent="0.2">
      <c r="A42" t="s">
        <v>1726</v>
      </c>
      <c r="D42" t="str">
        <f>HYPERLINK("http://nlpdeep.cs.uic.edu:8080/proofing/gsii/9313-labs-imaging-1-5.pdf","gsii/9313-labs-imaging-1-5.pdf")</f>
        <v>gsii/9313-labs-imaging-1-5.pdf</v>
      </c>
      <c r="E42">
        <v>118659</v>
      </c>
      <c r="F42">
        <v>9313</v>
      </c>
      <c r="G42" t="s">
        <v>745</v>
      </c>
      <c r="H42" t="s">
        <v>147</v>
      </c>
      <c r="I42" t="s">
        <v>1727</v>
      </c>
    </row>
    <row r="43" spans="1:9" x14ac:dyDescent="0.2">
      <c r="A43" t="s">
        <v>1728</v>
      </c>
      <c r="D43" t="str">
        <f>HYPERLINK("http://nlpdeep.cs.uic.edu:8080/proofing/t5/9313-labs-imaging-1-6.pdf","t5/9313-labs-imaging-1-6.pdf")</f>
        <v>t5/9313-labs-imaging-1-6.pdf</v>
      </c>
      <c r="E43">
        <v>118659</v>
      </c>
      <c r="F43">
        <v>9313</v>
      </c>
      <c r="G43" t="s">
        <v>745</v>
      </c>
      <c r="H43" t="s">
        <v>147</v>
      </c>
      <c r="I43" t="s">
        <v>1729</v>
      </c>
    </row>
    <row r="44" spans="1:9" x14ac:dyDescent="0.2">
      <c r="A44" t="s">
        <v>1728</v>
      </c>
      <c r="D44" t="str">
        <f>HYPERLINK("http://nlpdeep.cs.uic.edu:8080/proofing/gsii/9313-labs-imaging-1-6.pdf","gsii/9313-labs-imaging-1-6.pdf")</f>
        <v>gsii/9313-labs-imaging-1-6.pdf</v>
      </c>
      <c r="E44">
        <v>118659</v>
      </c>
      <c r="F44">
        <v>9313</v>
      </c>
      <c r="G44" t="s">
        <v>745</v>
      </c>
      <c r="H44" t="s">
        <v>147</v>
      </c>
      <c r="I44" t="s">
        <v>1729</v>
      </c>
    </row>
    <row r="45" spans="1:9" x14ac:dyDescent="0.2">
      <c r="A45" t="s">
        <v>1730</v>
      </c>
      <c r="D45" t="str">
        <f>HYPERLINK("http://nlpdeep.cs.uic.edu:8080/proofing/t5/9313-labs-imaging-1-7.pdf","t5/9313-labs-imaging-1-7.pdf")</f>
        <v>t5/9313-labs-imaging-1-7.pdf</v>
      </c>
      <c r="E45">
        <v>118659</v>
      </c>
      <c r="F45">
        <v>9313</v>
      </c>
      <c r="G45" t="s">
        <v>745</v>
      </c>
      <c r="H45" t="s">
        <v>147</v>
      </c>
      <c r="I45" t="s">
        <v>1731</v>
      </c>
    </row>
    <row r="46" spans="1:9" x14ac:dyDescent="0.2">
      <c r="A46" t="s">
        <v>1730</v>
      </c>
      <c r="D46" t="str">
        <f>HYPERLINK("http://nlpdeep.cs.uic.edu:8080/proofing/gsii/9313-labs-imaging-1-7.pdf","gsii/9313-labs-imaging-1-7.pdf")</f>
        <v>gsii/9313-labs-imaging-1-7.pdf</v>
      </c>
      <c r="E46">
        <v>118659</v>
      </c>
      <c r="F46">
        <v>9313</v>
      </c>
      <c r="G46" t="s">
        <v>745</v>
      </c>
      <c r="H46" t="s">
        <v>147</v>
      </c>
      <c r="I46" t="s">
        <v>1731</v>
      </c>
    </row>
    <row r="47" spans="1:9" x14ac:dyDescent="0.2">
      <c r="A47" t="s">
        <v>1732</v>
      </c>
      <c r="D47" t="str">
        <f>HYPERLINK("http://nlpdeep.cs.uic.edu:8080/proofing/t5/9313-labs-imaging-1-8.pdf","t5/9313-labs-imaging-1-8.pdf")</f>
        <v>t5/9313-labs-imaging-1-8.pdf</v>
      </c>
      <c r="E47">
        <v>118659</v>
      </c>
      <c r="F47">
        <v>9313</v>
      </c>
      <c r="G47" t="s">
        <v>745</v>
      </c>
      <c r="H47" t="s">
        <v>147</v>
      </c>
      <c r="I47" t="s">
        <v>1733</v>
      </c>
    </row>
    <row r="48" spans="1:9" x14ac:dyDescent="0.2">
      <c r="A48" t="s">
        <v>1732</v>
      </c>
      <c r="D48" t="str">
        <f>HYPERLINK("http://nlpdeep.cs.uic.edu:8080/proofing/gsii/9313-labs-imaging-1-8.pdf","gsii/9313-labs-imaging-1-8.pdf")</f>
        <v>gsii/9313-labs-imaging-1-8.pdf</v>
      </c>
      <c r="E48">
        <v>118659</v>
      </c>
      <c r="F48">
        <v>9313</v>
      </c>
      <c r="G48" t="s">
        <v>745</v>
      </c>
      <c r="H48" t="s">
        <v>147</v>
      </c>
      <c r="I48" t="s">
        <v>1733</v>
      </c>
    </row>
    <row r="49" spans="1:9" x14ac:dyDescent="0.2">
      <c r="A49" t="s">
        <v>1734</v>
      </c>
      <c r="D49" t="str">
        <f>HYPERLINK("http://nlpdeep.cs.uic.edu:8080/proofing/t5/9313-labs-imaging-1-9.pdf","t5/9313-labs-imaging-1-9.pdf")</f>
        <v>t5/9313-labs-imaging-1-9.pdf</v>
      </c>
      <c r="E49">
        <v>118659</v>
      </c>
      <c r="F49">
        <v>9313</v>
      </c>
      <c r="G49" t="s">
        <v>745</v>
      </c>
      <c r="H49" t="s">
        <v>147</v>
      </c>
      <c r="I49" t="s">
        <v>1735</v>
      </c>
    </row>
    <row r="50" spans="1:9" x14ac:dyDescent="0.2">
      <c r="A50" t="s">
        <v>1734</v>
      </c>
      <c r="D50" t="str">
        <f>HYPERLINK("http://nlpdeep.cs.uic.edu:8080/proofing/gsii/9313-labs-imaging-1-9.pdf","gsii/9313-labs-imaging-1-9.pdf")</f>
        <v>gsii/9313-labs-imaging-1-9.pdf</v>
      </c>
      <c r="E50">
        <v>118659</v>
      </c>
      <c r="F50">
        <v>9313</v>
      </c>
      <c r="G50" t="s">
        <v>745</v>
      </c>
      <c r="H50" t="s">
        <v>147</v>
      </c>
      <c r="I50" t="s">
        <v>1735</v>
      </c>
    </row>
    <row r="51" spans="1:9" x14ac:dyDescent="0.2">
      <c r="A51" t="s">
        <v>1736</v>
      </c>
      <c r="D51" t="str">
        <f>HYPERLINK("http://nlpdeep.cs.uic.edu:8080/proofing/t5/9313-labs-imaging-1-10.pdf","t5/9313-labs-imaging-1-10.pdf")</f>
        <v>t5/9313-labs-imaging-1-10.pdf</v>
      </c>
      <c r="E51">
        <v>118659</v>
      </c>
      <c r="F51">
        <v>9313</v>
      </c>
      <c r="G51" t="s">
        <v>745</v>
      </c>
      <c r="H51" t="s">
        <v>147</v>
      </c>
      <c r="I51" t="s">
        <v>1737</v>
      </c>
    </row>
    <row r="52" spans="1:9" x14ac:dyDescent="0.2">
      <c r="A52" t="s">
        <v>1736</v>
      </c>
      <c r="D52" t="str">
        <f>HYPERLINK("http://nlpdeep.cs.uic.edu:8080/proofing/gsii/9313-labs-imaging-1-10.pdf","gsii/9313-labs-imaging-1-10.pdf")</f>
        <v>gsii/9313-labs-imaging-1-10.pdf</v>
      </c>
      <c r="E52">
        <v>118659</v>
      </c>
      <c r="F52">
        <v>9313</v>
      </c>
      <c r="G52" t="s">
        <v>745</v>
      </c>
      <c r="H52" t="s">
        <v>147</v>
      </c>
      <c r="I52" t="s">
        <v>1737</v>
      </c>
    </row>
    <row r="53" spans="1:9" x14ac:dyDescent="0.2">
      <c r="A53" t="s">
        <v>1738</v>
      </c>
      <c r="D53" t="str">
        <f>HYPERLINK("http://nlpdeep.cs.uic.edu:8080/proofing/t5/9313-labs-imaging-1-11.pdf","t5/9313-labs-imaging-1-11.pdf")</f>
        <v>t5/9313-labs-imaging-1-11.pdf</v>
      </c>
      <c r="E53">
        <v>118659</v>
      </c>
      <c r="F53">
        <v>9313</v>
      </c>
      <c r="G53" t="s">
        <v>745</v>
      </c>
      <c r="H53" t="s">
        <v>147</v>
      </c>
      <c r="I53" t="s">
        <v>1739</v>
      </c>
    </row>
    <row r="54" spans="1:9" x14ac:dyDescent="0.2">
      <c r="A54" t="s">
        <v>1738</v>
      </c>
      <c r="D54" t="str">
        <f>HYPERLINK("http://nlpdeep.cs.uic.edu:8080/proofing/gsii/9313-labs-imaging-1-11.pdf","gsii/9313-labs-imaging-1-11.pdf")</f>
        <v>gsii/9313-labs-imaging-1-11.pdf</v>
      </c>
      <c r="E54">
        <v>118659</v>
      </c>
      <c r="F54">
        <v>9313</v>
      </c>
      <c r="G54" t="s">
        <v>745</v>
      </c>
      <c r="H54" t="s">
        <v>147</v>
      </c>
      <c r="I54" t="s">
        <v>1739</v>
      </c>
    </row>
    <row r="55" spans="1:9" x14ac:dyDescent="0.2">
      <c r="A55" t="s">
        <v>1740</v>
      </c>
      <c r="D55" t="str">
        <f>HYPERLINK("http://nlpdeep.cs.uic.edu:8080/proofing/t5/9313-labs-imaging-1-12.pdf","t5/9313-labs-imaging-1-12.pdf")</f>
        <v>t5/9313-labs-imaging-1-12.pdf</v>
      </c>
      <c r="E55">
        <v>118659</v>
      </c>
      <c r="F55">
        <v>9313</v>
      </c>
      <c r="G55" t="s">
        <v>745</v>
      </c>
      <c r="H55" t="s">
        <v>147</v>
      </c>
      <c r="I55" t="s">
        <v>1741</v>
      </c>
    </row>
    <row r="56" spans="1:9" x14ac:dyDescent="0.2">
      <c r="A56" t="s">
        <v>1740</v>
      </c>
      <c r="D56" t="str">
        <f>HYPERLINK("http://nlpdeep.cs.uic.edu:8080/proofing/gsii/9313-labs-imaging-1-12.pdf","gsii/9313-labs-imaging-1-12.pdf")</f>
        <v>gsii/9313-labs-imaging-1-12.pdf</v>
      </c>
      <c r="E56">
        <v>118659</v>
      </c>
      <c r="F56">
        <v>9313</v>
      </c>
      <c r="G56" t="s">
        <v>745</v>
      </c>
      <c r="H56" t="s">
        <v>147</v>
      </c>
      <c r="I56" t="s">
        <v>1741</v>
      </c>
    </row>
    <row r="57" spans="1:9" x14ac:dyDescent="0.2">
      <c r="A57" t="s">
        <v>1742</v>
      </c>
      <c r="D57" t="str">
        <f>HYPERLINK("http://nlpdeep.cs.uic.edu:8080/proofing/t5/9313-labs-imaging-1-13.pdf","t5/9313-labs-imaging-1-13.pdf")</f>
        <v>t5/9313-labs-imaging-1-13.pdf</v>
      </c>
      <c r="E57">
        <v>118659</v>
      </c>
      <c r="F57">
        <v>9313</v>
      </c>
      <c r="G57" t="s">
        <v>745</v>
      </c>
      <c r="H57" t="s">
        <v>147</v>
      </c>
      <c r="I57" t="s">
        <v>1743</v>
      </c>
    </row>
    <row r="58" spans="1:9" x14ac:dyDescent="0.2">
      <c r="A58" t="s">
        <v>1742</v>
      </c>
      <c r="D58" t="str">
        <f>HYPERLINK("http://nlpdeep.cs.uic.edu:8080/proofing/gsii/9313-labs-imaging-1-13.pdf","gsii/9313-labs-imaging-1-13.pdf")</f>
        <v>gsii/9313-labs-imaging-1-13.pdf</v>
      </c>
      <c r="E58">
        <v>118659</v>
      </c>
      <c r="F58">
        <v>9313</v>
      </c>
      <c r="G58" t="s">
        <v>745</v>
      </c>
      <c r="H58" t="s">
        <v>147</v>
      </c>
      <c r="I58" t="s">
        <v>1743</v>
      </c>
    </row>
    <row r="59" spans="1:9" x14ac:dyDescent="0.2">
      <c r="A59" t="s">
        <v>1744</v>
      </c>
      <c r="D59" t="str">
        <f>HYPERLINK("http://nlpdeep.cs.uic.edu:8080/proofing/t5/9313-labs-imaging-1-14.pdf","t5/9313-labs-imaging-1-14.pdf")</f>
        <v>t5/9313-labs-imaging-1-14.pdf</v>
      </c>
      <c r="E59">
        <v>118659</v>
      </c>
      <c r="F59">
        <v>9313</v>
      </c>
      <c r="G59" t="s">
        <v>745</v>
      </c>
      <c r="H59" t="s">
        <v>147</v>
      </c>
      <c r="I59" t="s">
        <v>1745</v>
      </c>
    </row>
    <row r="60" spans="1:9" x14ac:dyDescent="0.2">
      <c r="A60" t="s">
        <v>1744</v>
      </c>
      <c r="D60" t="str">
        <f>HYPERLINK("http://nlpdeep.cs.uic.edu:8080/proofing/gsii/9313-labs-imaging-1-14.pdf","gsii/9313-labs-imaging-1-14.pdf")</f>
        <v>gsii/9313-labs-imaging-1-14.pdf</v>
      </c>
      <c r="E60">
        <v>118659</v>
      </c>
      <c r="F60">
        <v>9313</v>
      </c>
      <c r="G60" t="s">
        <v>745</v>
      </c>
      <c r="H60" t="s">
        <v>147</v>
      </c>
      <c r="I60" t="s">
        <v>1745</v>
      </c>
    </row>
    <row r="61" spans="1:9" x14ac:dyDescent="0.2">
      <c r="A61" t="s">
        <v>1746</v>
      </c>
      <c r="D61" t="str">
        <f>HYPERLINK("http://nlpdeep.cs.uic.edu:8080/proofing/t5/9313-labs-imaging-1-15.pdf","t5/9313-labs-imaging-1-15.pdf")</f>
        <v>t5/9313-labs-imaging-1-15.pdf</v>
      </c>
      <c r="E61">
        <v>118659</v>
      </c>
      <c r="F61">
        <v>9313</v>
      </c>
      <c r="G61" t="s">
        <v>745</v>
      </c>
      <c r="H61" t="s">
        <v>147</v>
      </c>
      <c r="I61" t="s">
        <v>1747</v>
      </c>
    </row>
    <row r="62" spans="1:9" x14ac:dyDescent="0.2">
      <c r="A62" t="s">
        <v>1746</v>
      </c>
      <c r="D62" t="str">
        <f>HYPERLINK("http://nlpdeep.cs.uic.edu:8080/proofing/gsii/9313-labs-imaging-1-15.pdf","gsii/9313-labs-imaging-1-15.pdf")</f>
        <v>gsii/9313-labs-imaging-1-15.pdf</v>
      </c>
      <c r="E62">
        <v>118659</v>
      </c>
      <c r="F62">
        <v>9313</v>
      </c>
      <c r="G62" t="s">
        <v>745</v>
      </c>
      <c r="H62" t="s">
        <v>147</v>
      </c>
      <c r="I62" t="s">
        <v>1747</v>
      </c>
    </row>
    <row r="63" spans="1:9" x14ac:dyDescent="0.2">
      <c r="A63" t="s">
        <v>1748</v>
      </c>
      <c r="D63" t="str">
        <f>HYPERLINK("http://nlpdeep.cs.uic.edu:8080/proofing/t5/9313-labs-imaging-1-16.pdf","t5/9313-labs-imaging-1-16.pdf")</f>
        <v>t5/9313-labs-imaging-1-16.pdf</v>
      </c>
      <c r="E63">
        <v>118659</v>
      </c>
      <c r="F63">
        <v>9313</v>
      </c>
      <c r="G63" t="s">
        <v>745</v>
      </c>
      <c r="H63" t="s">
        <v>147</v>
      </c>
      <c r="I63" t="s">
        <v>1749</v>
      </c>
    </row>
    <row r="64" spans="1:9" x14ac:dyDescent="0.2">
      <c r="A64" t="s">
        <v>1748</v>
      </c>
      <c r="D64" t="str">
        <f>HYPERLINK("http://nlpdeep.cs.uic.edu:8080/proofing/gsii/9313-labs-imaging-1-16.pdf","gsii/9313-labs-imaging-1-16.pdf")</f>
        <v>gsii/9313-labs-imaging-1-16.pdf</v>
      </c>
      <c r="E64">
        <v>118659</v>
      </c>
      <c r="F64">
        <v>9313</v>
      </c>
      <c r="G64" t="s">
        <v>745</v>
      </c>
      <c r="H64" t="s">
        <v>147</v>
      </c>
      <c r="I64" t="s">
        <v>1749</v>
      </c>
    </row>
    <row r="65" spans="1:9" x14ac:dyDescent="0.2">
      <c r="A65" t="s">
        <v>1750</v>
      </c>
      <c r="D65" t="str">
        <f>HYPERLINK("http://nlpdeep.cs.uic.edu:8080/proofing/t5/9313-hospital-course-0-0.pdf","t5/9313-hospital-course-0-0.pdf")</f>
        <v>t5/9313-hospital-course-0-0.pdf</v>
      </c>
      <c r="E65">
        <v>118659</v>
      </c>
      <c r="F65">
        <v>9313</v>
      </c>
      <c r="G65" t="s">
        <v>745</v>
      </c>
      <c r="H65" t="s">
        <v>999</v>
      </c>
      <c r="I65" t="s">
        <v>1751</v>
      </c>
    </row>
    <row r="66" spans="1:9" x14ac:dyDescent="0.2">
      <c r="A66" t="s">
        <v>1750</v>
      </c>
      <c r="D66" t="str">
        <f>HYPERLINK("http://nlpdeep.cs.uic.edu:8080/proofing/gsii/9313-hospital-course-0-0.pdf","gsii/9313-hospital-course-0-0.pdf")</f>
        <v>gsii/9313-hospital-course-0-0.pdf</v>
      </c>
      <c r="E66">
        <v>118659</v>
      </c>
      <c r="F66">
        <v>9313</v>
      </c>
      <c r="G66" t="s">
        <v>745</v>
      </c>
      <c r="H66" t="s">
        <v>999</v>
      </c>
      <c r="I66" t="s">
        <v>1751</v>
      </c>
    </row>
    <row r="67" spans="1:9" x14ac:dyDescent="0.2">
      <c r="A67" t="s">
        <v>1752</v>
      </c>
      <c r="D67" t="str">
        <f>HYPERLINK("http://nlpdeep.cs.uic.edu:8080/proofing/t5/9313-hospital-course-0-1.pdf","t5/9313-hospital-course-0-1.pdf")</f>
        <v>t5/9313-hospital-course-0-1.pdf</v>
      </c>
      <c r="E67">
        <v>118659</v>
      </c>
      <c r="F67">
        <v>9313</v>
      </c>
      <c r="G67" t="s">
        <v>745</v>
      </c>
      <c r="H67" t="s">
        <v>999</v>
      </c>
      <c r="I67" t="s">
        <v>1753</v>
      </c>
    </row>
    <row r="68" spans="1:9" x14ac:dyDescent="0.2">
      <c r="A68" t="s">
        <v>1752</v>
      </c>
      <c r="D68" t="str">
        <f>HYPERLINK("http://nlpdeep.cs.uic.edu:8080/proofing/gsii/9313-hospital-course-0-1.pdf","gsii/9313-hospital-course-0-1.pdf")</f>
        <v>gsii/9313-hospital-course-0-1.pdf</v>
      </c>
      <c r="E68">
        <v>118659</v>
      </c>
      <c r="F68">
        <v>9313</v>
      </c>
      <c r="G68" t="s">
        <v>745</v>
      </c>
      <c r="H68" t="s">
        <v>999</v>
      </c>
      <c r="I68" t="s">
        <v>1753</v>
      </c>
    </row>
    <row r="69" spans="1:9" x14ac:dyDescent="0.2">
      <c r="A69" t="s">
        <v>1754</v>
      </c>
      <c r="D69" t="str">
        <f>HYPERLINK("http://nlpdeep.cs.uic.edu:8080/proofing/t5/9313-hospital-course-0-2.pdf","t5/9313-hospital-course-0-2.pdf")</f>
        <v>t5/9313-hospital-course-0-2.pdf</v>
      </c>
      <c r="E69">
        <v>118659</v>
      </c>
      <c r="F69">
        <v>9313</v>
      </c>
      <c r="G69" t="s">
        <v>745</v>
      </c>
      <c r="H69" t="s">
        <v>999</v>
      </c>
      <c r="I69" t="s">
        <v>1755</v>
      </c>
    </row>
    <row r="70" spans="1:9" x14ac:dyDescent="0.2">
      <c r="A70" t="s">
        <v>1754</v>
      </c>
      <c r="D70" t="str">
        <f>HYPERLINK("http://nlpdeep.cs.uic.edu:8080/proofing/gsii/9313-hospital-course-0-2.pdf","gsii/9313-hospital-course-0-2.pdf")</f>
        <v>gsii/9313-hospital-course-0-2.pdf</v>
      </c>
      <c r="E70">
        <v>118659</v>
      </c>
      <c r="F70">
        <v>9313</v>
      </c>
      <c r="G70" t="s">
        <v>745</v>
      </c>
      <c r="H70" t="s">
        <v>999</v>
      </c>
      <c r="I70" t="s">
        <v>1755</v>
      </c>
    </row>
    <row r="71" spans="1:9" x14ac:dyDescent="0.2">
      <c r="A71" t="s">
        <v>1756</v>
      </c>
      <c r="D71" t="str">
        <f>HYPERLINK("http://nlpdeep.cs.uic.edu:8080/proofing/t5/9313-hospital-course-0-3.pdf","t5/9313-hospital-course-0-3.pdf")</f>
        <v>t5/9313-hospital-course-0-3.pdf</v>
      </c>
      <c r="E71">
        <v>118659</v>
      </c>
      <c r="F71">
        <v>9313</v>
      </c>
      <c r="G71" t="s">
        <v>745</v>
      </c>
      <c r="H71" t="s">
        <v>999</v>
      </c>
      <c r="I71" t="s">
        <v>1757</v>
      </c>
    </row>
    <row r="72" spans="1:9" x14ac:dyDescent="0.2">
      <c r="A72" t="s">
        <v>1756</v>
      </c>
      <c r="D72" t="str">
        <f>HYPERLINK("http://nlpdeep.cs.uic.edu:8080/proofing/gsii/9313-hospital-course-0-3.pdf","gsii/9313-hospital-course-0-3.pdf")</f>
        <v>gsii/9313-hospital-course-0-3.pdf</v>
      </c>
      <c r="E72">
        <v>118659</v>
      </c>
      <c r="F72">
        <v>9313</v>
      </c>
      <c r="G72" t="s">
        <v>745</v>
      </c>
      <c r="H72" t="s">
        <v>999</v>
      </c>
      <c r="I72" t="s">
        <v>1757</v>
      </c>
    </row>
    <row r="73" spans="1:9" x14ac:dyDescent="0.2">
      <c r="A73" t="s">
        <v>1758</v>
      </c>
      <c r="D73" t="str">
        <f>HYPERLINK("http://nlpdeep.cs.uic.edu:8080/proofing/t5/9313-hospital-course-0-4.pdf","t5/9313-hospital-course-0-4.pdf")</f>
        <v>t5/9313-hospital-course-0-4.pdf</v>
      </c>
      <c r="E73">
        <v>118659</v>
      </c>
      <c r="F73">
        <v>9313</v>
      </c>
      <c r="G73" t="s">
        <v>745</v>
      </c>
      <c r="H73" t="s">
        <v>999</v>
      </c>
      <c r="I73" t="s">
        <v>1759</v>
      </c>
    </row>
    <row r="74" spans="1:9" x14ac:dyDescent="0.2">
      <c r="A74" t="s">
        <v>1758</v>
      </c>
      <c r="D74" t="str">
        <f>HYPERLINK("http://nlpdeep.cs.uic.edu:8080/proofing/gsii/9313-hospital-course-0-4.pdf","gsii/9313-hospital-course-0-4.pdf")</f>
        <v>gsii/9313-hospital-course-0-4.pdf</v>
      </c>
      <c r="E74">
        <v>118659</v>
      </c>
      <c r="F74">
        <v>9313</v>
      </c>
      <c r="G74" t="s">
        <v>745</v>
      </c>
      <c r="H74" t="s">
        <v>999</v>
      </c>
      <c r="I74" t="s">
        <v>1759</v>
      </c>
    </row>
    <row r="75" spans="1:9" x14ac:dyDescent="0.2">
      <c r="A75" t="s">
        <v>1760</v>
      </c>
      <c r="D75" t="str">
        <f>HYPERLINK("http://nlpdeep.cs.uic.edu:8080/proofing/t5/9313-hospital-course-1-0.pdf","t5/9313-hospital-course-1-0.pdf")</f>
        <v>t5/9313-hospital-course-1-0.pdf</v>
      </c>
      <c r="E75">
        <v>118659</v>
      </c>
      <c r="F75">
        <v>9313</v>
      </c>
      <c r="G75" t="s">
        <v>745</v>
      </c>
      <c r="H75" t="s">
        <v>999</v>
      </c>
    </row>
    <row r="76" spans="1:9" x14ac:dyDescent="0.2">
      <c r="A76" t="s">
        <v>1760</v>
      </c>
      <c r="D76" t="str">
        <f>HYPERLINK("http://nlpdeep.cs.uic.edu:8080/proofing/gsii/9313-hospital-course-1-0.pdf","gsii/9313-hospital-course-1-0.pdf")</f>
        <v>gsii/9313-hospital-course-1-0.pdf</v>
      </c>
      <c r="E76">
        <v>118659</v>
      </c>
      <c r="F76">
        <v>9313</v>
      </c>
      <c r="G76" t="s">
        <v>745</v>
      </c>
      <c r="H76" t="s">
        <v>999</v>
      </c>
    </row>
    <row r="77" spans="1:9" x14ac:dyDescent="0.2">
      <c r="A77" t="s">
        <v>1761</v>
      </c>
      <c r="D77" t="str">
        <f>HYPERLINK("http://nlpdeep.cs.uic.edu:8080/proofing/t5/9313-hospital-course-2-0.pdf","t5/9313-hospital-course-2-0.pdf")</f>
        <v>t5/9313-hospital-course-2-0.pdf</v>
      </c>
      <c r="E77">
        <v>118659</v>
      </c>
      <c r="F77">
        <v>9313</v>
      </c>
      <c r="G77" t="s">
        <v>745</v>
      </c>
      <c r="H77" t="s">
        <v>999</v>
      </c>
    </row>
    <row r="78" spans="1:9" x14ac:dyDescent="0.2">
      <c r="A78" t="s">
        <v>1761</v>
      </c>
      <c r="D78" t="str">
        <f>HYPERLINK("http://nlpdeep.cs.uic.edu:8080/proofing/gsii/9313-hospital-course-2-0.pdf","gsii/9313-hospital-course-2-0.pdf")</f>
        <v>gsii/9313-hospital-course-2-0.pdf</v>
      </c>
      <c r="E78">
        <v>118659</v>
      </c>
      <c r="F78">
        <v>9313</v>
      </c>
      <c r="G78" t="s">
        <v>745</v>
      </c>
      <c r="H78" t="s">
        <v>999</v>
      </c>
    </row>
    <row r="79" spans="1:9" x14ac:dyDescent="0.2">
      <c r="A79" t="s">
        <v>1762</v>
      </c>
      <c r="D79" t="str">
        <f>HYPERLINK("http://nlpdeep.cs.uic.edu:8080/proofing/t5/9313-hospital-course-2-1.pdf","t5/9313-hospital-course-2-1.pdf")</f>
        <v>t5/9313-hospital-course-2-1.pdf</v>
      </c>
      <c r="E79">
        <v>118659</v>
      </c>
      <c r="F79">
        <v>9313</v>
      </c>
      <c r="G79" t="s">
        <v>745</v>
      </c>
      <c r="H79" t="s">
        <v>999</v>
      </c>
      <c r="I79" t="s">
        <v>1763</v>
      </c>
    </row>
    <row r="80" spans="1:9" x14ac:dyDescent="0.2">
      <c r="A80" t="s">
        <v>1762</v>
      </c>
      <c r="D80" t="str">
        <f>HYPERLINK("http://nlpdeep.cs.uic.edu:8080/proofing/gsii/9313-hospital-course-2-1.pdf","gsii/9313-hospital-course-2-1.pdf")</f>
        <v>gsii/9313-hospital-course-2-1.pdf</v>
      </c>
      <c r="E80">
        <v>118659</v>
      </c>
      <c r="F80">
        <v>9313</v>
      </c>
      <c r="G80" t="s">
        <v>745</v>
      </c>
      <c r="H80" t="s">
        <v>999</v>
      </c>
      <c r="I80" t="s">
        <v>1763</v>
      </c>
    </row>
    <row r="81" spans="1:9" x14ac:dyDescent="0.2">
      <c r="A81" t="s">
        <v>1764</v>
      </c>
      <c r="D81" t="str">
        <f>HYPERLINK("http://nlpdeep.cs.uic.edu:8080/proofing/t5/9313-hospital-course-2-2.pdf","t5/9313-hospital-course-2-2.pdf")</f>
        <v>t5/9313-hospital-course-2-2.pdf</v>
      </c>
      <c r="E81">
        <v>118659</v>
      </c>
      <c r="F81">
        <v>9313</v>
      </c>
      <c r="G81" t="s">
        <v>745</v>
      </c>
      <c r="H81" t="s">
        <v>999</v>
      </c>
      <c r="I81" t="s">
        <v>1765</v>
      </c>
    </row>
    <row r="82" spans="1:9" x14ac:dyDescent="0.2">
      <c r="A82" t="s">
        <v>1764</v>
      </c>
      <c r="D82" t="str">
        <f>HYPERLINK("http://nlpdeep.cs.uic.edu:8080/proofing/gsii/9313-hospital-course-2-2.pdf","gsii/9313-hospital-course-2-2.pdf")</f>
        <v>gsii/9313-hospital-course-2-2.pdf</v>
      </c>
      <c r="E82">
        <v>118659</v>
      </c>
      <c r="F82">
        <v>9313</v>
      </c>
      <c r="G82" t="s">
        <v>745</v>
      </c>
      <c r="H82" t="s">
        <v>999</v>
      </c>
      <c r="I82" t="s">
        <v>1765</v>
      </c>
    </row>
    <row r="83" spans="1:9" x14ac:dyDescent="0.2">
      <c r="A83" t="s">
        <v>1766</v>
      </c>
      <c r="D83" t="str">
        <f>HYPERLINK("http://nlpdeep.cs.uic.edu:8080/proofing/t5/9313-hospital-course-2-3.pdf","t5/9313-hospital-course-2-3.pdf")</f>
        <v>t5/9313-hospital-course-2-3.pdf</v>
      </c>
      <c r="E83">
        <v>118659</v>
      </c>
      <c r="F83">
        <v>9313</v>
      </c>
      <c r="G83" t="s">
        <v>745</v>
      </c>
      <c r="H83" t="s">
        <v>999</v>
      </c>
      <c r="I83" t="s">
        <v>1767</v>
      </c>
    </row>
    <row r="84" spans="1:9" x14ac:dyDescent="0.2">
      <c r="A84" t="s">
        <v>1766</v>
      </c>
      <c r="D84" t="str">
        <f>HYPERLINK("http://nlpdeep.cs.uic.edu:8080/proofing/gsii/9313-hospital-course-2-3.pdf","gsii/9313-hospital-course-2-3.pdf")</f>
        <v>gsii/9313-hospital-course-2-3.pdf</v>
      </c>
      <c r="E84">
        <v>118659</v>
      </c>
      <c r="F84">
        <v>9313</v>
      </c>
      <c r="G84" t="s">
        <v>745</v>
      </c>
      <c r="H84" t="s">
        <v>999</v>
      </c>
      <c r="I84" t="s">
        <v>1767</v>
      </c>
    </row>
    <row r="85" spans="1:9" x14ac:dyDescent="0.2">
      <c r="A85" t="s">
        <v>1768</v>
      </c>
      <c r="D85" t="str">
        <f>HYPERLINK("http://nlpdeep.cs.uic.edu:8080/proofing/t5/9313-hospital-course-3-0.pdf","t5/9313-hospital-course-3-0.pdf")</f>
        <v>t5/9313-hospital-course-3-0.pdf</v>
      </c>
      <c r="E85">
        <v>118659</v>
      </c>
      <c r="F85">
        <v>9313</v>
      </c>
      <c r="G85" t="s">
        <v>745</v>
      </c>
      <c r="H85" t="s">
        <v>999</v>
      </c>
      <c r="I85" t="s">
        <v>1769</v>
      </c>
    </row>
    <row r="86" spans="1:9" x14ac:dyDescent="0.2">
      <c r="A86" t="s">
        <v>1768</v>
      </c>
      <c r="D86" t="str">
        <f>HYPERLINK("http://nlpdeep.cs.uic.edu:8080/proofing/gsii/9313-hospital-course-3-0.pdf","gsii/9313-hospital-course-3-0.pdf")</f>
        <v>gsii/9313-hospital-course-3-0.pdf</v>
      </c>
      <c r="E86">
        <v>118659</v>
      </c>
      <c r="F86">
        <v>9313</v>
      </c>
      <c r="G86" t="s">
        <v>745</v>
      </c>
      <c r="H86" t="s">
        <v>999</v>
      </c>
      <c r="I86" t="s">
        <v>1769</v>
      </c>
    </row>
    <row r="87" spans="1:9" x14ac:dyDescent="0.2">
      <c r="A87" t="s">
        <v>1770</v>
      </c>
      <c r="D87" t="str">
        <f>HYPERLINK("http://nlpdeep.cs.uic.edu:8080/proofing/t5/9313-hospital-course-3-1.pdf","t5/9313-hospital-course-3-1.pdf")</f>
        <v>t5/9313-hospital-course-3-1.pdf</v>
      </c>
      <c r="E87">
        <v>118659</v>
      </c>
      <c r="F87">
        <v>9313</v>
      </c>
      <c r="G87" t="s">
        <v>745</v>
      </c>
      <c r="H87" t="s">
        <v>999</v>
      </c>
      <c r="I87" t="s">
        <v>1771</v>
      </c>
    </row>
    <row r="88" spans="1:9" x14ac:dyDescent="0.2">
      <c r="A88" t="s">
        <v>1770</v>
      </c>
      <c r="D88" t="str">
        <f>HYPERLINK("http://nlpdeep.cs.uic.edu:8080/proofing/gsii/9313-hospital-course-3-1.pdf","gsii/9313-hospital-course-3-1.pdf")</f>
        <v>gsii/9313-hospital-course-3-1.pdf</v>
      </c>
      <c r="E88">
        <v>118659</v>
      </c>
      <c r="F88">
        <v>9313</v>
      </c>
      <c r="G88" t="s">
        <v>745</v>
      </c>
      <c r="H88" t="s">
        <v>999</v>
      </c>
      <c r="I88" t="s">
        <v>1771</v>
      </c>
    </row>
    <row r="89" spans="1:9" x14ac:dyDescent="0.2">
      <c r="A89" t="s">
        <v>1772</v>
      </c>
      <c r="D89" t="str">
        <f>HYPERLINK("http://nlpdeep.cs.uic.edu:8080/proofing/t5/9313-hospital-course-4-0.pdf","t5/9313-hospital-course-4-0.pdf")</f>
        <v>t5/9313-hospital-course-4-0.pdf</v>
      </c>
      <c r="E89">
        <v>118659</v>
      </c>
      <c r="F89">
        <v>9313</v>
      </c>
      <c r="G89" t="s">
        <v>745</v>
      </c>
      <c r="H89" t="s">
        <v>999</v>
      </c>
      <c r="I89" t="s">
        <v>1773</v>
      </c>
    </row>
    <row r="90" spans="1:9" x14ac:dyDescent="0.2">
      <c r="A90" t="s">
        <v>1772</v>
      </c>
      <c r="D90" t="str">
        <f>HYPERLINK("http://nlpdeep.cs.uic.edu:8080/proofing/gsii/9313-hospital-course-4-0.pdf","gsii/9313-hospital-course-4-0.pdf")</f>
        <v>gsii/9313-hospital-course-4-0.pdf</v>
      </c>
      <c r="E90">
        <v>118659</v>
      </c>
      <c r="F90">
        <v>9313</v>
      </c>
      <c r="G90" t="s">
        <v>745</v>
      </c>
      <c r="H90" t="s">
        <v>999</v>
      </c>
      <c r="I90" t="s">
        <v>1773</v>
      </c>
    </row>
    <row r="91" spans="1:9" x14ac:dyDescent="0.2">
      <c r="A91" t="s">
        <v>1774</v>
      </c>
      <c r="D91" t="str">
        <f>HYPERLINK("http://nlpdeep.cs.uic.edu:8080/proofing/t5/9313-hospital-course-4-1.pdf","t5/9313-hospital-course-4-1.pdf")</f>
        <v>t5/9313-hospital-course-4-1.pdf</v>
      </c>
      <c r="E91">
        <v>118659</v>
      </c>
      <c r="F91">
        <v>9313</v>
      </c>
      <c r="G91" t="s">
        <v>745</v>
      </c>
      <c r="H91" t="s">
        <v>999</v>
      </c>
      <c r="I91" t="s">
        <v>1775</v>
      </c>
    </row>
    <row r="92" spans="1:9" x14ac:dyDescent="0.2">
      <c r="A92" t="s">
        <v>1774</v>
      </c>
      <c r="D92" t="str">
        <f>HYPERLINK("http://nlpdeep.cs.uic.edu:8080/proofing/gsii/9313-hospital-course-4-1.pdf","gsii/9313-hospital-course-4-1.pdf")</f>
        <v>gsii/9313-hospital-course-4-1.pdf</v>
      </c>
      <c r="E92">
        <v>118659</v>
      </c>
      <c r="F92">
        <v>9313</v>
      </c>
      <c r="G92" t="s">
        <v>745</v>
      </c>
      <c r="H92" t="s">
        <v>999</v>
      </c>
      <c r="I92" t="s">
        <v>1775</v>
      </c>
    </row>
    <row r="93" spans="1:9" x14ac:dyDescent="0.2">
      <c r="A93" t="s">
        <v>1776</v>
      </c>
      <c r="D93" t="str">
        <f>HYPERLINK("http://nlpdeep.cs.uic.edu:8080/proofing/t5/9313-hospital-course-4-2.pdf","t5/9313-hospital-course-4-2.pdf")</f>
        <v>t5/9313-hospital-course-4-2.pdf</v>
      </c>
      <c r="E93">
        <v>118659</v>
      </c>
      <c r="F93">
        <v>9313</v>
      </c>
      <c r="G93" t="s">
        <v>745</v>
      </c>
      <c r="H93" t="s">
        <v>999</v>
      </c>
      <c r="I93" t="s">
        <v>1777</v>
      </c>
    </row>
    <row r="94" spans="1:9" x14ac:dyDescent="0.2">
      <c r="A94" t="s">
        <v>1776</v>
      </c>
      <c r="D94" t="str">
        <f>HYPERLINK("http://nlpdeep.cs.uic.edu:8080/proofing/gsii/9313-hospital-course-4-2.pdf","gsii/9313-hospital-course-4-2.pdf")</f>
        <v>gsii/9313-hospital-course-4-2.pdf</v>
      </c>
      <c r="E94">
        <v>118659</v>
      </c>
      <c r="F94">
        <v>9313</v>
      </c>
      <c r="G94" t="s">
        <v>745</v>
      </c>
      <c r="H94" t="s">
        <v>999</v>
      </c>
      <c r="I94" t="s">
        <v>1777</v>
      </c>
    </row>
    <row r="95" spans="1:9" x14ac:dyDescent="0.2">
      <c r="A95" t="s">
        <v>1778</v>
      </c>
      <c r="D95" t="str">
        <f>HYPERLINK("http://nlpdeep.cs.uic.edu:8080/proofing/t5/9313-hospital-course-4-3.pdf","t5/9313-hospital-course-4-3.pdf")</f>
        <v>t5/9313-hospital-course-4-3.pdf</v>
      </c>
      <c r="E95">
        <v>118659</v>
      </c>
      <c r="F95">
        <v>9313</v>
      </c>
      <c r="G95" t="s">
        <v>745</v>
      </c>
      <c r="H95" t="s">
        <v>999</v>
      </c>
      <c r="I95" t="s">
        <v>1779</v>
      </c>
    </row>
    <row r="96" spans="1:9" x14ac:dyDescent="0.2">
      <c r="A96" t="s">
        <v>1778</v>
      </c>
      <c r="D96" t="str">
        <f>HYPERLINK("http://nlpdeep.cs.uic.edu:8080/proofing/gsii/9313-hospital-course-4-3.pdf","gsii/9313-hospital-course-4-3.pdf")</f>
        <v>gsii/9313-hospital-course-4-3.pdf</v>
      </c>
      <c r="E96">
        <v>118659</v>
      </c>
      <c r="F96">
        <v>9313</v>
      </c>
      <c r="G96" t="s">
        <v>745</v>
      </c>
      <c r="H96" t="s">
        <v>999</v>
      </c>
      <c r="I96" t="s">
        <v>1779</v>
      </c>
    </row>
    <row r="97" spans="1:9" x14ac:dyDescent="0.2">
      <c r="A97" t="s">
        <v>1780</v>
      </c>
      <c r="D97" t="str">
        <f>HYPERLINK("http://nlpdeep.cs.uic.edu:8080/proofing/t5/9313-hospital-course-5-0.pdf","t5/9313-hospital-course-5-0.pdf")</f>
        <v>t5/9313-hospital-course-5-0.pdf</v>
      </c>
      <c r="E97">
        <v>118659</v>
      </c>
      <c r="F97">
        <v>9313</v>
      </c>
      <c r="G97" t="s">
        <v>745</v>
      </c>
      <c r="H97" t="s">
        <v>999</v>
      </c>
      <c r="I97" t="s">
        <v>1781</v>
      </c>
    </row>
    <row r="98" spans="1:9" x14ac:dyDescent="0.2">
      <c r="A98" t="s">
        <v>1780</v>
      </c>
      <c r="D98" t="str">
        <f>HYPERLINK("http://nlpdeep.cs.uic.edu:8080/proofing/gsii/9313-hospital-course-5-0.pdf","gsii/9313-hospital-course-5-0.pdf")</f>
        <v>gsii/9313-hospital-course-5-0.pdf</v>
      </c>
      <c r="E98">
        <v>118659</v>
      </c>
      <c r="F98">
        <v>9313</v>
      </c>
      <c r="G98" t="s">
        <v>745</v>
      </c>
      <c r="H98" t="s">
        <v>999</v>
      </c>
      <c r="I98" t="s">
        <v>1781</v>
      </c>
    </row>
    <row r="99" spans="1:9" x14ac:dyDescent="0.2">
      <c r="A99" t="s">
        <v>1782</v>
      </c>
      <c r="D99" t="str">
        <f>HYPERLINK("http://nlpdeep.cs.uic.edu:8080/proofing/t5/9313-discharge-instructions-0-0.pdf","t5/9313-discharge-instructions-0-0.pdf")</f>
        <v>t5/9313-discharge-instructions-0-0.pdf</v>
      </c>
      <c r="E99">
        <v>118659</v>
      </c>
      <c r="F99">
        <v>9313</v>
      </c>
      <c r="G99" t="s">
        <v>745</v>
      </c>
      <c r="H99" t="s">
        <v>1179</v>
      </c>
      <c r="I99" t="s">
        <v>1783</v>
      </c>
    </row>
    <row r="100" spans="1:9" x14ac:dyDescent="0.2">
      <c r="A100" t="s">
        <v>1782</v>
      </c>
      <c r="D100" t="str">
        <f>HYPERLINK("http://nlpdeep.cs.uic.edu:8080/proofing/gsii/9313-discharge-instructions-0-0.pdf","gsii/9313-discharge-instructions-0-0.pdf")</f>
        <v>gsii/9313-discharge-instructions-0-0.pdf</v>
      </c>
      <c r="E100">
        <v>118659</v>
      </c>
      <c r="F100">
        <v>9313</v>
      </c>
      <c r="G100" t="s">
        <v>745</v>
      </c>
      <c r="H100" t="s">
        <v>1179</v>
      </c>
      <c r="I100" t="s">
        <v>1783</v>
      </c>
    </row>
    <row r="101" spans="1:9" x14ac:dyDescent="0.2">
      <c r="A101" t="s">
        <v>1784</v>
      </c>
      <c r="D101" t="str">
        <f>HYPERLINK("http://nlpdeep.cs.uic.edu:8080/proofing/t5/9313-discharge-instructions-0-1.pdf","t5/9313-discharge-instructions-0-1.pdf")</f>
        <v>t5/9313-discharge-instructions-0-1.pdf</v>
      </c>
      <c r="E101">
        <v>118659</v>
      </c>
      <c r="F101">
        <v>9313</v>
      </c>
      <c r="G101" t="s">
        <v>745</v>
      </c>
      <c r="H101" t="s">
        <v>1179</v>
      </c>
      <c r="I101" t="s">
        <v>1785</v>
      </c>
    </row>
    <row r="102" spans="1:9" x14ac:dyDescent="0.2">
      <c r="A102" t="s">
        <v>1784</v>
      </c>
      <c r="D102" t="str">
        <f>HYPERLINK("http://nlpdeep.cs.uic.edu:8080/proofing/gsii/9313-discharge-instructions-0-1.pdf","gsii/9313-discharge-instructions-0-1.pdf")</f>
        <v>gsii/9313-discharge-instructions-0-1.pdf</v>
      </c>
      <c r="E102">
        <v>118659</v>
      </c>
      <c r="F102">
        <v>9313</v>
      </c>
      <c r="G102" t="s">
        <v>745</v>
      </c>
      <c r="H102" t="s">
        <v>1179</v>
      </c>
      <c r="I102" t="s">
        <v>1785</v>
      </c>
    </row>
    <row r="103" spans="1:9" x14ac:dyDescent="0.2">
      <c r="A103" t="s">
        <v>1786</v>
      </c>
      <c r="D103" t="str">
        <f>HYPERLINK("http://nlpdeep.cs.uic.edu:8080/proofing/t5/9313-discharge-instructions-0-2.pdf","t5/9313-discharge-instructions-0-2.pdf")</f>
        <v>t5/9313-discharge-instructions-0-2.pdf</v>
      </c>
      <c r="E103">
        <v>118659</v>
      </c>
      <c r="F103">
        <v>9313</v>
      </c>
      <c r="G103" t="s">
        <v>745</v>
      </c>
      <c r="H103" t="s">
        <v>1179</v>
      </c>
      <c r="I103" t="s">
        <v>1787</v>
      </c>
    </row>
    <row r="104" spans="1:9" x14ac:dyDescent="0.2">
      <c r="A104" t="s">
        <v>1786</v>
      </c>
      <c r="D104" t="str">
        <f>HYPERLINK("http://nlpdeep.cs.uic.edu:8080/proofing/gsii/9313-discharge-instructions-0-2.pdf","gsii/9313-discharge-instructions-0-2.pdf")</f>
        <v>gsii/9313-discharge-instructions-0-2.pdf</v>
      </c>
      <c r="E104">
        <v>118659</v>
      </c>
      <c r="F104">
        <v>9313</v>
      </c>
      <c r="G104" t="s">
        <v>745</v>
      </c>
      <c r="H104" t="s">
        <v>1179</v>
      </c>
      <c r="I104" t="s">
        <v>1787</v>
      </c>
    </row>
    <row r="105" spans="1:9" x14ac:dyDescent="0.2">
      <c r="A105" t="s">
        <v>1788</v>
      </c>
      <c r="D105" t="str">
        <f>HYPERLINK("http://nlpdeep.cs.uic.edu:8080/proofing/t5/9313-discharge-condition-0-0.pdf","t5/9313-discharge-condition-0-0.pdf")</f>
        <v>t5/9313-discharge-condition-0-0.pdf</v>
      </c>
      <c r="E105">
        <v>118659</v>
      </c>
      <c r="F105">
        <v>9313</v>
      </c>
      <c r="G105" t="s">
        <v>745</v>
      </c>
      <c r="H105" t="s">
        <v>1172</v>
      </c>
      <c r="I105" t="s">
        <v>1789</v>
      </c>
    </row>
    <row r="106" spans="1:9" x14ac:dyDescent="0.2">
      <c r="A106" t="s">
        <v>1788</v>
      </c>
      <c r="D106" t="str">
        <f>HYPERLINK("http://nlpdeep.cs.uic.edu:8080/proofing/gsii/9313-discharge-condition-0-0.pdf","gsii/9313-discharge-condition-0-0.pdf")</f>
        <v>gsii/9313-discharge-condition-0-0.pdf</v>
      </c>
      <c r="E106">
        <v>118659</v>
      </c>
      <c r="F106">
        <v>9313</v>
      </c>
      <c r="G106" t="s">
        <v>745</v>
      </c>
      <c r="H106" t="s">
        <v>1172</v>
      </c>
      <c r="I106" t="s">
        <v>1789</v>
      </c>
    </row>
    <row r="107" spans="1:9" x14ac:dyDescent="0.2">
      <c r="A107" t="s">
        <v>1790</v>
      </c>
      <c r="D107" t="str">
        <f>HYPERLINK("http://nlpdeep.cs.uic.edu:8080/proofing/t5/9313-discharge-medications-0-0.pdf","t5/9313-discharge-medications-0-0.pdf")</f>
        <v>t5/9313-discharge-medications-0-0.pdf</v>
      </c>
      <c r="E107">
        <v>118659</v>
      </c>
      <c r="F107">
        <v>9313</v>
      </c>
      <c r="G107" t="s">
        <v>745</v>
      </c>
      <c r="H107" t="s">
        <v>1122</v>
      </c>
      <c r="I107" t="s">
        <v>1791</v>
      </c>
    </row>
    <row r="108" spans="1:9" x14ac:dyDescent="0.2">
      <c r="A108" t="s">
        <v>1790</v>
      </c>
      <c r="D108" t="str">
        <f>HYPERLINK("http://nlpdeep.cs.uic.edu:8080/proofing/gsii/9313-discharge-medications-0-0.pdf","gsii/9313-discharge-medications-0-0.pdf")</f>
        <v>gsii/9313-discharge-medications-0-0.pdf</v>
      </c>
      <c r="E108">
        <v>118659</v>
      </c>
      <c r="F108">
        <v>9313</v>
      </c>
      <c r="G108" t="s">
        <v>745</v>
      </c>
      <c r="H108" t="s">
        <v>1122</v>
      </c>
      <c r="I108" t="s">
        <v>1791</v>
      </c>
    </row>
    <row r="109" spans="1:9" x14ac:dyDescent="0.2">
      <c r="A109" t="s">
        <v>1792</v>
      </c>
      <c r="D109" t="str">
        <f>HYPERLINK("http://nlpdeep.cs.uic.edu:8080/proofing/t5/9313-discharge-medications-0-1.pdf","t5/9313-discharge-medications-0-1.pdf")</f>
        <v>t5/9313-discharge-medications-0-1.pdf</v>
      </c>
      <c r="E109">
        <v>118659</v>
      </c>
      <c r="F109">
        <v>9313</v>
      </c>
      <c r="G109" t="s">
        <v>745</v>
      </c>
      <c r="H109" t="s">
        <v>1122</v>
      </c>
      <c r="I109" t="s">
        <v>1793</v>
      </c>
    </row>
    <row r="110" spans="1:9" x14ac:dyDescent="0.2">
      <c r="A110" t="s">
        <v>1792</v>
      </c>
      <c r="D110" t="str">
        <f>HYPERLINK("http://nlpdeep.cs.uic.edu:8080/proofing/gsii/9313-discharge-medications-0-1.pdf","gsii/9313-discharge-medications-0-1.pdf")</f>
        <v>gsii/9313-discharge-medications-0-1.pdf</v>
      </c>
      <c r="E110">
        <v>118659</v>
      </c>
      <c r="F110">
        <v>9313</v>
      </c>
      <c r="G110" t="s">
        <v>745</v>
      </c>
      <c r="H110" t="s">
        <v>1122</v>
      </c>
      <c r="I110" t="s">
        <v>1793</v>
      </c>
    </row>
    <row r="111" spans="1:9" x14ac:dyDescent="0.2">
      <c r="A111" t="s">
        <v>1794</v>
      </c>
      <c r="D111" t="str">
        <f>HYPERLINK("http://nlpdeep.cs.uic.edu:8080/proofing/t5/9313-discharge-medications-0-2.pdf","t5/9313-discharge-medications-0-2.pdf")</f>
        <v>t5/9313-discharge-medications-0-2.pdf</v>
      </c>
      <c r="E111">
        <v>118659</v>
      </c>
      <c r="F111">
        <v>9313</v>
      </c>
      <c r="G111" t="s">
        <v>745</v>
      </c>
      <c r="H111" t="s">
        <v>1122</v>
      </c>
      <c r="I111" t="s">
        <v>1795</v>
      </c>
    </row>
    <row r="112" spans="1:9" x14ac:dyDescent="0.2">
      <c r="A112" t="s">
        <v>1794</v>
      </c>
      <c r="D112" t="str">
        <f>HYPERLINK("http://nlpdeep.cs.uic.edu:8080/proofing/gsii/9313-discharge-medications-0-2.pdf","gsii/9313-discharge-medications-0-2.pdf")</f>
        <v>gsii/9313-discharge-medications-0-2.pdf</v>
      </c>
      <c r="E112">
        <v>118659</v>
      </c>
      <c r="F112">
        <v>9313</v>
      </c>
      <c r="G112" t="s">
        <v>745</v>
      </c>
      <c r="H112" t="s">
        <v>1122</v>
      </c>
      <c r="I112" t="s">
        <v>1795</v>
      </c>
    </row>
    <row r="113" spans="1:9" x14ac:dyDescent="0.2">
      <c r="A113" t="s">
        <v>1796</v>
      </c>
      <c r="D113" t="str">
        <f>HYPERLINK("http://nlpdeep.cs.uic.edu:8080/proofing/t5/9313-discharge-medications-0-3.pdf","t5/9313-discharge-medications-0-3.pdf")</f>
        <v>t5/9313-discharge-medications-0-3.pdf</v>
      </c>
      <c r="E113">
        <v>118659</v>
      </c>
      <c r="F113">
        <v>9313</v>
      </c>
      <c r="G113" t="s">
        <v>745</v>
      </c>
      <c r="H113" t="s">
        <v>1122</v>
      </c>
      <c r="I113" t="s">
        <v>1797</v>
      </c>
    </row>
    <row r="114" spans="1:9" x14ac:dyDescent="0.2">
      <c r="A114" t="s">
        <v>1796</v>
      </c>
      <c r="D114" t="str">
        <f>HYPERLINK("http://nlpdeep.cs.uic.edu:8080/proofing/gsii/9313-discharge-medications-0-3.pdf","gsii/9313-discharge-medications-0-3.pdf")</f>
        <v>gsii/9313-discharge-medications-0-3.pdf</v>
      </c>
      <c r="E114">
        <v>118659</v>
      </c>
      <c r="F114">
        <v>9313</v>
      </c>
      <c r="G114" t="s">
        <v>745</v>
      </c>
      <c r="H114" t="s">
        <v>1122</v>
      </c>
      <c r="I114" t="s">
        <v>1797</v>
      </c>
    </row>
    <row r="115" spans="1:9" x14ac:dyDescent="0.2">
      <c r="A115" t="s">
        <v>1798</v>
      </c>
      <c r="D115" t="str">
        <f>HYPERLINK("http://nlpdeep.cs.uic.edu:8080/proofing/t5/9313-discharge-medications-0-4.pdf","t5/9313-discharge-medications-0-4.pdf")</f>
        <v>t5/9313-discharge-medications-0-4.pdf</v>
      </c>
      <c r="E115">
        <v>118659</v>
      </c>
      <c r="F115">
        <v>9313</v>
      </c>
      <c r="G115" t="s">
        <v>745</v>
      </c>
      <c r="H115" t="s">
        <v>1122</v>
      </c>
      <c r="I115" t="s">
        <v>1799</v>
      </c>
    </row>
    <row r="116" spans="1:9" x14ac:dyDescent="0.2">
      <c r="A116" t="s">
        <v>1798</v>
      </c>
      <c r="D116" t="str">
        <f>HYPERLINK("http://nlpdeep.cs.uic.edu:8080/proofing/gsii/9313-discharge-medications-0-4.pdf","gsii/9313-discharge-medications-0-4.pdf")</f>
        <v>gsii/9313-discharge-medications-0-4.pdf</v>
      </c>
      <c r="E116">
        <v>118659</v>
      </c>
      <c r="F116">
        <v>9313</v>
      </c>
      <c r="G116" t="s">
        <v>745</v>
      </c>
      <c r="H116" t="s">
        <v>1122</v>
      </c>
      <c r="I116" t="s">
        <v>1799</v>
      </c>
    </row>
    <row r="117" spans="1:9" x14ac:dyDescent="0.2">
      <c r="A117" t="s">
        <v>1800</v>
      </c>
      <c r="D117" t="str">
        <f>HYPERLINK("http://nlpdeep.cs.uic.edu:8080/proofing/t5/9313-discharge-medications-0-5.pdf","t5/9313-discharge-medications-0-5.pdf")</f>
        <v>t5/9313-discharge-medications-0-5.pdf</v>
      </c>
      <c r="E117">
        <v>118659</v>
      </c>
      <c r="F117">
        <v>9313</v>
      </c>
      <c r="G117" t="s">
        <v>745</v>
      </c>
      <c r="H117" t="s">
        <v>1122</v>
      </c>
      <c r="I117" t="s">
        <v>1801</v>
      </c>
    </row>
    <row r="118" spans="1:9" x14ac:dyDescent="0.2">
      <c r="A118" t="s">
        <v>1800</v>
      </c>
      <c r="D118" t="str">
        <f>HYPERLINK("http://nlpdeep.cs.uic.edu:8080/proofing/gsii/9313-discharge-medications-0-5.pdf","gsii/9313-discharge-medications-0-5.pdf")</f>
        <v>gsii/9313-discharge-medications-0-5.pdf</v>
      </c>
      <c r="E118">
        <v>118659</v>
      </c>
      <c r="F118">
        <v>9313</v>
      </c>
      <c r="G118" t="s">
        <v>745</v>
      </c>
      <c r="H118" t="s">
        <v>1122</v>
      </c>
      <c r="I118" t="s">
        <v>1801</v>
      </c>
    </row>
    <row r="119" spans="1:9" x14ac:dyDescent="0.2">
      <c r="A119" t="s">
        <v>1802</v>
      </c>
      <c r="D119" t="str">
        <f>HYPERLINK("http://nlpdeep.cs.uic.edu:8080/proofing/t5/9313-discharge-medications-0-6.pdf","t5/9313-discharge-medications-0-6.pdf")</f>
        <v>t5/9313-discharge-medications-0-6.pdf</v>
      </c>
      <c r="E119">
        <v>118659</v>
      </c>
      <c r="F119">
        <v>9313</v>
      </c>
      <c r="G119" t="s">
        <v>745</v>
      </c>
      <c r="H119" t="s">
        <v>1122</v>
      </c>
      <c r="I119" t="s">
        <v>1803</v>
      </c>
    </row>
    <row r="120" spans="1:9" x14ac:dyDescent="0.2">
      <c r="A120" t="s">
        <v>1802</v>
      </c>
      <c r="D120" t="str">
        <f>HYPERLINK("http://nlpdeep.cs.uic.edu:8080/proofing/gsii/9313-discharge-medications-0-6.pdf","gsii/9313-discharge-medications-0-6.pdf")</f>
        <v>gsii/9313-discharge-medications-0-6.pdf</v>
      </c>
      <c r="E120">
        <v>118659</v>
      </c>
      <c r="F120">
        <v>9313</v>
      </c>
      <c r="G120" t="s">
        <v>745</v>
      </c>
      <c r="H120" t="s">
        <v>1122</v>
      </c>
      <c r="I120" t="s">
        <v>1803</v>
      </c>
    </row>
    <row r="121" spans="1:9" x14ac:dyDescent="0.2">
      <c r="A121" t="s">
        <v>1804</v>
      </c>
      <c r="D121" t="str">
        <f>HYPERLINK("http://nlpdeep.cs.uic.edu:8080/proofing/t5/9313-discharge-medications-0-7.pdf","t5/9313-discharge-medications-0-7.pdf")</f>
        <v>t5/9313-discharge-medications-0-7.pdf</v>
      </c>
      <c r="E121">
        <v>118659</v>
      </c>
      <c r="F121">
        <v>9313</v>
      </c>
      <c r="G121" t="s">
        <v>745</v>
      </c>
      <c r="H121" t="s">
        <v>1122</v>
      </c>
      <c r="I121" t="s">
        <v>1805</v>
      </c>
    </row>
    <row r="122" spans="1:9" x14ac:dyDescent="0.2">
      <c r="A122" t="s">
        <v>1804</v>
      </c>
      <c r="D122" t="str">
        <f>HYPERLINK("http://nlpdeep.cs.uic.edu:8080/proofing/gsii/9313-discharge-medications-0-7.pdf","gsii/9313-discharge-medications-0-7.pdf")</f>
        <v>gsii/9313-discharge-medications-0-7.pdf</v>
      </c>
      <c r="E122">
        <v>118659</v>
      </c>
      <c r="F122">
        <v>9313</v>
      </c>
      <c r="G122" t="s">
        <v>745</v>
      </c>
      <c r="H122" t="s">
        <v>1122</v>
      </c>
      <c r="I122" t="s">
        <v>1805</v>
      </c>
    </row>
    <row r="123" spans="1:9" x14ac:dyDescent="0.2">
      <c r="A123" t="s">
        <v>1806</v>
      </c>
      <c r="D123" t="str">
        <f>HYPERLINK("http://nlpdeep.cs.uic.edu:8080/proofing/t5/9313-discharge-medications-0-8.pdf","t5/9313-discharge-medications-0-8.pdf")</f>
        <v>t5/9313-discharge-medications-0-8.pdf</v>
      </c>
      <c r="E123">
        <v>118659</v>
      </c>
      <c r="F123">
        <v>9313</v>
      </c>
      <c r="G123" t="s">
        <v>745</v>
      </c>
      <c r="H123" t="s">
        <v>1122</v>
      </c>
      <c r="I123" t="s">
        <v>1803</v>
      </c>
    </row>
    <row r="124" spans="1:9" x14ac:dyDescent="0.2">
      <c r="A124" t="s">
        <v>1806</v>
      </c>
      <c r="D124" t="str">
        <f>HYPERLINK("http://nlpdeep.cs.uic.edu:8080/proofing/gsii/9313-discharge-medications-0-8.pdf","gsii/9313-discharge-medications-0-8.pdf")</f>
        <v>gsii/9313-discharge-medications-0-8.pdf</v>
      </c>
      <c r="E124">
        <v>118659</v>
      </c>
      <c r="F124">
        <v>9313</v>
      </c>
      <c r="G124" t="s">
        <v>745</v>
      </c>
      <c r="H124" t="s">
        <v>1122</v>
      </c>
      <c r="I124" t="s">
        <v>1803</v>
      </c>
    </row>
    <row r="125" spans="1:9" x14ac:dyDescent="0.2">
      <c r="A125" t="s">
        <v>1807</v>
      </c>
      <c r="D125" t="str">
        <f>HYPERLINK("http://nlpdeep.cs.uic.edu:8080/proofing/t5/9313-discharge-medications-0-9.pdf","t5/9313-discharge-medications-0-9.pdf")</f>
        <v>t5/9313-discharge-medications-0-9.pdf</v>
      </c>
      <c r="E125">
        <v>118659</v>
      </c>
      <c r="F125">
        <v>9313</v>
      </c>
      <c r="G125" t="s">
        <v>745</v>
      </c>
      <c r="H125" t="s">
        <v>1122</v>
      </c>
      <c r="I125" t="s">
        <v>1808</v>
      </c>
    </row>
    <row r="126" spans="1:9" x14ac:dyDescent="0.2">
      <c r="A126" t="s">
        <v>1807</v>
      </c>
      <c r="D126" t="str">
        <f>HYPERLINK("http://nlpdeep.cs.uic.edu:8080/proofing/gsii/9313-discharge-medications-0-9.pdf","gsii/9313-discharge-medications-0-9.pdf")</f>
        <v>gsii/9313-discharge-medications-0-9.pdf</v>
      </c>
      <c r="E126">
        <v>118659</v>
      </c>
      <c r="F126">
        <v>9313</v>
      </c>
      <c r="G126" t="s">
        <v>745</v>
      </c>
      <c r="H126" t="s">
        <v>1122</v>
      </c>
      <c r="I126" t="s">
        <v>1808</v>
      </c>
    </row>
    <row r="127" spans="1:9" x14ac:dyDescent="0.2">
      <c r="A127" t="s">
        <v>1809</v>
      </c>
      <c r="D127" t="str">
        <f>HYPERLINK("http://nlpdeep.cs.uic.edu:8080/proofing/t5/9313-discharge-medications-0-10.pdf","t5/9313-discharge-medications-0-10.pdf")</f>
        <v>t5/9313-discharge-medications-0-10.pdf</v>
      </c>
      <c r="E127">
        <v>118659</v>
      </c>
      <c r="F127">
        <v>9313</v>
      </c>
      <c r="G127" t="s">
        <v>745</v>
      </c>
      <c r="H127" t="s">
        <v>1122</v>
      </c>
      <c r="I127" t="s">
        <v>1810</v>
      </c>
    </row>
    <row r="128" spans="1:9" x14ac:dyDescent="0.2">
      <c r="A128" t="s">
        <v>1809</v>
      </c>
      <c r="D128" t="str">
        <f>HYPERLINK("http://nlpdeep.cs.uic.edu:8080/proofing/gsii/9313-discharge-medications-0-10.pdf","gsii/9313-discharge-medications-0-10.pdf")</f>
        <v>gsii/9313-discharge-medications-0-10.pdf</v>
      </c>
      <c r="E128">
        <v>118659</v>
      </c>
      <c r="F128">
        <v>9313</v>
      </c>
      <c r="G128" t="s">
        <v>745</v>
      </c>
      <c r="H128" t="s">
        <v>1122</v>
      </c>
      <c r="I128" t="s">
        <v>1810</v>
      </c>
    </row>
    <row r="129" spans="1:9" x14ac:dyDescent="0.2">
      <c r="A129" t="s">
        <v>1811</v>
      </c>
      <c r="D129" t="str">
        <f>HYPERLINK("http://nlpdeep.cs.uic.edu:8080/proofing/t5/9313-discharge-medications-0-11.pdf","t5/9313-discharge-medications-0-11.pdf")</f>
        <v>t5/9313-discharge-medications-0-11.pdf</v>
      </c>
      <c r="E129">
        <v>118659</v>
      </c>
      <c r="F129">
        <v>9313</v>
      </c>
      <c r="G129" t="s">
        <v>745</v>
      </c>
      <c r="H129" t="s">
        <v>1122</v>
      </c>
      <c r="I129" t="s">
        <v>1812</v>
      </c>
    </row>
    <row r="130" spans="1:9" x14ac:dyDescent="0.2">
      <c r="A130" t="s">
        <v>1811</v>
      </c>
      <c r="D130" t="str">
        <f>HYPERLINK("http://nlpdeep.cs.uic.edu:8080/proofing/gsii/9313-discharge-medications-0-11.pdf","gsii/9313-discharge-medications-0-11.pdf")</f>
        <v>gsii/9313-discharge-medications-0-11.pdf</v>
      </c>
      <c r="E130">
        <v>118659</v>
      </c>
      <c r="F130">
        <v>9313</v>
      </c>
      <c r="G130" t="s">
        <v>745</v>
      </c>
      <c r="H130" t="s">
        <v>1122</v>
      </c>
      <c r="I130" t="s">
        <v>1812</v>
      </c>
    </row>
    <row r="131" spans="1:9" x14ac:dyDescent="0.2">
      <c r="A131" t="s">
        <v>1813</v>
      </c>
      <c r="D131" t="str">
        <f>HYPERLINK("http://nlpdeep.cs.uic.edu:8080/proofing/t5/9313-discharge-diagnosis-0-0.pdf","t5/9313-discharge-diagnosis-0-0.pdf")</f>
        <v>t5/9313-discharge-diagnosis-0-0.pdf</v>
      </c>
      <c r="E131">
        <v>118659</v>
      </c>
      <c r="F131">
        <v>9313</v>
      </c>
      <c r="G131" t="s">
        <v>745</v>
      </c>
      <c r="H131" t="s">
        <v>1168</v>
      </c>
      <c r="I131" t="s">
        <v>1814</v>
      </c>
    </row>
    <row r="132" spans="1:9" x14ac:dyDescent="0.2">
      <c r="A132" t="s">
        <v>1813</v>
      </c>
      <c r="D132" t="str">
        <f>HYPERLINK("http://nlpdeep.cs.uic.edu:8080/proofing/gsii/9313-discharge-diagnosis-0-0.pdf","gsii/9313-discharge-diagnosis-0-0.pdf")</f>
        <v>gsii/9313-discharge-diagnosis-0-0.pdf</v>
      </c>
      <c r="E132">
        <v>118659</v>
      </c>
      <c r="F132">
        <v>9313</v>
      </c>
      <c r="G132" t="s">
        <v>745</v>
      </c>
      <c r="H132" t="s">
        <v>1168</v>
      </c>
      <c r="I132" t="s">
        <v>1814</v>
      </c>
    </row>
    <row r="133" spans="1:9" x14ac:dyDescent="0.2">
      <c r="A133" t="s">
        <v>1815</v>
      </c>
      <c r="D133" t="str">
        <f>HYPERLINK("http://nlpdeep.cs.uic.edu:8080/proofing/t5/9313-addendum-0-0.pdf","t5/9313-addendum-0-0.pdf")</f>
        <v>t5/9313-addendum-0-0.pdf</v>
      </c>
      <c r="E133">
        <v>118659</v>
      </c>
      <c r="F133">
        <v>9313</v>
      </c>
      <c r="G133" t="s">
        <v>745</v>
      </c>
      <c r="H133" t="s">
        <v>1400</v>
      </c>
      <c r="I133" t="s">
        <v>1816</v>
      </c>
    </row>
    <row r="134" spans="1:9" x14ac:dyDescent="0.2">
      <c r="A134" t="s">
        <v>1815</v>
      </c>
      <c r="D134" t="str">
        <f>HYPERLINK("http://nlpdeep.cs.uic.edu:8080/proofing/gsii/9313-addendum-0-0.pdf","gsii/9313-addendum-0-0.pdf")</f>
        <v>gsii/9313-addendum-0-0.pdf</v>
      </c>
      <c r="E134">
        <v>118659</v>
      </c>
      <c r="F134">
        <v>9313</v>
      </c>
      <c r="G134" t="s">
        <v>745</v>
      </c>
      <c r="H134" t="s">
        <v>1400</v>
      </c>
      <c r="I134" t="s">
        <v>1816</v>
      </c>
    </row>
    <row r="135" spans="1:9" x14ac:dyDescent="0.2">
      <c r="A135" t="s">
        <v>1817</v>
      </c>
      <c r="D135" t="str">
        <f>HYPERLINK("http://nlpdeep.cs.uic.edu:8080/proofing/t5/9313-addendum-0-1.pdf","t5/9313-addendum-0-1.pdf")</f>
        <v>t5/9313-addendum-0-1.pdf</v>
      </c>
      <c r="E135">
        <v>118659</v>
      </c>
      <c r="F135">
        <v>9313</v>
      </c>
      <c r="G135" t="s">
        <v>745</v>
      </c>
      <c r="H135" t="s">
        <v>1400</v>
      </c>
      <c r="I135" t="s">
        <v>1818</v>
      </c>
    </row>
    <row r="136" spans="1:9" x14ac:dyDescent="0.2">
      <c r="A136" t="s">
        <v>1817</v>
      </c>
      <c r="D136" t="str">
        <f>HYPERLINK("http://nlpdeep.cs.uic.edu:8080/proofing/gsii/9313-addendum-0-1.pdf","gsii/9313-addendum-0-1.pdf")</f>
        <v>gsii/9313-addendum-0-1.pdf</v>
      </c>
      <c r="E136">
        <v>118659</v>
      </c>
      <c r="F136">
        <v>9313</v>
      </c>
      <c r="G136" t="s">
        <v>745</v>
      </c>
      <c r="H136" t="s">
        <v>1400</v>
      </c>
      <c r="I136" t="s">
        <v>1818</v>
      </c>
    </row>
    <row r="137" spans="1:9" x14ac:dyDescent="0.2">
      <c r="A137" t="s">
        <v>1819</v>
      </c>
      <c r="D137" t="str">
        <f>HYPERLINK("http://nlpdeep.cs.uic.edu:8080/proofing/t5/9313-addendum-0-2.pdf","t5/9313-addendum-0-2.pdf")</f>
        <v>t5/9313-addendum-0-2.pdf</v>
      </c>
      <c r="E137">
        <v>118659</v>
      </c>
      <c r="F137">
        <v>9313</v>
      </c>
      <c r="G137" t="s">
        <v>745</v>
      </c>
      <c r="H137" t="s">
        <v>1400</v>
      </c>
      <c r="I137" t="s">
        <v>1820</v>
      </c>
    </row>
    <row r="138" spans="1:9" x14ac:dyDescent="0.2">
      <c r="A138" t="s">
        <v>1819</v>
      </c>
      <c r="D138" t="str">
        <f>HYPERLINK("http://nlpdeep.cs.uic.edu:8080/proofing/gsii/9313-addendum-0-2.pdf","gsii/9313-addendum-0-2.pdf")</f>
        <v>gsii/9313-addendum-0-2.pdf</v>
      </c>
      <c r="E138">
        <v>118659</v>
      </c>
      <c r="F138">
        <v>9313</v>
      </c>
      <c r="G138" t="s">
        <v>745</v>
      </c>
      <c r="H138" t="s">
        <v>1400</v>
      </c>
      <c r="I138" t="s">
        <v>1820</v>
      </c>
    </row>
    <row r="139" spans="1:9" x14ac:dyDescent="0.2">
      <c r="A139" t="s">
        <v>1821</v>
      </c>
      <c r="D139" t="str">
        <f>HYPERLINK("http://nlpdeep.cs.uic.edu:8080/proofing/t5/738495-reason-0-0.pdf","t5/738495-reason-0-0.pdf")</f>
        <v>t5/738495-reason-0-0.pdf</v>
      </c>
      <c r="E139">
        <v>118659</v>
      </c>
      <c r="F139">
        <v>738495</v>
      </c>
      <c r="G139" t="s">
        <v>1822</v>
      </c>
      <c r="H139" t="s">
        <v>1823</v>
      </c>
      <c r="I139" t="s">
        <v>1824</v>
      </c>
    </row>
    <row r="140" spans="1:9" x14ac:dyDescent="0.2">
      <c r="A140" t="s">
        <v>1821</v>
      </c>
      <c r="D140" t="str">
        <f>HYPERLINK("http://nlpdeep.cs.uic.edu:8080/proofing/gsii/738495-reason-0-0.pdf","gsii/738495-reason-0-0.pdf")</f>
        <v>gsii/738495-reason-0-0.pdf</v>
      </c>
      <c r="E140">
        <v>118659</v>
      </c>
      <c r="F140">
        <v>738495</v>
      </c>
      <c r="G140" t="s">
        <v>1822</v>
      </c>
      <c r="H140" t="s">
        <v>1823</v>
      </c>
      <c r="I140" t="s">
        <v>1824</v>
      </c>
    </row>
    <row r="141" spans="1:9" x14ac:dyDescent="0.2">
      <c r="A141" t="s">
        <v>1825</v>
      </c>
      <c r="D141" t="str">
        <f>HYPERLINK("http://nlpdeep.cs.uic.edu:8080/proofing/t5/738495-medical-condition-0-0.pdf","t5/738495-medical-condition-0-0.pdf")</f>
        <v>t5/738495-medical-condition-0-0.pdf</v>
      </c>
      <c r="E141">
        <v>118659</v>
      </c>
      <c r="F141">
        <v>738495</v>
      </c>
      <c r="G141" t="s">
        <v>1822</v>
      </c>
      <c r="H141" t="s">
        <v>1826</v>
      </c>
      <c r="I141" t="s">
        <v>1827</v>
      </c>
    </row>
    <row r="142" spans="1:9" x14ac:dyDescent="0.2">
      <c r="A142" t="s">
        <v>1825</v>
      </c>
      <c r="D142" t="str">
        <f>HYPERLINK("http://nlpdeep.cs.uic.edu:8080/proofing/gsii/738495-medical-condition-0-0.pdf","gsii/738495-medical-condition-0-0.pdf")</f>
        <v>gsii/738495-medical-condition-0-0.pdf</v>
      </c>
      <c r="E142">
        <v>118659</v>
      </c>
      <c r="F142">
        <v>738495</v>
      </c>
      <c r="G142" t="s">
        <v>1822</v>
      </c>
      <c r="H142" t="s">
        <v>1826</v>
      </c>
      <c r="I142" t="s">
        <v>1827</v>
      </c>
    </row>
    <row r="143" spans="1:9" x14ac:dyDescent="0.2">
      <c r="A143" t="s">
        <v>1828</v>
      </c>
      <c r="D143" t="str">
        <f>HYPERLINK("http://nlpdeep.cs.uic.edu:8080/proofing/t5/738495-medical-condition-0-1.pdf","t5/738495-medical-condition-0-1.pdf")</f>
        <v>t5/738495-medical-condition-0-1.pdf</v>
      </c>
      <c r="E143">
        <v>118659</v>
      </c>
      <c r="F143">
        <v>738495</v>
      </c>
      <c r="G143" t="s">
        <v>1822</v>
      </c>
      <c r="H143" t="s">
        <v>1826</v>
      </c>
      <c r="I143" t="s">
        <v>1829</v>
      </c>
    </row>
    <row r="144" spans="1:9" x14ac:dyDescent="0.2">
      <c r="A144" t="s">
        <v>1828</v>
      </c>
      <c r="D144" t="str">
        <f>HYPERLINK("http://nlpdeep.cs.uic.edu:8080/proofing/gsii/738495-medical-condition-0-1.pdf","gsii/738495-medical-condition-0-1.pdf")</f>
        <v>gsii/738495-medical-condition-0-1.pdf</v>
      </c>
      <c r="E144">
        <v>118659</v>
      </c>
      <c r="F144">
        <v>738495</v>
      </c>
      <c r="G144" t="s">
        <v>1822</v>
      </c>
      <c r="H144" t="s">
        <v>1826</v>
      </c>
      <c r="I144" t="s">
        <v>1829</v>
      </c>
    </row>
    <row r="145" spans="1:9" x14ac:dyDescent="0.2">
      <c r="A145" t="s">
        <v>1830</v>
      </c>
      <c r="D145" t="str">
        <f>HYPERLINK("http://nlpdeep.cs.uic.edu:8080/proofing/t5/738495-indication-0-0.pdf","t5/738495-indication-0-0.pdf")</f>
        <v>t5/738495-indication-0-0.pdf</v>
      </c>
      <c r="E145">
        <v>118659</v>
      </c>
      <c r="F145">
        <v>738495</v>
      </c>
      <c r="G145" t="s">
        <v>1822</v>
      </c>
      <c r="H145" t="s">
        <v>1831</v>
      </c>
      <c r="I145" t="s">
        <v>1832</v>
      </c>
    </row>
    <row r="146" spans="1:9" x14ac:dyDescent="0.2">
      <c r="A146" t="s">
        <v>1830</v>
      </c>
      <c r="D146" t="str">
        <f>HYPERLINK("http://nlpdeep.cs.uic.edu:8080/proofing/gsii/738495-indication-0-0.pdf","gsii/738495-indication-0-0.pdf")</f>
        <v>gsii/738495-indication-0-0.pdf</v>
      </c>
      <c r="E146">
        <v>118659</v>
      </c>
      <c r="F146">
        <v>738495</v>
      </c>
      <c r="G146" t="s">
        <v>1822</v>
      </c>
      <c r="H146" t="s">
        <v>1831</v>
      </c>
      <c r="I146" t="s">
        <v>1832</v>
      </c>
    </row>
    <row r="147" spans="1:9" x14ac:dyDescent="0.2">
      <c r="A147" t="s">
        <v>1833</v>
      </c>
      <c r="D147" t="str">
        <f>HYPERLINK("http://nlpdeep.cs.uic.edu:8080/proofing/t5/738495-comparison-0-0.pdf","t5/738495-comparison-0-0.pdf")</f>
        <v>t5/738495-comparison-0-0.pdf</v>
      </c>
      <c r="E147">
        <v>118659</v>
      </c>
      <c r="F147">
        <v>738495</v>
      </c>
      <c r="G147" t="s">
        <v>1822</v>
      </c>
      <c r="H147" t="s">
        <v>1834</v>
      </c>
      <c r="I147" t="s">
        <v>1835</v>
      </c>
    </row>
    <row r="148" spans="1:9" x14ac:dyDescent="0.2">
      <c r="A148" t="s">
        <v>1833</v>
      </c>
      <c r="D148" t="str">
        <f>HYPERLINK("http://nlpdeep.cs.uic.edu:8080/proofing/gsii/738495-comparison-0-0.pdf","gsii/738495-comparison-0-0.pdf")</f>
        <v>gsii/738495-comparison-0-0.pdf</v>
      </c>
      <c r="E148">
        <v>118659</v>
      </c>
      <c r="F148">
        <v>738495</v>
      </c>
      <c r="G148" t="s">
        <v>1822</v>
      </c>
      <c r="H148" t="s">
        <v>1834</v>
      </c>
      <c r="I148" t="s">
        <v>1835</v>
      </c>
    </row>
    <row r="149" spans="1:9" x14ac:dyDescent="0.2">
      <c r="A149" t="s">
        <v>1836</v>
      </c>
      <c r="D149" t="str">
        <f>HYPERLINK("http://nlpdeep.cs.uic.edu:8080/proofing/t5/738495-technique-0-0.pdf","t5/738495-technique-0-0.pdf")</f>
        <v>t5/738495-technique-0-0.pdf</v>
      </c>
      <c r="E149">
        <v>118659</v>
      </c>
      <c r="F149">
        <v>738495</v>
      </c>
      <c r="G149" t="s">
        <v>1822</v>
      </c>
      <c r="H149" t="s">
        <v>1837</v>
      </c>
      <c r="I149" t="s">
        <v>1838</v>
      </c>
    </row>
    <row r="150" spans="1:9" x14ac:dyDescent="0.2">
      <c r="A150" t="s">
        <v>1836</v>
      </c>
      <c r="D150" t="str">
        <f>HYPERLINK("http://nlpdeep.cs.uic.edu:8080/proofing/gsii/738495-technique-0-0.pdf","gsii/738495-technique-0-0.pdf")</f>
        <v>gsii/738495-technique-0-0.pdf</v>
      </c>
      <c r="E150">
        <v>118659</v>
      </c>
      <c r="F150">
        <v>738495</v>
      </c>
      <c r="G150" t="s">
        <v>1822</v>
      </c>
      <c r="H150" t="s">
        <v>1837</v>
      </c>
      <c r="I150" t="s">
        <v>1838</v>
      </c>
    </row>
    <row r="151" spans="1:9" x14ac:dyDescent="0.2">
      <c r="A151" t="s">
        <v>1839</v>
      </c>
      <c r="D151" t="str">
        <f>HYPERLINK("http://nlpdeep.cs.uic.edu:8080/proofing/t5/738495-findings-0-0.pdf","t5/738495-findings-0-0.pdf")</f>
        <v>t5/738495-findings-0-0.pdf</v>
      </c>
      <c r="E151">
        <v>118659</v>
      </c>
      <c r="F151">
        <v>738495</v>
      </c>
      <c r="G151" t="s">
        <v>1822</v>
      </c>
      <c r="H151" t="s">
        <v>1840</v>
      </c>
      <c r="I151" t="s">
        <v>1841</v>
      </c>
    </row>
    <row r="152" spans="1:9" x14ac:dyDescent="0.2">
      <c r="A152" t="s">
        <v>1839</v>
      </c>
      <c r="D152" t="str">
        <f>HYPERLINK("http://nlpdeep.cs.uic.edu:8080/proofing/gsii/738495-findings-0-0.pdf","gsii/738495-findings-0-0.pdf")</f>
        <v>gsii/738495-findings-0-0.pdf</v>
      </c>
      <c r="E152">
        <v>118659</v>
      </c>
      <c r="F152">
        <v>738495</v>
      </c>
      <c r="G152" t="s">
        <v>1822</v>
      </c>
      <c r="H152" t="s">
        <v>1840</v>
      </c>
      <c r="I152" t="s">
        <v>1841</v>
      </c>
    </row>
    <row r="153" spans="1:9" x14ac:dyDescent="0.2">
      <c r="A153" t="s">
        <v>1842</v>
      </c>
      <c r="D153" t="str">
        <f>HYPERLINK("http://nlpdeep.cs.uic.edu:8080/proofing/t5/738495-findings-0-1.pdf","t5/738495-findings-0-1.pdf")</f>
        <v>t5/738495-findings-0-1.pdf</v>
      </c>
      <c r="E153">
        <v>118659</v>
      </c>
      <c r="F153">
        <v>738495</v>
      </c>
      <c r="G153" t="s">
        <v>1822</v>
      </c>
      <c r="H153" t="s">
        <v>1840</v>
      </c>
      <c r="I153" t="s">
        <v>1843</v>
      </c>
    </row>
    <row r="154" spans="1:9" x14ac:dyDescent="0.2">
      <c r="A154" t="s">
        <v>1842</v>
      </c>
      <c r="D154" t="str">
        <f>HYPERLINK("http://nlpdeep.cs.uic.edu:8080/proofing/gsii/738495-findings-0-1.pdf","gsii/738495-findings-0-1.pdf")</f>
        <v>gsii/738495-findings-0-1.pdf</v>
      </c>
      <c r="E154">
        <v>118659</v>
      </c>
      <c r="F154">
        <v>738495</v>
      </c>
      <c r="G154" t="s">
        <v>1822</v>
      </c>
      <c r="H154" t="s">
        <v>1840</v>
      </c>
      <c r="I154" t="s">
        <v>1843</v>
      </c>
    </row>
    <row r="155" spans="1:9" x14ac:dyDescent="0.2">
      <c r="A155" t="s">
        <v>1844</v>
      </c>
      <c r="D155" t="str">
        <f>HYPERLINK("http://nlpdeep.cs.uic.edu:8080/proofing/t5/738495-findings-0-2.pdf","t5/738495-findings-0-2.pdf")</f>
        <v>t5/738495-findings-0-2.pdf</v>
      </c>
      <c r="E155">
        <v>118659</v>
      </c>
      <c r="F155">
        <v>738495</v>
      </c>
      <c r="G155" t="s">
        <v>1822</v>
      </c>
      <c r="H155" t="s">
        <v>1840</v>
      </c>
      <c r="I155" t="s">
        <v>1845</v>
      </c>
    </row>
    <row r="156" spans="1:9" x14ac:dyDescent="0.2">
      <c r="A156" t="s">
        <v>1844</v>
      </c>
      <c r="D156" t="str">
        <f>HYPERLINK("http://nlpdeep.cs.uic.edu:8080/proofing/gsii/738495-findings-0-2.pdf","gsii/738495-findings-0-2.pdf")</f>
        <v>gsii/738495-findings-0-2.pdf</v>
      </c>
      <c r="E156">
        <v>118659</v>
      </c>
      <c r="F156">
        <v>738495</v>
      </c>
      <c r="G156" t="s">
        <v>1822</v>
      </c>
      <c r="H156" t="s">
        <v>1840</v>
      </c>
      <c r="I156" t="s">
        <v>1845</v>
      </c>
    </row>
    <row r="157" spans="1:9" x14ac:dyDescent="0.2">
      <c r="A157" t="s">
        <v>1846</v>
      </c>
      <c r="D157" t="str">
        <f>HYPERLINK("http://nlpdeep.cs.uic.edu:8080/proofing/t5/738495-findings-0-3.pdf","t5/738495-findings-0-3.pdf")</f>
        <v>t5/738495-findings-0-3.pdf</v>
      </c>
      <c r="E157">
        <v>118659</v>
      </c>
      <c r="F157">
        <v>738495</v>
      </c>
      <c r="G157" t="s">
        <v>1822</v>
      </c>
      <c r="H157" t="s">
        <v>1840</v>
      </c>
      <c r="I157" t="s">
        <v>1847</v>
      </c>
    </row>
    <row r="158" spans="1:9" x14ac:dyDescent="0.2">
      <c r="A158" t="s">
        <v>1846</v>
      </c>
      <c r="D158" t="str">
        <f>HYPERLINK("http://nlpdeep.cs.uic.edu:8080/proofing/gsii/738495-findings-0-3.pdf","gsii/738495-findings-0-3.pdf")</f>
        <v>gsii/738495-findings-0-3.pdf</v>
      </c>
      <c r="E158">
        <v>118659</v>
      </c>
      <c r="F158">
        <v>738495</v>
      </c>
      <c r="G158" t="s">
        <v>1822</v>
      </c>
      <c r="H158" t="s">
        <v>1840</v>
      </c>
      <c r="I158" t="s">
        <v>1847</v>
      </c>
    </row>
    <row r="159" spans="1:9" x14ac:dyDescent="0.2">
      <c r="A159" t="s">
        <v>1848</v>
      </c>
      <c r="D159" t="str">
        <f>HYPERLINK("http://nlpdeep.cs.uic.edu:8080/proofing/t5/738495-findings-1-0.pdf","t5/738495-findings-1-0.pdf")</f>
        <v>t5/738495-findings-1-0.pdf</v>
      </c>
      <c r="E159">
        <v>118659</v>
      </c>
      <c r="F159">
        <v>738495</v>
      </c>
      <c r="G159" t="s">
        <v>1822</v>
      </c>
      <c r="H159" t="s">
        <v>1840</v>
      </c>
      <c r="I159" t="s">
        <v>1849</v>
      </c>
    </row>
    <row r="160" spans="1:9" x14ac:dyDescent="0.2">
      <c r="A160" t="s">
        <v>1848</v>
      </c>
      <c r="D160" t="str">
        <f>HYPERLINK("http://nlpdeep.cs.uic.edu:8080/proofing/gsii/738495-findings-1-0.pdf","gsii/738495-findings-1-0.pdf")</f>
        <v>gsii/738495-findings-1-0.pdf</v>
      </c>
      <c r="E160">
        <v>118659</v>
      </c>
      <c r="F160">
        <v>738495</v>
      </c>
      <c r="G160" t="s">
        <v>1822</v>
      </c>
      <c r="H160" t="s">
        <v>1840</v>
      </c>
      <c r="I160" t="s">
        <v>1849</v>
      </c>
    </row>
    <row r="161" spans="1:9" x14ac:dyDescent="0.2">
      <c r="A161" t="s">
        <v>1850</v>
      </c>
      <c r="D161" t="str">
        <f>HYPERLINK("http://nlpdeep.cs.uic.edu:8080/proofing/t5/738495-findings-1-1.pdf","t5/738495-findings-1-1.pdf")</f>
        <v>t5/738495-findings-1-1.pdf</v>
      </c>
      <c r="E161">
        <v>118659</v>
      </c>
      <c r="F161">
        <v>738495</v>
      </c>
      <c r="G161" t="s">
        <v>1822</v>
      </c>
      <c r="H161" t="s">
        <v>1840</v>
      </c>
      <c r="I161" t="s">
        <v>1851</v>
      </c>
    </row>
    <row r="162" spans="1:9" x14ac:dyDescent="0.2">
      <c r="A162" t="s">
        <v>1850</v>
      </c>
      <c r="D162" t="str">
        <f>HYPERLINK("http://nlpdeep.cs.uic.edu:8080/proofing/gsii/738495-findings-1-1.pdf","gsii/738495-findings-1-1.pdf")</f>
        <v>gsii/738495-findings-1-1.pdf</v>
      </c>
      <c r="E162">
        <v>118659</v>
      </c>
      <c r="F162">
        <v>738495</v>
      </c>
      <c r="G162" t="s">
        <v>1822</v>
      </c>
      <c r="H162" t="s">
        <v>1840</v>
      </c>
      <c r="I162" t="s">
        <v>1851</v>
      </c>
    </row>
    <row r="163" spans="1:9" x14ac:dyDescent="0.2">
      <c r="A163" t="s">
        <v>1852</v>
      </c>
      <c r="D163" t="str">
        <f>HYPERLINK("http://nlpdeep.cs.uic.edu:8080/proofing/t5/738495-findings-1-2.pdf","t5/738495-findings-1-2.pdf")</f>
        <v>t5/738495-findings-1-2.pdf</v>
      </c>
      <c r="E163">
        <v>118659</v>
      </c>
      <c r="F163">
        <v>738495</v>
      </c>
      <c r="G163" t="s">
        <v>1822</v>
      </c>
      <c r="H163" t="s">
        <v>1840</v>
      </c>
      <c r="I163" t="s">
        <v>1853</v>
      </c>
    </row>
    <row r="164" spans="1:9" x14ac:dyDescent="0.2">
      <c r="A164" t="s">
        <v>1852</v>
      </c>
      <c r="D164" t="str">
        <f>HYPERLINK("http://nlpdeep.cs.uic.edu:8080/proofing/gsii/738495-findings-1-2.pdf","gsii/738495-findings-1-2.pdf")</f>
        <v>gsii/738495-findings-1-2.pdf</v>
      </c>
      <c r="E164">
        <v>118659</v>
      </c>
      <c r="F164">
        <v>738495</v>
      </c>
      <c r="G164" t="s">
        <v>1822</v>
      </c>
      <c r="H164" t="s">
        <v>1840</v>
      </c>
      <c r="I164" t="s">
        <v>1853</v>
      </c>
    </row>
    <row r="165" spans="1:9" x14ac:dyDescent="0.2">
      <c r="A165" t="s">
        <v>1854</v>
      </c>
      <c r="D165" t="str">
        <f>HYPERLINK("http://nlpdeep.cs.uic.edu:8080/proofing/t5/738495-findings-1-3.pdf","t5/738495-findings-1-3.pdf")</f>
        <v>t5/738495-findings-1-3.pdf</v>
      </c>
      <c r="E165">
        <v>118659</v>
      </c>
      <c r="F165">
        <v>738495</v>
      </c>
      <c r="G165" t="s">
        <v>1822</v>
      </c>
      <c r="H165" t="s">
        <v>1840</v>
      </c>
      <c r="I165" t="s">
        <v>1855</v>
      </c>
    </row>
    <row r="166" spans="1:9" x14ac:dyDescent="0.2">
      <c r="A166" t="s">
        <v>1854</v>
      </c>
      <c r="D166" t="str">
        <f>HYPERLINK("http://nlpdeep.cs.uic.edu:8080/proofing/gsii/738495-findings-1-3.pdf","gsii/738495-findings-1-3.pdf")</f>
        <v>gsii/738495-findings-1-3.pdf</v>
      </c>
      <c r="E166">
        <v>118659</v>
      </c>
      <c r="F166">
        <v>738495</v>
      </c>
      <c r="G166" t="s">
        <v>1822</v>
      </c>
      <c r="H166" t="s">
        <v>1840</v>
      </c>
      <c r="I166" t="s">
        <v>1855</v>
      </c>
    </row>
    <row r="167" spans="1:9" x14ac:dyDescent="0.2">
      <c r="A167" t="s">
        <v>1856</v>
      </c>
      <c r="D167" t="str">
        <f>HYPERLINK("http://nlpdeep.cs.uic.edu:8080/proofing/t5/738495-findings-2-0.pdf","t5/738495-findings-2-0.pdf")</f>
        <v>t5/738495-findings-2-0.pdf</v>
      </c>
      <c r="E167">
        <v>118659</v>
      </c>
      <c r="F167">
        <v>738495</v>
      </c>
      <c r="G167" t="s">
        <v>1822</v>
      </c>
      <c r="H167" t="s">
        <v>1840</v>
      </c>
      <c r="I167" t="s">
        <v>1857</v>
      </c>
    </row>
    <row r="168" spans="1:9" x14ac:dyDescent="0.2">
      <c r="A168" t="s">
        <v>1856</v>
      </c>
      <c r="D168" t="str">
        <f>HYPERLINK("http://nlpdeep.cs.uic.edu:8080/proofing/gsii/738495-findings-2-0.pdf","gsii/738495-findings-2-0.pdf")</f>
        <v>gsii/738495-findings-2-0.pdf</v>
      </c>
      <c r="E168">
        <v>118659</v>
      </c>
      <c r="F168">
        <v>738495</v>
      </c>
      <c r="G168" t="s">
        <v>1822</v>
      </c>
      <c r="H168" t="s">
        <v>1840</v>
      </c>
      <c r="I168" t="s">
        <v>1857</v>
      </c>
    </row>
    <row r="169" spans="1:9" x14ac:dyDescent="0.2">
      <c r="A169" t="s">
        <v>1858</v>
      </c>
      <c r="D169" t="str">
        <f>HYPERLINK("http://nlpdeep.cs.uic.edu:8080/proofing/t5/738495-impression-0-0.pdf","t5/738495-impression-0-0.pdf")</f>
        <v>t5/738495-impression-0-0.pdf</v>
      </c>
      <c r="E169">
        <v>118659</v>
      </c>
      <c r="F169">
        <v>738495</v>
      </c>
      <c r="G169" t="s">
        <v>1822</v>
      </c>
      <c r="H169" t="s">
        <v>1859</v>
      </c>
      <c r="I169" t="s">
        <v>1860</v>
      </c>
    </row>
    <row r="170" spans="1:9" x14ac:dyDescent="0.2">
      <c r="A170" t="s">
        <v>1858</v>
      </c>
      <c r="D170" t="str">
        <f>HYPERLINK("http://nlpdeep.cs.uic.edu:8080/proofing/gsii/738495-impression-0-0.pdf","gsii/738495-impression-0-0.pdf")</f>
        <v>gsii/738495-impression-0-0.pdf</v>
      </c>
      <c r="E170">
        <v>118659</v>
      </c>
      <c r="F170">
        <v>738495</v>
      </c>
      <c r="G170" t="s">
        <v>1822</v>
      </c>
      <c r="H170" t="s">
        <v>1859</v>
      </c>
      <c r="I170" t="s">
        <v>1860</v>
      </c>
    </row>
    <row r="171" spans="1:9" x14ac:dyDescent="0.2">
      <c r="A171" t="s">
        <v>1861</v>
      </c>
      <c r="D171" t="str">
        <f>HYPERLINK("http://nlpdeep.cs.uic.edu:8080/proofing/t5/738495-impression-1-0.pdf","t5/738495-impression-1-0.pdf")</f>
        <v>t5/738495-impression-1-0.pdf</v>
      </c>
      <c r="E171">
        <v>118659</v>
      </c>
      <c r="F171">
        <v>738495</v>
      </c>
      <c r="G171" t="s">
        <v>1822</v>
      </c>
      <c r="H171" t="s">
        <v>1859</v>
      </c>
      <c r="I171" t="s">
        <v>1862</v>
      </c>
    </row>
    <row r="172" spans="1:9" x14ac:dyDescent="0.2">
      <c r="A172" t="s">
        <v>1861</v>
      </c>
      <c r="D172" t="str">
        <f>HYPERLINK("http://nlpdeep.cs.uic.edu:8080/proofing/gsii/738495-impression-1-0.pdf","gsii/738495-impression-1-0.pdf")</f>
        <v>gsii/738495-impression-1-0.pdf</v>
      </c>
      <c r="E172">
        <v>118659</v>
      </c>
      <c r="F172">
        <v>738495</v>
      </c>
      <c r="G172" t="s">
        <v>1822</v>
      </c>
      <c r="H172" t="s">
        <v>1859</v>
      </c>
      <c r="I172" t="s">
        <v>1862</v>
      </c>
    </row>
    <row r="173" spans="1:9" x14ac:dyDescent="0.2">
      <c r="A173" t="s">
        <v>1863</v>
      </c>
      <c r="D173" t="str">
        <f>HYPERLINK("http://nlpdeep.cs.uic.edu:8080/proofing/t5/738495-impression-2-0.pdf","t5/738495-impression-2-0.pdf")</f>
        <v>t5/738495-impression-2-0.pdf</v>
      </c>
      <c r="E173">
        <v>118659</v>
      </c>
      <c r="F173">
        <v>738495</v>
      </c>
      <c r="G173" t="s">
        <v>1822</v>
      </c>
      <c r="H173" t="s">
        <v>1859</v>
      </c>
      <c r="I173" t="s">
        <v>1864</v>
      </c>
    </row>
    <row r="174" spans="1:9" x14ac:dyDescent="0.2">
      <c r="A174" t="s">
        <v>1863</v>
      </c>
      <c r="D174" t="str">
        <f>HYPERLINK("http://nlpdeep.cs.uic.edu:8080/proofing/gsii/738495-impression-2-0.pdf","gsii/738495-impression-2-0.pdf")</f>
        <v>gsii/738495-impression-2-0.pdf</v>
      </c>
      <c r="E174">
        <v>118659</v>
      </c>
      <c r="F174">
        <v>738495</v>
      </c>
      <c r="G174" t="s">
        <v>1822</v>
      </c>
      <c r="H174" t="s">
        <v>1859</v>
      </c>
      <c r="I174" t="s">
        <v>1864</v>
      </c>
    </row>
    <row r="175" spans="1:9" x14ac:dyDescent="0.2">
      <c r="A175" t="s">
        <v>1865</v>
      </c>
      <c r="D175" t="str">
        <f>HYPERLINK("http://nlpdeep.cs.uic.edu:8080/proofing/t5/738493-reason-0-0.pdf","t5/738493-reason-0-0.pdf")</f>
        <v>t5/738493-reason-0-0.pdf</v>
      </c>
      <c r="E175">
        <v>118659</v>
      </c>
      <c r="F175">
        <v>738493</v>
      </c>
      <c r="G175" t="s">
        <v>1822</v>
      </c>
      <c r="H175" t="s">
        <v>1823</v>
      </c>
      <c r="I175" t="s">
        <v>1866</v>
      </c>
    </row>
    <row r="176" spans="1:9" x14ac:dyDescent="0.2">
      <c r="A176" t="s">
        <v>1865</v>
      </c>
      <c r="D176" t="str">
        <f>HYPERLINK("http://nlpdeep.cs.uic.edu:8080/proofing/gsii/738493-reason-0-0.pdf","gsii/738493-reason-0-0.pdf")</f>
        <v>gsii/738493-reason-0-0.pdf</v>
      </c>
      <c r="E176">
        <v>118659</v>
      </c>
      <c r="F176">
        <v>738493</v>
      </c>
      <c r="G176" t="s">
        <v>1822</v>
      </c>
      <c r="H176" t="s">
        <v>1823</v>
      </c>
      <c r="I176" t="s">
        <v>1866</v>
      </c>
    </row>
    <row r="177" spans="1:9" x14ac:dyDescent="0.2">
      <c r="A177" t="s">
        <v>1867</v>
      </c>
      <c r="D177" t="str">
        <f>HYPERLINK("http://nlpdeep.cs.uic.edu:8080/proofing/t5/738493-medical-condition-0-0.pdf","t5/738493-medical-condition-0-0.pdf")</f>
        <v>t5/738493-medical-condition-0-0.pdf</v>
      </c>
      <c r="E177">
        <v>118659</v>
      </c>
      <c r="F177">
        <v>738493</v>
      </c>
      <c r="G177" t="s">
        <v>1822</v>
      </c>
      <c r="H177" t="s">
        <v>1826</v>
      </c>
      <c r="I177" t="s">
        <v>1868</v>
      </c>
    </row>
    <row r="178" spans="1:9" x14ac:dyDescent="0.2">
      <c r="A178" t="s">
        <v>1867</v>
      </c>
      <c r="D178" t="str">
        <f>HYPERLINK("http://nlpdeep.cs.uic.edu:8080/proofing/gsii/738493-medical-condition-0-0.pdf","gsii/738493-medical-condition-0-0.pdf")</f>
        <v>gsii/738493-medical-condition-0-0.pdf</v>
      </c>
      <c r="E178">
        <v>118659</v>
      </c>
      <c r="F178">
        <v>738493</v>
      </c>
      <c r="G178" t="s">
        <v>1822</v>
      </c>
      <c r="H178" t="s">
        <v>1826</v>
      </c>
      <c r="I178" t="s">
        <v>1868</v>
      </c>
    </row>
    <row r="179" spans="1:9" x14ac:dyDescent="0.2">
      <c r="A179" t="s">
        <v>1869</v>
      </c>
      <c r="D179" t="str">
        <f>HYPERLINK("http://nlpdeep.cs.uic.edu:8080/proofing/t5/738493-indication-0-0.pdf","t5/738493-indication-0-0.pdf")</f>
        <v>t5/738493-indication-0-0.pdf</v>
      </c>
      <c r="E179">
        <v>118659</v>
      </c>
      <c r="F179">
        <v>738493</v>
      </c>
      <c r="G179" t="s">
        <v>1822</v>
      </c>
      <c r="H179" t="s">
        <v>1831</v>
      </c>
      <c r="I179" t="s">
        <v>1870</v>
      </c>
    </row>
    <row r="180" spans="1:9" x14ac:dyDescent="0.2">
      <c r="A180" t="s">
        <v>1869</v>
      </c>
      <c r="D180" t="str">
        <f>HYPERLINK("http://nlpdeep.cs.uic.edu:8080/proofing/gsii/738493-indication-0-0.pdf","gsii/738493-indication-0-0.pdf")</f>
        <v>gsii/738493-indication-0-0.pdf</v>
      </c>
      <c r="E180">
        <v>118659</v>
      </c>
      <c r="F180">
        <v>738493</v>
      </c>
      <c r="G180" t="s">
        <v>1822</v>
      </c>
      <c r="H180" t="s">
        <v>1831</v>
      </c>
      <c r="I180" t="s">
        <v>1870</v>
      </c>
    </row>
    <row r="181" spans="1:9" x14ac:dyDescent="0.2">
      <c r="A181" t="s">
        <v>1871</v>
      </c>
      <c r="D181" t="str">
        <f>HYPERLINK("http://nlpdeep.cs.uic.edu:8080/proofing/t5/738493-comparison-0-0.pdf","t5/738493-comparison-0-0.pdf")</f>
        <v>t5/738493-comparison-0-0.pdf</v>
      </c>
      <c r="E181">
        <v>118659</v>
      </c>
      <c r="F181">
        <v>738493</v>
      </c>
      <c r="G181" t="s">
        <v>1822</v>
      </c>
      <c r="H181" t="s">
        <v>1834</v>
      </c>
      <c r="I181" t="s">
        <v>1872</v>
      </c>
    </row>
    <row r="182" spans="1:9" x14ac:dyDescent="0.2">
      <c r="A182" t="s">
        <v>1871</v>
      </c>
      <c r="D182" t="str">
        <f>HYPERLINK("http://nlpdeep.cs.uic.edu:8080/proofing/gsii/738493-comparison-0-0.pdf","gsii/738493-comparison-0-0.pdf")</f>
        <v>gsii/738493-comparison-0-0.pdf</v>
      </c>
      <c r="E182">
        <v>118659</v>
      </c>
      <c r="F182">
        <v>738493</v>
      </c>
      <c r="G182" t="s">
        <v>1822</v>
      </c>
      <c r="H182" t="s">
        <v>1834</v>
      </c>
      <c r="I182" t="s">
        <v>1872</v>
      </c>
    </row>
    <row r="183" spans="1:9" x14ac:dyDescent="0.2">
      <c r="A183" t="s">
        <v>1873</v>
      </c>
      <c r="D183" t="str">
        <f>HYPERLINK("http://nlpdeep.cs.uic.edu:8080/proofing/t5/738493-findings-0-0.pdf","t5/738493-findings-0-0.pdf")</f>
        <v>t5/738493-findings-0-0.pdf</v>
      </c>
      <c r="E183">
        <v>118659</v>
      </c>
      <c r="F183">
        <v>738493</v>
      </c>
      <c r="G183" t="s">
        <v>1822</v>
      </c>
      <c r="H183" t="s">
        <v>1840</v>
      </c>
      <c r="I183" t="s">
        <v>1874</v>
      </c>
    </row>
    <row r="184" spans="1:9" x14ac:dyDescent="0.2">
      <c r="A184" t="s">
        <v>1873</v>
      </c>
      <c r="D184" t="str">
        <f>HYPERLINK("http://nlpdeep.cs.uic.edu:8080/proofing/gsii/738493-findings-0-0.pdf","gsii/738493-findings-0-0.pdf")</f>
        <v>gsii/738493-findings-0-0.pdf</v>
      </c>
      <c r="E184">
        <v>118659</v>
      </c>
      <c r="F184">
        <v>738493</v>
      </c>
      <c r="G184" t="s">
        <v>1822</v>
      </c>
      <c r="H184" t="s">
        <v>1840</v>
      </c>
      <c r="I184" t="s">
        <v>1874</v>
      </c>
    </row>
    <row r="185" spans="1:9" x14ac:dyDescent="0.2">
      <c r="A185" t="s">
        <v>1875</v>
      </c>
      <c r="D185" t="str">
        <f>HYPERLINK("http://nlpdeep.cs.uic.edu:8080/proofing/t5/738493-findings-0-1.pdf","t5/738493-findings-0-1.pdf")</f>
        <v>t5/738493-findings-0-1.pdf</v>
      </c>
      <c r="E185">
        <v>118659</v>
      </c>
      <c r="F185">
        <v>738493</v>
      </c>
      <c r="G185" t="s">
        <v>1822</v>
      </c>
      <c r="H185" t="s">
        <v>1840</v>
      </c>
      <c r="I185" t="s">
        <v>1876</v>
      </c>
    </row>
    <row r="186" spans="1:9" x14ac:dyDescent="0.2">
      <c r="A186" t="s">
        <v>1875</v>
      </c>
      <c r="D186" t="str">
        <f>HYPERLINK("http://nlpdeep.cs.uic.edu:8080/proofing/gsii/738493-findings-0-1.pdf","gsii/738493-findings-0-1.pdf")</f>
        <v>gsii/738493-findings-0-1.pdf</v>
      </c>
      <c r="E186">
        <v>118659</v>
      </c>
      <c r="F186">
        <v>738493</v>
      </c>
      <c r="G186" t="s">
        <v>1822</v>
      </c>
      <c r="H186" t="s">
        <v>1840</v>
      </c>
      <c r="I186" t="s">
        <v>1876</v>
      </c>
    </row>
    <row r="187" spans="1:9" x14ac:dyDescent="0.2">
      <c r="A187" t="s">
        <v>1877</v>
      </c>
      <c r="D187" t="str">
        <f>HYPERLINK("http://nlpdeep.cs.uic.edu:8080/proofing/t5/738493-findings-0-2.pdf","t5/738493-findings-0-2.pdf")</f>
        <v>t5/738493-findings-0-2.pdf</v>
      </c>
      <c r="E187">
        <v>118659</v>
      </c>
      <c r="F187">
        <v>738493</v>
      </c>
      <c r="G187" t="s">
        <v>1822</v>
      </c>
      <c r="H187" t="s">
        <v>1840</v>
      </c>
      <c r="I187" t="s">
        <v>1878</v>
      </c>
    </row>
    <row r="188" spans="1:9" x14ac:dyDescent="0.2">
      <c r="A188" t="s">
        <v>1877</v>
      </c>
      <c r="D188" t="str">
        <f>HYPERLINK("http://nlpdeep.cs.uic.edu:8080/proofing/gsii/738493-findings-0-2.pdf","gsii/738493-findings-0-2.pdf")</f>
        <v>gsii/738493-findings-0-2.pdf</v>
      </c>
      <c r="E188">
        <v>118659</v>
      </c>
      <c r="F188">
        <v>738493</v>
      </c>
      <c r="G188" t="s">
        <v>1822</v>
      </c>
      <c r="H188" t="s">
        <v>1840</v>
      </c>
      <c r="I188" t="s">
        <v>1878</v>
      </c>
    </row>
    <row r="189" spans="1:9" x14ac:dyDescent="0.2">
      <c r="A189" t="s">
        <v>1879</v>
      </c>
      <c r="D189" t="str">
        <f>HYPERLINK("http://nlpdeep.cs.uic.edu:8080/proofing/t5/738493-findings-0-3.pdf","t5/738493-findings-0-3.pdf")</f>
        <v>t5/738493-findings-0-3.pdf</v>
      </c>
      <c r="E189">
        <v>118659</v>
      </c>
      <c r="F189">
        <v>738493</v>
      </c>
      <c r="G189" t="s">
        <v>1822</v>
      </c>
      <c r="H189" t="s">
        <v>1840</v>
      </c>
      <c r="I189" t="s">
        <v>1880</v>
      </c>
    </row>
    <row r="190" spans="1:9" x14ac:dyDescent="0.2">
      <c r="A190" t="s">
        <v>1879</v>
      </c>
      <c r="D190" t="str">
        <f>HYPERLINK("http://nlpdeep.cs.uic.edu:8080/proofing/gsii/738493-findings-0-3.pdf","gsii/738493-findings-0-3.pdf")</f>
        <v>gsii/738493-findings-0-3.pdf</v>
      </c>
      <c r="E190">
        <v>118659</v>
      </c>
      <c r="F190">
        <v>738493</v>
      </c>
      <c r="G190" t="s">
        <v>1822</v>
      </c>
      <c r="H190" t="s">
        <v>1840</v>
      </c>
      <c r="I190" t="s">
        <v>1880</v>
      </c>
    </row>
    <row r="191" spans="1:9" x14ac:dyDescent="0.2">
      <c r="A191" t="s">
        <v>1881</v>
      </c>
      <c r="D191" t="str">
        <f>HYPERLINK("http://nlpdeep.cs.uic.edu:8080/proofing/t5/738493-findings-0-4.pdf","t5/738493-findings-0-4.pdf")</f>
        <v>t5/738493-findings-0-4.pdf</v>
      </c>
      <c r="E191">
        <v>118659</v>
      </c>
      <c r="F191">
        <v>738493</v>
      </c>
      <c r="G191" t="s">
        <v>1822</v>
      </c>
      <c r="H191" t="s">
        <v>1840</v>
      </c>
      <c r="I191" t="s">
        <v>1882</v>
      </c>
    </row>
    <row r="192" spans="1:9" x14ac:dyDescent="0.2">
      <c r="A192" t="s">
        <v>1881</v>
      </c>
      <c r="D192" t="str">
        <f>HYPERLINK("http://nlpdeep.cs.uic.edu:8080/proofing/gsii/738493-findings-0-4.pdf","gsii/738493-findings-0-4.pdf")</f>
        <v>gsii/738493-findings-0-4.pdf</v>
      </c>
      <c r="E192">
        <v>118659</v>
      </c>
      <c r="F192">
        <v>738493</v>
      </c>
      <c r="G192" t="s">
        <v>1822</v>
      </c>
      <c r="H192" t="s">
        <v>1840</v>
      </c>
      <c r="I192" t="s">
        <v>1882</v>
      </c>
    </row>
    <row r="193" spans="1:9" x14ac:dyDescent="0.2">
      <c r="A193" t="s">
        <v>1883</v>
      </c>
      <c r="D193" t="str">
        <f>HYPERLINK("http://nlpdeep.cs.uic.edu:8080/proofing/t5/738493-findings-0-5.pdf","t5/738493-findings-0-5.pdf")</f>
        <v>t5/738493-findings-0-5.pdf</v>
      </c>
      <c r="E193">
        <v>118659</v>
      </c>
      <c r="F193">
        <v>738493</v>
      </c>
      <c r="G193" t="s">
        <v>1822</v>
      </c>
      <c r="H193" t="s">
        <v>1840</v>
      </c>
      <c r="I193" t="s">
        <v>1884</v>
      </c>
    </row>
    <row r="194" spans="1:9" x14ac:dyDescent="0.2">
      <c r="A194" t="s">
        <v>1883</v>
      </c>
      <c r="D194" t="str">
        <f>HYPERLINK("http://nlpdeep.cs.uic.edu:8080/proofing/gsii/738493-findings-0-5.pdf","gsii/738493-findings-0-5.pdf")</f>
        <v>gsii/738493-findings-0-5.pdf</v>
      </c>
      <c r="E194">
        <v>118659</v>
      </c>
      <c r="F194">
        <v>738493</v>
      </c>
      <c r="G194" t="s">
        <v>1822</v>
      </c>
      <c r="H194" t="s">
        <v>1840</v>
      </c>
      <c r="I194" t="s">
        <v>1884</v>
      </c>
    </row>
    <row r="195" spans="1:9" x14ac:dyDescent="0.2">
      <c r="A195" t="s">
        <v>1885</v>
      </c>
      <c r="D195" t="str">
        <f>HYPERLINK("http://nlpdeep.cs.uic.edu:8080/proofing/t5/738493-impression-0-0.pdf","t5/738493-impression-0-0.pdf")</f>
        <v>t5/738493-impression-0-0.pdf</v>
      </c>
      <c r="E195">
        <v>118659</v>
      </c>
      <c r="F195">
        <v>738493</v>
      </c>
      <c r="G195" t="s">
        <v>1822</v>
      </c>
      <c r="H195" t="s">
        <v>1859</v>
      </c>
      <c r="I195" t="s">
        <v>1886</v>
      </c>
    </row>
    <row r="196" spans="1:9" x14ac:dyDescent="0.2">
      <c r="A196" t="s">
        <v>1885</v>
      </c>
      <c r="D196" t="str">
        <f>HYPERLINK("http://nlpdeep.cs.uic.edu:8080/proofing/gsii/738493-impression-0-0.pdf","gsii/738493-impression-0-0.pdf")</f>
        <v>gsii/738493-impression-0-0.pdf</v>
      </c>
      <c r="E196">
        <v>118659</v>
      </c>
      <c r="F196">
        <v>738493</v>
      </c>
      <c r="G196" t="s">
        <v>1822</v>
      </c>
      <c r="H196" t="s">
        <v>1859</v>
      </c>
      <c r="I196" t="s">
        <v>1886</v>
      </c>
    </row>
    <row r="197" spans="1:9" x14ac:dyDescent="0.2">
      <c r="A197" t="s">
        <v>1887</v>
      </c>
      <c r="D197" t="str">
        <f>HYPERLINK("http://nlpdeep.cs.uic.edu:8080/proofing/t5/738493-image-type-0-0.pdf","t5/738493-image-type-0-0.pdf")</f>
        <v>t5/738493-image-type-0-0.pdf</v>
      </c>
      <c r="E197">
        <v>118659</v>
      </c>
      <c r="F197">
        <v>738493</v>
      </c>
      <c r="G197" t="s">
        <v>1822</v>
      </c>
      <c r="H197" t="s">
        <v>1888</v>
      </c>
      <c r="I197" t="s">
        <v>1889</v>
      </c>
    </row>
    <row r="198" spans="1:9" x14ac:dyDescent="0.2">
      <c r="A198" t="s">
        <v>1887</v>
      </c>
      <c r="D198" t="str">
        <f>HYPERLINK("http://nlpdeep.cs.uic.edu:8080/proofing/gsii/738493-image-type-0-0.pdf","gsii/738493-image-type-0-0.pdf")</f>
        <v>gsii/738493-image-type-0-0.pdf</v>
      </c>
      <c r="E198">
        <v>118659</v>
      </c>
      <c r="F198">
        <v>738493</v>
      </c>
      <c r="G198" t="s">
        <v>1822</v>
      </c>
      <c r="H198" t="s">
        <v>1888</v>
      </c>
      <c r="I198" t="s">
        <v>1889</v>
      </c>
    </row>
    <row r="199" spans="1:9" x14ac:dyDescent="0.2">
      <c r="A199" t="s">
        <v>1890</v>
      </c>
      <c r="D199" t="str">
        <f>HYPERLINK("http://nlpdeep.cs.uic.edu:8080/proofing/t5/99217-patient-test-information-0-0.pdf","t5/99217-patient-test-information-0-0.pdf")</f>
        <v>t5/99217-patient-test-information-0-0.pdf</v>
      </c>
      <c r="E199">
        <v>118760</v>
      </c>
      <c r="F199">
        <v>99217</v>
      </c>
      <c r="G199" t="s">
        <v>1891</v>
      </c>
      <c r="H199" t="s">
        <v>1892</v>
      </c>
      <c r="I199" t="s">
        <v>1893</v>
      </c>
    </row>
    <row r="200" spans="1:9" x14ac:dyDescent="0.2">
      <c r="A200" t="s">
        <v>1890</v>
      </c>
      <c r="D200" t="str">
        <f>HYPERLINK("http://nlpdeep.cs.uic.edu:8080/proofing/gsii/99217-patient-test-information-0-0.pdf","gsii/99217-patient-test-information-0-0.pdf")</f>
        <v>gsii/99217-patient-test-information-0-0.pdf</v>
      </c>
      <c r="E200">
        <v>118760</v>
      </c>
      <c r="F200">
        <v>99217</v>
      </c>
      <c r="G200" t="s">
        <v>1891</v>
      </c>
      <c r="H200" t="s">
        <v>1892</v>
      </c>
      <c r="I200" t="s">
        <v>1893</v>
      </c>
    </row>
    <row r="201" spans="1:9" x14ac:dyDescent="0.2">
      <c r="A201" t="s">
        <v>1894</v>
      </c>
      <c r="D201" t="str">
        <f>HYPERLINK("http://nlpdeep.cs.uic.edu:8080/proofing/t5/99217-patient-test-information-0-1.pdf","t5/99217-patient-test-information-0-1.pdf")</f>
        <v>t5/99217-patient-test-information-0-1.pdf</v>
      </c>
      <c r="E201">
        <v>118760</v>
      </c>
      <c r="F201">
        <v>99217</v>
      </c>
      <c r="G201" t="s">
        <v>1891</v>
      </c>
      <c r="H201" t="s">
        <v>1892</v>
      </c>
      <c r="I201" t="s">
        <v>1895</v>
      </c>
    </row>
    <row r="202" spans="1:9" x14ac:dyDescent="0.2">
      <c r="A202" t="s">
        <v>1894</v>
      </c>
      <c r="D202" t="str">
        <f>HYPERLINK("http://nlpdeep.cs.uic.edu:8080/proofing/gsii/99217-patient-test-information-0-1.pdf","gsii/99217-patient-test-information-0-1.pdf")</f>
        <v>gsii/99217-patient-test-information-0-1.pdf</v>
      </c>
      <c r="E202">
        <v>118760</v>
      </c>
      <c r="F202">
        <v>99217</v>
      </c>
      <c r="G202" t="s">
        <v>1891</v>
      </c>
      <c r="H202" t="s">
        <v>1892</v>
      </c>
      <c r="I202" t="s">
        <v>1895</v>
      </c>
    </row>
    <row r="203" spans="1:9" x14ac:dyDescent="0.2">
      <c r="A203" t="s">
        <v>1896</v>
      </c>
      <c r="D203" t="str">
        <f>HYPERLINK("http://nlpdeep.cs.uic.edu:8080/proofing/t5/99217-patient-test-information-0-2.pdf","t5/99217-patient-test-information-0-2.pdf")</f>
        <v>t5/99217-patient-test-information-0-2.pdf</v>
      </c>
      <c r="E203">
        <v>118760</v>
      </c>
      <c r="F203">
        <v>99217</v>
      </c>
      <c r="G203" t="s">
        <v>1891</v>
      </c>
      <c r="H203" t="s">
        <v>1892</v>
      </c>
      <c r="I203" t="s">
        <v>1897</v>
      </c>
    </row>
    <row r="204" spans="1:9" x14ac:dyDescent="0.2">
      <c r="A204" t="s">
        <v>1896</v>
      </c>
      <c r="D204" t="str">
        <f>HYPERLINK("http://nlpdeep.cs.uic.edu:8080/proofing/gsii/99217-patient-test-information-0-2.pdf","gsii/99217-patient-test-information-0-2.pdf")</f>
        <v>gsii/99217-patient-test-information-0-2.pdf</v>
      </c>
      <c r="E204">
        <v>118760</v>
      </c>
      <c r="F204">
        <v>99217</v>
      </c>
      <c r="G204" t="s">
        <v>1891</v>
      </c>
      <c r="H204" t="s">
        <v>1892</v>
      </c>
      <c r="I204" t="s">
        <v>1897</v>
      </c>
    </row>
    <row r="205" spans="1:9" x14ac:dyDescent="0.2">
      <c r="A205" t="s">
        <v>1898</v>
      </c>
      <c r="D205" t="str">
        <f>HYPERLINK("http://nlpdeep.cs.uic.edu:8080/proofing/t5/99217-patient-test-information-0-3.pdf","t5/99217-patient-test-information-0-3.pdf")</f>
        <v>t5/99217-patient-test-information-0-3.pdf</v>
      </c>
      <c r="E205">
        <v>118760</v>
      </c>
      <c r="F205">
        <v>99217</v>
      </c>
      <c r="G205" t="s">
        <v>1891</v>
      </c>
      <c r="H205" t="s">
        <v>1892</v>
      </c>
      <c r="I205" t="s">
        <v>1899</v>
      </c>
    </row>
    <row r="206" spans="1:9" x14ac:dyDescent="0.2">
      <c r="A206" t="s">
        <v>1898</v>
      </c>
      <c r="D206" t="str">
        <f>HYPERLINK("http://nlpdeep.cs.uic.edu:8080/proofing/gsii/99217-patient-test-information-0-3.pdf","gsii/99217-patient-test-information-0-3.pdf")</f>
        <v>gsii/99217-patient-test-information-0-3.pdf</v>
      </c>
      <c r="E206">
        <v>118760</v>
      </c>
      <c r="F206">
        <v>99217</v>
      </c>
      <c r="G206" t="s">
        <v>1891</v>
      </c>
      <c r="H206" t="s">
        <v>1892</v>
      </c>
      <c r="I206" t="s">
        <v>1899</v>
      </c>
    </row>
    <row r="207" spans="1:9" x14ac:dyDescent="0.2">
      <c r="A207" t="s">
        <v>1900</v>
      </c>
      <c r="D207" t="str">
        <f>HYPERLINK("http://nlpdeep.cs.uic.edu:8080/proofing/t5/99217-findings-0-0.pdf","t5/99217-findings-0-0.pdf")</f>
        <v>t5/99217-findings-0-0.pdf</v>
      </c>
      <c r="E207">
        <v>118760</v>
      </c>
      <c r="F207">
        <v>99217</v>
      </c>
      <c r="G207" t="s">
        <v>1891</v>
      </c>
      <c r="H207" t="s">
        <v>1840</v>
      </c>
      <c r="I207" t="s">
        <v>1901</v>
      </c>
    </row>
    <row r="208" spans="1:9" x14ac:dyDescent="0.2">
      <c r="A208" t="s">
        <v>1900</v>
      </c>
      <c r="D208" t="str">
        <f>HYPERLINK("http://nlpdeep.cs.uic.edu:8080/proofing/gsii/99217-findings-0-0.pdf","gsii/99217-findings-0-0.pdf")</f>
        <v>gsii/99217-findings-0-0.pdf</v>
      </c>
      <c r="E208">
        <v>118760</v>
      </c>
      <c r="F208">
        <v>99217</v>
      </c>
      <c r="G208" t="s">
        <v>1891</v>
      </c>
      <c r="H208" t="s">
        <v>1840</v>
      </c>
      <c r="I208" t="s">
        <v>1901</v>
      </c>
    </row>
    <row r="209" spans="1:9" x14ac:dyDescent="0.2">
      <c r="A209" t="s">
        <v>1902</v>
      </c>
      <c r="D209" t="str">
        <f>HYPERLINK("http://nlpdeep.cs.uic.edu:8080/proofing/t5/99217-findings-1-0.pdf","t5/99217-findings-1-0.pdf")</f>
        <v>t5/99217-findings-1-0.pdf</v>
      </c>
      <c r="E209">
        <v>118760</v>
      </c>
      <c r="F209">
        <v>99217</v>
      </c>
      <c r="G209" t="s">
        <v>1891</v>
      </c>
      <c r="H209" t="s">
        <v>1840</v>
      </c>
      <c r="I209" t="s">
        <v>1903</v>
      </c>
    </row>
    <row r="210" spans="1:9" x14ac:dyDescent="0.2">
      <c r="A210" t="s">
        <v>1902</v>
      </c>
      <c r="D210" t="str">
        <f>HYPERLINK("http://nlpdeep.cs.uic.edu:8080/proofing/gsii/99217-findings-1-0.pdf","gsii/99217-findings-1-0.pdf")</f>
        <v>gsii/99217-findings-1-0.pdf</v>
      </c>
      <c r="E210">
        <v>118760</v>
      </c>
      <c r="F210">
        <v>99217</v>
      </c>
      <c r="G210" t="s">
        <v>1891</v>
      </c>
      <c r="H210" t="s">
        <v>1840</v>
      </c>
      <c r="I210" t="s">
        <v>1903</v>
      </c>
    </row>
    <row r="211" spans="1:9" x14ac:dyDescent="0.2">
      <c r="A211" t="s">
        <v>1904</v>
      </c>
      <c r="D211" t="str">
        <f>HYPERLINK("http://nlpdeep.cs.uic.edu:8080/proofing/t5/99217-findings-2-0.pdf","t5/99217-findings-2-0.pdf")</f>
        <v>t5/99217-findings-2-0.pdf</v>
      </c>
      <c r="E211">
        <v>118760</v>
      </c>
      <c r="F211">
        <v>99217</v>
      </c>
      <c r="G211" t="s">
        <v>1891</v>
      </c>
      <c r="H211" t="s">
        <v>1840</v>
      </c>
      <c r="I211" t="s">
        <v>1905</v>
      </c>
    </row>
    <row r="212" spans="1:9" x14ac:dyDescent="0.2">
      <c r="A212" t="s">
        <v>1904</v>
      </c>
      <c r="D212" t="str">
        <f>HYPERLINK("http://nlpdeep.cs.uic.edu:8080/proofing/gsii/99217-findings-2-0.pdf","gsii/99217-findings-2-0.pdf")</f>
        <v>gsii/99217-findings-2-0.pdf</v>
      </c>
      <c r="E212">
        <v>118760</v>
      </c>
      <c r="F212">
        <v>99217</v>
      </c>
      <c r="G212" t="s">
        <v>1891</v>
      </c>
      <c r="H212" t="s">
        <v>1840</v>
      </c>
      <c r="I212" t="s">
        <v>1905</v>
      </c>
    </row>
    <row r="213" spans="1:9" x14ac:dyDescent="0.2">
      <c r="A213" t="s">
        <v>1906</v>
      </c>
      <c r="D213" t="str">
        <f>HYPERLINK("http://nlpdeep.cs.uic.edu:8080/proofing/t5/99217-findings-2-1.pdf","t5/99217-findings-2-1.pdf")</f>
        <v>t5/99217-findings-2-1.pdf</v>
      </c>
      <c r="E213">
        <v>118760</v>
      </c>
      <c r="F213">
        <v>99217</v>
      </c>
      <c r="G213" t="s">
        <v>1891</v>
      </c>
      <c r="H213" t="s">
        <v>1840</v>
      </c>
      <c r="I213" t="s">
        <v>1907</v>
      </c>
    </row>
    <row r="214" spans="1:9" x14ac:dyDescent="0.2">
      <c r="A214" t="s">
        <v>1906</v>
      </c>
      <c r="D214" t="str">
        <f>HYPERLINK("http://nlpdeep.cs.uic.edu:8080/proofing/gsii/99217-findings-2-1.pdf","gsii/99217-findings-2-1.pdf")</f>
        <v>gsii/99217-findings-2-1.pdf</v>
      </c>
      <c r="E214">
        <v>118760</v>
      </c>
      <c r="F214">
        <v>99217</v>
      </c>
      <c r="G214" t="s">
        <v>1891</v>
      </c>
      <c r="H214" t="s">
        <v>1840</v>
      </c>
      <c r="I214" t="s">
        <v>1907</v>
      </c>
    </row>
    <row r="215" spans="1:9" x14ac:dyDescent="0.2">
      <c r="A215" t="s">
        <v>1908</v>
      </c>
      <c r="D215" t="str">
        <f>HYPERLINK("http://nlpdeep.cs.uic.edu:8080/proofing/t5/99217-findings-2-2.pdf","t5/99217-findings-2-2.pdf")</f>
        <v>t5/99217-findings-2-2.pdf</v>
      </c>
      <c r="E215">
        <v>118760</v>
      </c>
      <c r="F215">
        <v>99217</v>
      </c>
      <c r="G215" t="s">
        <v>1891</v>
      </c>
      <c r="H215" t="s">
        <v>1840</v>
      </c>
      <c r="I215" t="s">
        <v>1909</v>
      </c>
    </row>
    <row r="216" spans="1:9" x14ac:dyDescent="0.2">
      <c r="A216" t="s">
        <v>1908</v>
      </c>
      <c r="D216" t="str">
        <f>HYPERLINK("http://nlpdeep.cs.uic.edu:8080/proofing/gsii/99217-findings-2-2.pdf","gsii/99217-findings-2-2.pdf")</f>
        <v>gsii/99217-findings-2-2.pdf</v>
      </c>
      <c r="E216">
        <v>118760</v>
      </c>
      <c r="F216">
        <v>99217</v>
      </c>
      <c r="G216" t="s">
        <v>1891</v>
      </c>
      <c r="H216" t="s">
        <v>1840</v>
      </c>
      <c r="I216" t="s">
        <v>1909</v>
      </c>
    </row>
    <row r="217" spans="1:9" x14ac:dyDescent="0.2">
      <c r="A217" t="s">
        <v>1910</v>
      </c>
      <c r="D217" t="str">
        <f>HYPERLINK("http://nlpdeep.cs.uic.edu:8080/proofing/t5/99217-findings-2-3.pdf","t5/99217-findings-2-3.pdf")</f>
        <v>t5/99217-findings-2-3.pdf</v>
      </c>
      <c r="E217">
        <v>118760</v>
      </c>
      <c r="F217">
        <v>99217</v>
      </c>
      <c r="G217" t="s">
        <v>1891</v>
      </c>
      <c r="H217" t="s">
        <v>1840</v>
      </c>
      <c r="I217" t="s">
        <v>1911</v>
      </c>
    </row>
    <row r="218" spans="1:9" x14ac:dyDescent="0.2">
      <c r="A218" t="s">
        <v>1910</v>
      </c>
      <c r="D218" t="str">
        <f>HYPERLINK("http://nlpdeep.cs.uic.edu:8080/proofing/gsii/99217-findings-2-3.pdf","gsii/99217-findings-2-3.pdf")</f>
        <v>gsii/99217-findings-2-3.pdf</v>
      </c>
      <c r="E218">
        <v>118760</v>
      </c>
      <c r="F218">
        <v>99217</v>
      </c>
      <c r="G218" t="s">
        <v>1891</v>
      </c>
      <c r="H218" t="s">
        <v>1840</v>
      </c>
      <c r="I218" t="s">
        <v>1911</v>
      </c>
    </row>
    <row r="219" spans="1:9" x14ac:dyDescent="0.2">
      <c r="A219" t="s">
        <v>1912</v>
      </c>
      <c r="D219" t="str">
        <f>HYPERLINK("http://nlpdeep.cs.uic.edu:8080/proofing/t5/99217-findings-2-4.pdf","t5/99217-findings-2-4.pdf")</f>
        <v>t5/99217-findings-2-4.pdf</v>
      </c>
      <c r="E219">
        <v>118760</v>
      </c>
      <c r="F219">
        <v>99217</v>
      </c>
      <c r="G219" t="s">
        <v>1891</v>
      </c>
      <c r="H219" t="s">
        <v>1840</v>
      </c>
      <c r="I219" t="s">
        <v>1913</v>
      </c>
    </row>
    <row r="220" spans="1:9" x14ac:dyDescent="0.2">
      <c r="A220" t="s">
        <v>1912</v>
      </c>
      <c r="D220" t="str">
        <f>HYPERLINK("http://nlpdeep.cs.uic.edu:8080/proofing/gsii/99217-findings-2-4.pdf","gsii/99217-findings-2-4.pdf")</f>
        <v>gsii/99217-findings-2-4.pdf</v>
      </c>
      <c r="E220">
        <v>118760</v>
      </c>
      <c r="F220">
        <v>99217</v>
      </c>
      <c r="G220" t="s">
        <v>1891</v>
      </c>
      <c r="H220" t="s">
        <v>1840</v>
      </c>
      <c r="I220" t="s">
        <v>1913</v>
      </c>
    </row>
    <row r="221" spans="1:9" x14ac:dyDescent="0.2">
      <c r="A221" t="s">
        <v>1914</v>
      </c>
      <c r="D221" t="str">
        <f>HYPERLINK("http://nlpdeep.cs.uic.edu:8080/proofing/t5/99217-findings-2-5.pdf","t5/99217-findings-2-5.pdf")</f>
        <v>t5/99217-findings-2-5.pdf</v>
      </c>
      <c r="E221">
        <v>118760</v>
      </c>
      <c r="F221">
        <v>99217</v>
      </c>
      <c r="G221" t="s">
        <v>1891</v>
      </c>
      <c r="H221" t="s">
        <v>1840</v>
      </c>
      <c r="I221" t="s">
        <v>1915</v>
      </c>
    </row>
    <row r="222" spans="1:9" x14ac:dyDescent="0.2">
      <c r="A222" t="s">
        <v>1914</v>
      </c>
      <c r="D222" t="str">
        <f>HYPERLINK("http://nlpdeep.cs.uic.edu:8080/proofing/gsii/99217-findings-2-5.pdf","gsii/99217-findings-2-5.pdf")</f>
        <v>gsii/99217-findings-2-5.pdf</v>
      </c>
      <c r="E222">
        <v>118760</v>
      </c>
      <c r="F222">
        <v>99217</v>
      </c>
      <c r="G222" t="s">
        <v>1891</v>
      </c>
      <c r="H222" t="s">
        <v>1840</v>
      </c>
      <c r="I222" t="s">
        <v>1915</v>
      </c>
    </row>
    <row r="223" spans="1:9" x14ac:dyDescent="0.2">
      <c r="A223" t="s">
        <v>1916</v>
      </c>
      <c r="D223" t="str">
        <f>HYPERLINK("http://nlpdeep.cs.uic.edu:8080/proofing/t5/99217-findings-3-0.pdf","t5/99217-findings-3-0.pdf")</f>
        <v>t5/99217-findings-3-0.pdf</v>
      </c>
      <c r="E223">
        <v>118760</v>
      </c>
      <c r="F223">
        <v>99217</v>
      </c>
      <c r="G223" t="s">
        <v>1891</v>
      </c>
      <c r="H223" t="s">
        <v>1840</v>
      </c>
      <c r="I223" t="s">
        <v>1917</v>
      </c>
    </row>
    <row r="224" spans="1:9" x14ac:dyDescent="0.2">
      <c r="A224" t="s">
        <v>1916</v>
      </c>
      <c r="D224" t="str">
        <f>HYPERLINK("http://nlpdeep.cs.uic.edu:8080/proofing/gsii/99217-findings-3-0.pdf","gsii/99217-findings-3-0.pdf")</f>
        <v>gsii/99217-findings-3-0.pdf</v>
      </c>
      <c r="E224">
        <v>118760</v>
      </c>
      <c r="F224">
        <v>99217</v>
      </c>
      <c r="G224" t="s">
        <v>1891</v>
      </c>
      <c r="H224" t="s">
        <v>1840</v>
      </c>
      <c r="I224" t="s">
        <v>1917</v>
      </c>
    </row>
    <row r="225" spans="1:9" x14ac:dyDescent="0.2">
      <c r="A225" t="s">
        <v>1918</v>
      </c>
      <c r="D225" t="str">
        <f>HYPERLINK("http://nlpdeep.cs.uic.edu:8080/proofing/t5/99217-findings-4-0.pdf","t5/99217-findings-4-0.pdf")</f>
        <v>t5/99217-findings-4-0.pdf</v>
      </c>
      <c r="E225">
        <v>118760</v>
      </c>
      <c r="F225">
        <v>99217</v>
      </c>
      <c r="G225" t="s">
        <v>1891</v>
      </c>
      <c r="H225" t="s">
        <v>1840</v>
      </c>
      <c r="I225" t="s">
        <v>1919</v>
      </c>
    </row>
    <row r="226" spans="1:9" x14ac:dyDescent="0.2">
      <c r="A226" t="s">
        <v>1918</v>
      </c>
      <c r="D226" t="str">
        <f>HYPERLINK("http://nlpdeep.cs.uic.edu:8080/proofing/gsii/99217-findings-4-0.pdf","gsii/99217-findings-4-0.pdf")</f>
        <v>gsii/99217-findings-4-0.pdf</v>
      </c>
      <c r="E226">
        <v>118760</v>
      </c>
      <c r="F226">
        <v>99217</v>
      </c>
      <c r="G226" t="s">
        <v>1891</v>
      </c>
      <c r="H226" t="s">
        <v>1840</v>
      </c>
      <c r="I226" t="s">
        <v>1919</v>
      </c>
    </row>
    <row r="227" spans="1:9" x14ac:dyDescent="0.2">
      <c r="A227" t="s">
        <v>1920</v>
      </c>
      <c r="D227" t="str">
        <f>HYPERLINK("http://nlpdeep.cs.uic.edu:8080/proofing/t5/99217-findings-5-0.pdf","t5/99217-findings-5-0.pdf")</f>
        <v>t5/99217-findings-5-0.pdf</v>
      </c>
      <c r="E227">
        <v>118760</v>
      </c>
      <c r="F227">
        <v>99217</v>
      </c>
      <c r="G227" t="s">
        <v>1891</v>
      </c>
      <c r="H227" t="s">
        <v>1840</v>
      </c>
      <c r="I227" t="s">
        <v>1921</v>
      </c>
    </row>
    <row r="228" spans="1:9" x14ac:dyDescent="0.2">
      <c r="A228" t="s">
        <v>1920</v>
      </c>
      <c r="D228" t="str">
        <f>HYPERLINK("http://nlpdeep.cs.uic.edu:8080/proofing/gsii/99217-findings-5-0.pdf","gsii/99217-findings-5-0.pdf")</f>
        <v>gsii/99217-findings-5-0.pdf</v>
      </c>
      <c r="E228">
        <v>118760</v>
      </c>
      <c r="F228">
        <v>99217</v>
      </c>
      <c r="G228" t="s">
        <v>1891</v>
      </c>
      <c r="H228" t="s">
        <v>1840</v>
      </c>
      <c r="I228" t="s">
        <v>1921</v>
      </c>
    </row>
    <row r="229" spans="1:9" x14ac:dyDescent="0.2">
      <c r="A229" t="s">
        <v>1922</v>
      </c>
      <c r="D229" t="str">
        <f>HYPERLINK("http://nlpdeep.cs.uic.edu:8080/proofing/t5/99217-findings-5-1.pdf","t5/99217-findings-5-1.pdf")</f>
        <v>t5/99217-findings-5-1.pdf</v>
      </c>
      <c r="E229">
        <v>118760</v>
      </c>
      <c r="F229">
        <v>99217</v>
      </c>
      <c r="G229" t="s">
        <v>1891</v>
      </c>
      <c r="H229" t="s">
        <v>1840</v>
      </c>
      <c r="I229" t="s">
        <v>1923</v>
      </c>
    </row>
    <row r="230" spans="1:9" x14ac:dyDescent="0.2">
      <c r="A230" t="s">
        <v>1922</v>
      </c>
      <c r="D230" t="str">
        <f>HYPERLINK("http://nlpdeep.cs.uic.edu:8080/proofing/gsii/99217-findings-5-1.pdf","gsii/99217-findings-5-1.pdf")</f>
        <v>gsii/99217-findings-5-1.pdf</v>
      </c>
      <c r="E230">
        <v>118760</v>
      </c>
      <c r="F230">
        <v>99217</v>
      </c>
      <c r="G230" t="s">
        <v>1891</v>
      </c>
      <c r="H230" t="s">
        <v>1840</v>
      </c>
      <c r="I230" t="s">
        <v>1923</v>
      </c>
    </row>
    <row r="231" spans="1:9" x14ac:dyDescent="0.2">
      <c r="A231" t="s">
        <v>1924</v>
      </c>
      <c r="D231" t="str">
        <f>HYPERLINK("http://nlpdeep.cs.uic.edu:8080/proofing/t5/99217-findings-5-2.pdf","t5/99217-findings-5-2.pdf")</f>
        <v>t5/99217-findings-5-2.pdf</v>
      </c>
      <c r="E231">
        <v>118760</v>
      </c>
      <c r="F231">
        <v>99217</v>
      </c>
      <c r="G231" t="s">
        <v>1891</v>
      </c>
      <c r="H231" t="s">
        <v>1840</v>
      </c>
      <c r="I231" t="s">
        <v>1925</v>
      </c>
    </row>
    <row r="232" spans="1:9" x14ac:dyDescent="0.2">
      <c r="A232" t="s">
        <v>1924</v>
      </c>
      <c r="D232" t="str">
        <f>HYPERLINK("http://nlpdeep.cs.uic.edu:8080/proofing/gsii/99217-findings-5-2.pdf","gsii/99217-findings-5-2.pdf")</f>
        <v>gsii/99217-findings-5-2.pdf</v>
      </c>
      <c r="E232">
        <v>118760</v>
      </c>
      <c r="F232">
        <v>99217</v>
      </c>
      <c r="G232" t="s">
        <v>1891</v>
      </c>
      <c r="H232" t="s">
        <v>1840</v>
      </c>
      <c r="I232" t="s">
        <v>1925</v>
      </c>
    </row>
    <row r="233" spans="1:9" x14ac:dyDescent="0.2">
      <c r="A233" t="s">
        <v>1926</v>
      </c>
      <c r="D233" t="str">
        <f>HYPERLINK("http://nlpdeep.cs.uic.edu:8080/proofing/t5/99217-findings-5-3.pdf","t5/99217-findings-5-3.pdf")</f>
        <v>t5/99217-findings-5-3.pdf</v>
      </c>
      <c r="E233">
        <v>118760</v>
      </c>
      <c r="F233">
        <v>99217</v>
      </c>
      <c r="G233" t="s">
        <v>1891</v>
      </c>
      <c r="H233" t="s">
        <v>1840</v>
      </c>
      <c r="I233" t="s">
        <v>1927</v>
      </c>
    </row>
    <row r="234" spans="1:9" x14ac:dyDescent="0.2">
      <c r="A234" t="s">
        <v>1926</v>
      </c>
      <c r="D234" t="str">
        <f>HYPERLINK("http://nlpdeep.cs.uic.edu:8080/proofing/gsii/99217-findings-5-3.pdf","gsii/99217-findings-5-3.pdf")</f>
        <v>gsii/99217-findings-5-3.pdf</v>
      </c>
      <c r="E234">
        <v>118760</v>
      </c>
      <c r="F234">
        <v>99217</v>
      </c>
      <c r="G234" t="s">
        <v>1891</v>
      </c>
      <c r="H234" t="s">
        <v>1840</v>
      </c>
      <c r="I234" t="s">
        <v>1927</v>
      </c>
    </row>
    <row r="235" spans="1:9" x14ac:dyDescent="0.2">
      <c r="A235" t="s">
        <v>1928</v>
      </c>
      <c r="D235" t="str">
        <f>HYPERLINK("http://nlpdeep.cs.uic.edu:8080/proofing/t5/99217-findings-5-4.pdf","t5/99217-findings-5-4.pdf")</f>
        <v>t5/99217-findings-5-4.pdf</v>
      </c>
      <c r="E235">
        <v>118760</v>
      </c>
      <c r="F235">
        <v>99217</v>
      </c>
      <c r="G235" t="s">
        <v>1891</v>
      </c>
      <c r="H235" t="s">
        <v>1840</v>
      </c>
      <c r="I235" t="s">
        <v>1929</v>
      </c>
    </row>
    <row r="236" spans="1:9" x14ac:dyDescent="0.2">
      <c r="A236" t="s">
        <v>1928</v>
      </c>
      <c r="D236" t="str">
        <f>HYPERLINK("http://nlpdeep.cs.uic.edu:8080/proofing/gsii/99217-findings-5-4.pdf","gsii/99217-findings-5-4.pdf")</f>
        <v>gsii/99217-findings-5-4.pdf</v>
      </c>
      <c r="E236">
        <v>118760</v>
      </c>
      <c r="F236">
        <v>99217</v>
      </c>
      <c r="G236" t="s">
        <v>1891</v>
      </c>
      <c r="H236" t="s">
        <v>1840</v>
      </c>
      <c r="I236" t="s">
        <v>1929</v>
      </c>
    </row>
    <row r="237" spans="1:9" x14ac:dyDescent="0.2">
      <c r="A237" t="s">
        <v>1930</v>
      </c>
      <c r="D237" t="str">
        <f>HYPERLINK("http://nlpdeep.cs.uic.edu:8080/proofing/t5/99217-findings-5-5.pdf","t5/99217-findings-5-5.pdf")</f>
        <v>t5/99217-findings-5-5.pdf</v>
      </c>
      <c r="E237">
        <v>118760</v>
      </c>
      <c r="F237">
        <v>99217</v>
      </c>
      <c r="G237" t="s">
        <v>1891</v>
      </c>
      <c r="H237" t="s">
        <v>1840</v>
      </c>
      <c r="I237" t="s">
        <v>1931</v>
      </c>
    </row>
    <row r="238" spans="1:9" x14ac:dyDescent="0.2">
      <c r="A238" t="s">
        <v>1930</v>
      </c>
      <c r="D238" t="str">
        <f>HYPERLINK("http://nlpdeep.cs.uic.edu:8080/proofing/gsii/99217-findings-5-5.pdf","gsii/99217-findings-5-5.pdf")</f>
        <v>gsii/99217-findings-5-5.pdf</v>
      </c>
      <c r="E238">
        <v>118760</v>
      </c>
      <c r="F238">
        <v>99217</v>
      </c>
      <c r="G238" t="s">
        <v>1891</v>
      </c>
      <c r="H238" t="s">
        <v>1840</v>
      </c>
      <c r="I238" t="s">
        <v>1931</v>
      </c>
    </row>
    <row r="239" spans="1:9" x14ac:dyDescent="0.2">
      <c r="A239" t="s">
        <v>1932</v>
      </c>
      <c r="D239" t="str">
        <f>HYPERLINK("http://nlpdeep.cs.uic.edu:8080/proofing/t5/99217-findings-6-0.pdf","t5/99217-findings-6-0.pdf")</f>
        <v>t5/99217-findings-6-0.pdf</v>
      </c>
      <c r="E239">
        <v>118760</v>
      </c>
      <c r="F239">
        <v>99217</v>
      </c>
      <c r="G239" t="s">
        <v>1891</v>
      </c>
      <c r="H239" t="s">
        <v>1840</v>
      </c>
      <c r="I239" t="s">
        <v>1933</v>
      </c>
    </row>
    <row r="240" spans="1:9" x14ac:dyDescent="0.2">
      <c r="A240" t="s">
        <v>1932</v>
      </c>
      <c r="D240" t="str">
        <f>HYPERLINK("http://nlpdeep.cs.uic.edu:8080/proofing/gsii/99217-findings-6-0.pdf","gsii/99217-findings-6-0.pdf")</f>
        <v>gsii/99217-findings-6-0.pdf</v>
      </c>
      <c r="E240">
        <v>118760</v>
      </c>
      <c r="F240">
        <v>99217</v>
      </c>
      <c r="G240" t="s">
        <v>1891</v>
      </c>
      <c r="H240" t="s">
        <v>1840</v>
      </c>
      <c r="I240" t="s">
        <v>1933</v>
      </c>
    </row>
    <row r="241" spans="1:9" x14ac:dyDescent="0.2">
      <c r="A241" t="s">
        <v>1934</v>
      </c>
      <c r="D241" t="str">
        <f>HYPERLINK("http://nlpdeep.cs.uic.edu:8080/proofing/t5/99217-findings-6-1.pdf","t5/99217-findings-6-1.pdf")</f>
        <v>t5/99217-findings-6-1.pdf</v>
      </c>
      <c r="E241">
        <v>118760</v>
      </c>
      <c r="F241">
        <v>99217</v>
      </c>
      <c r="G241" t="s">
        <v>1891</v>
      </c>
      <c r="H241" t="s">
        <v>1840</v>
      </c>
      <c r="I241" t="s">
        <v>1935</v>
      </c>
    </row>
    <row r="242" spans="1:9" x14ac:dyDescent="0.2">
      <c r="A242" t="s">
        <v>1934</v>
      </c>
      <c r="D242" t="str">
        <f>HYPERLINK("http://nlpdeep.cs.uic.edu:8080/proofing/gsii/99217-findings-6-1.pdf","gsii/99217-findings-6-1.pdf")</f>
        <v>gsii/99217-findings-6-1.pdf</v>
      </c>
      <c r="E242">
        <v>118760</v>
      </c>
      <c r="F242">
        <v>99217</v>
      </c>
      <c r="G242" t="s">
        <v>1891</v>
      </c>
      <c r="H242" t="s">
        <v>1840</v>
      </c>
      <c r="I242" t="s">
        <v>1935</v>
      </c>
    </row>
    <row r="243" spans="1:9" x14ac:dyDescent="0.2">
      <c r="A243" t="s">
        <v>1936</v>
      </c>
      <c r="D243" t="str">
        <f>HYPERLINK("http://nlpdeep.cs.uic.edu:8080/proofing/t5/99217-findings-6-2.pdf","t5/99217-findings-6-2.pdf")</f>
        <v>t5/99217-findings-6-2.pdf</v>
      </c>
      <c r="E243">
        <v>118760</v>
      </c>
      <c r="F243">
        <v>99217</v>
      </c>
      <c r="G243" t="s">
        <v>1891</v>
      </c>
      <c r="H243" t="s">
        <v>1840</v>
      </c>
      <c r="I243" t="s">
        <v>1937</v>
      </c>
    </row>
    <row r="244" spans="1:9" x14ac:dyDescent="0.2">
      <c r="A244" t="s">
        <v>1936</v>
      </c>
      <c r="D244" t="str">
        <f>HYPERLINK("http://nlpdeep.cs.uic.edu:8080/proofing/gsii/99217-findings-6-2.pdf","gsii/99217-findings-6-2.pdf")</f>
        <v>gsii/99217-findings-6-2.pdf</v>
      </c>
      <c r="E244">
        <v>118760</v>
      </c>
      <c r="F244">
        <v>99217</v>
      </c>
      <c r="G244" t="s">
        <v>1891</v>
      </c>
      <c r="H244" t="s">
        <v>1840</v>
      </c>
      <c r="I244" t="s">
        <v>1937</v>
      </c>
    </row>
    <row r="245" spans="1:9" x14ac:dyDescent="0.2">
      <c r="A245" t="s">
        <v>1938</v>
      </c>
      <c r="D245" t="str">
        <f>HYPERLINK("http://nlpdeep.cs.uic.edu:8080/proofing/t5/99217-findings-6-3.pdf","t5/99217-findings-6-3.pdf")</f>
        <v>t5/99217-findings-6-3.pdf</v>
      </c>
      <c r="E245">
        <v>118760</v>
      </c>
      <c r="F245">
        <v>99217</v>
      </c>
      <c r="G245" t="s">
        <v>1891</v>
      </c>
      <c r="H245" t="s">
        <v>1840</v>
      </c>
      <c r="I245" t="s">
        <v>1939</v>
      </c>
    </row>
    <row r="246" spans="1:9" x14ac:dyDescent="0.2">
      <c r="A246" t="s">
        <v>1938</v>
      </c>
      <c r="D246" t="str">
        <f>HYPERLINK("http://nlpdeep.cs.uic.edu:8080/proofing/gsii/99217-findings-6-3.pdf","gsii/99217-findings-6-3.pdf")</f>
        <v>gsii/99217-findings-6-3.pdf</v>
      </c>
      <c r="E246">
        <v>118760</v>
      </c>
      <c r="F246">
        <v>99217</v>
      </c>
      <c r="G246" t="s">
        <v>1891</v>
      </c>
      <c r="H246" t="s">
        <v>1840</v>
      </c>
      <c r="I246" t="s">
        <v>1939</v>
      </c>
    </row>
    <row r="247" spans="1:9" x14ac:dyDescent="0.2">
      <c r="A247" t="s">
        <v>1940</v>
      </c>
      <c r="D247" t="str">
        <f>HYPERLINK("http://nlpdeep.cs.uic.edu:8080/proofing/t5/99217-findings-7-0.pdf","t5/99217-findings-7-0.pdf")</f>
        <v>t5/99217-findings-7-0.pdf</v>
      </c>
      <c r="E247">
        <v>118760</v>
      </c>
      <c r="F247">
        <v>99217</v>
      </c>
      <c r="G247" t="s">
        <v>1891</v>
      </c>
      <c r="H247" t="s">
        <v>1840</v>
      </c>
      <c r="I247" t="s">
        <v>1941</v>
      </c>
    </row>
    <row r="248" spans="1:9" x14ac:dyDescent="0.2">
      <c r="A248" t="s">
        <v>1940</v>
      </c>
      <c r="D248" t="str">
        <f>HYPERLINK("http://nlpdeep.cs.uic.edu:8080/proofing/gsii/99217-findings-7-0.pdf","gsii/99217-findings-7-0.pdf")</f>
        <v>gsii/99217-findings-7-0.pdf</v>
      </c>
      <c r="E248">
        <v>118760</v>
      </c>
      <c r="F248">
        <v>99217</v>
      </c>
      <c r="G248" t="s">
        <v>1891</v>
      </c>
      <c r="H248" t="s">
        <v>1840</v>
      </c>
      <c r="I248" t="s">
        <v>1941</v>
      </c>
    </row>
    <row r="249" spans="1:9" x14ac:dyDescent="0.2">
      <c r="A249" t="s">
        <v>1942</v>
      </c>
      <c r="D249" t="str">
        <f>HYPERLINK("http://nlpdeep.cs.uic.edu:8080/proofing/t5/99217-findings-7-1.pdf","t5/99217-findings-7-1.pdf")</f>
        <v>t5/99217-findings-7-1.pdf</v>
      </c>
      <c r="E249">
        <v>118760</v>
      </c>
      <c r="F249">
        <v>99217</v>
      </c>
      <c r="G249" t="s">
        <v>1891</v>
      </c>
      <c r="H249" t="s">
        <v>1840</v>
      </c>
      <c r="I249" t="s">
        <v>1943</v>
      </c>
    </row>
    <row r="250" spans="1:9" x14ac:dyDescent="0.2">
      <c r="A250" t="s">
        <v>1942</v>
      </c>
      <c r="D250" t="str">
        <f>HYPERLINK("http://nlpdeep.cs.uic.edu:8080/proofing/gsii/99217-findings-7-1.pdf","gsii/99217-findings-7-1.pdf")</f>
        <v>gsii/99217-findings-7-1.pdf</v>
      </c>
      <c r="E250">
        <v>118760</v>
      </c>
      <c r="F250">
        <v>99217</v>
      </c>
      <c r="G250" t="s">
        <v>1891</v>
      </c>
      <c r="H250" t="s">
        <v>1840</v>
      </c>
      <c r="I250" t="s">
        <v>1943</v>
      </c>
    </row>
    <row r="251" spans="1:9" x14ac:dyDescent="0.2">
      <c r="A251" t="s">
        <v>1944</v>
      </c>
      <c r="D251" t="str">
        <f>HYPERLINK("http://nlpdeep.cs.uic.edu:8080/proofing/t5/99217-findings-7-2.pdf","t5/99217-findings-7-2.pdf")</f>
        <v>t5/99217-findings-7-2.pdf</v>
      </c>
      <c r="E251">
        <v>118760</v>
      </c>
      <c r="F251">
        <v>99217</v>
      </c>
      <c r="G251" t="s">
        <v>1891</v>
      </c>
      <c r="H251" t="s">
        <v>1840</v>
      </c>
      <c r="I251" t="s">
        <v>1945</v>
      </c>
    </row>
    <row r="252" spans="1:9" x14ac:dyDescent="0.2">
      <c r="A252" t="s">
        <v>1944</v>
      </c>
      <c r="D252" t="str">
        <f>HYPERLINK("http://nlpdeep.cs.uic.edu:8080/proofing/gsii/99217-findings-7-2.pdf","gsii/99217-findings-7-2.pdf")</f>
        <v>gsii/99217-findings-7-2.pdf</v>
      </c>
      <c r="E252">
        <v>118760</v>
      </c>
      <c r="F252">
        <v>99217</v>
      </c>
      <c r="G252" t="s">
        <v>1891</v>
      </c>
      <c r="H252" t="s">
        <v>1840</v>
      </c>
      <c r="I252" t="s">
        <v>1945</v>
      </c>
    </row>
    <row r="253" spans="1:9" x14ac:dyDescent="0.2">
      <c r="A253" t="s">
        <v>1946</v>
      </c>
      <c r="D253" t="str">
        <f>HYPERLINK("http://nlpdeep.cs.uic.edu:8080/proofing/t5/99217-findings-7-3.pdf","t5/99217-findings-7-3.pdf")</f>
        <v>t5/99217-findings-7-3.pdf</v>
      </c>
      <c r="E253">
        <v>118760</v>
      </c>
      <c r="F253">
        <v>99217</v>
      </c>
      <c r="G253" t="s">
        <v>1891</v>
      </c>
      <c r="H253" t="s">
        <v>1840</v>
      </c>
      <c r="I253" t="s">
        <v>1947</v>
      </c>
    </row>
    <row r="254" spans="1:9" x14ac:dyDescent="0.2">
      <c r="A254" t="s">
        <v>1946</v>
      </c>
      <c r="D254" t="str">
        <f>HYPERLINK("http://nlpdeep.cs.uic.edu:8080/proofing/gsii/99217-findings-7-3.pdf","gsii/99217-findings-7-3.pdf")</f>
        <v>gsii/99217-findings-7-3.pdf</v>
      </c>
      <c r="E254">
        <v>118760</v>
      </c>
      <c r="F254">
        <v>99217</v>
      </c>
      <c r="G254" t="s">
        <v>1891</v>
      </c>
      <c r="H254" t="s">
        <v>1840</v>
      </c>
      <c r="I254" t="s">
        <v>1947</v>
      </c>
    </row>
    <row r="255" spans="1:9" x14ac:dyDescent="0.2">
      <c r="A255" t="s">
        <v>1948</v>
      </c>
      <c r="D255" t="str">
        <f>HYPERLINK("http://nlpdeep.cs.uic.edu:8080/proofing/t5/99217-findings-7-4.pdf","t5/99217-findings-7-4.pdf")</f>
        <v>t5/99217-findings-7-4.pdf</v>
      </c>
      <c r="E255">
        <v>118760</v>
      </c>
      <c r="F255">
        <v>99217</v>
      </c>
      <c r="G255" t="s">
        <v>1891</v>
      </c>
      <c r="H255" t="s">
        <v>1840</v>
      </c>
      <c r="I255" t="s">
        <v>1949</v>
      </c>
    </row>
    <row r="256" spans="1:9" x14ac:dyDescent="0.2">
      <c r="A256" t="s">
        <v>1948</v>
      </c>
      <c r="D256" t="str">
        <f>HYPERLINK("http://nlpdeep.cs.uic.edu:8080/proofing/gsii/99217-findings-7-4.pdf","gsii/99217-findings-7-4.pdf")</f>
        <v>gsii/99217-findings-7-4.pdf</v>
      </c>
      <c r="E256">
        <v>118760</v>
      </c>
      <c r="F256">
        <v>99217</v>
      </c>
      <c r="G256" t="s">
        <v>1891</v>
      </c>
      <c r="H256" t="s">
        <v>1840</v>
      </c>
      <c r="I256" t="s">
        <v>1949</v>
      </c>
    </row>
    <row r="257" spans="1:9" x14ac:dyDescent="0.2">
      <c r="A257" t="s">
        <v>1950</v>
      </c>
      <c r="D257" t="str">
        <f>HYPERLINK("http://nlpdeep.cs.uic.edu:8080/proofing/t5/99217-findings-7-5.pdf","t5/99217-findings-7-5.pdf")</f>
        <v>t5/99217-findings-7-5.pdf</v>
      </c>
      <c r="E257">
        <v>118760</v>
      </c>
      <c r="F257">
        <v>99217</v>
      </c>
      <c r="G257" t="s">
        <v>1891</v>
      </c>
      <c r="H257" t="s">
        <v>1840</v>
      </c>
      <c r="I257" t="s">
        <v>1951</v>
      </c>
    </row>
    <row r="258" spans="1:9" x14ac:dyDescent="0.2">
      <c r="A258" t="s">
        <v>1950</v>
      </c>
      <c r="D258" t="str">
        <f>HYPERLINK("http://nlpdeep.cs.uic.edu:8080/proofing/gsii/99217-findings-7-5.pdf","gsii/99217-findings-7-5.pdf")</f>
        <v>gsii/99217-findings-7-5.pdf</v>
      </c>
      <c r="E258">
        <v>118760</v>
      </c>
      <c r="F258">
        <v>99217</v>
      </c>
      <c r="G258" t="s">
        <v>1891</v>
      </c>
      <c r="H258" t="s">
        <v>1840</v>
      </c>
      <c r="I258" t="s">
        <v>1951</v>
      </c>
    </row>
    <row r="259" spans="1:9" x14ac:dyDescent="0.2">
      <c r="A259" t="s">
        <v>1952</v>
      </c>
      <c r="D259" t="str">
        <f>HYPERLINK("http://nlpdeep.cs.uic.edu:8080/proofing/t5/99217-findings-7-6.pdf","t5/99217-findings-7-6.pdf")</f>
        <v>t5/99217-findings-7-6.pdf</v>
      </c>
      <c r="E259">
        <v>118760</v>
      </c>
      <c r="F259">
        <v>99217</v>
      </c>
      <c r="G259" t="s">
        <v>1891</v>
      </c>
      <c r="H259" t="s">
        <v>1840</v>
      </c>
      <c r="I259" t="s">
        <v>1953</v>
      </c>
    </row>
    <row r="260" spans="1:9" x14ac:dyDescent="0.2">
      <c r="A260" t="s">
        <v>1952</v>
      </c>
      <c r="D260" t="str">
        <f>HYPERLINK("http://nlpdeep.cs.uic.edu:8080/proofing/gsii/99217-findings-7-6.pdf","gsii/99217-findings-7-6.pdf")</f>
        <v>gsii/99217-findings-7-6.pdf</v>
      </c>
      <c r="E260">
        <v>118760</v>
      </c>
      <c r="F260">
        <v>99217</v>
      </c>
      <c r="G260" t="s">
        <v>1891</v>
      </c>
      <c r="H260" t="s">
        <v>1840</v>
      </c>
      <c r="I260" t="s">
        <v>1953</v>
      </c>
    </row>
    <row r="261" spans="1:9" x14ac:dyDescent="0.2">
      <c r="A261" t="s">
        <v>1954</v>
      </c>
      <c r="D261" t="str">
        <f>HYPERLINK("http://nlpdeep.cs.uic.edu:8080/proofing/t5/99217-findings-7-7.pdf","t5/99217-findings-7-7.pdf")</f>
        <v>t5/99217-findings-7-7.pdf</v>
      </c>
      <c r="E261">
        <v>118760</v>
      </c>
      <c r="F261">
        <v>99217</v>
      </c>
      <c r="G261" t="s">
        <v>1891</v>
      </c>
      <c r="H261" t="s">
        <v>1840</v>
      </c>
      <c r="I261" t="s">
        <v>1955</v>
      </c>
    </row>
    <row r="262" spans="1:9" x14ac:dyDescent="0.2">
      <c r="A262" t="s">
        <v>1954</v>
      </c>
      <c r="D262" t="str">
        <f>HYPERLINK("http://nlpdeep.cs.uic.edu:8080/proofing/gsii/99217-findings-7-7.pdf","gsii/99217-findings-7-7.pdf")</f>
        <v>gsii/99217-findings-7-7.pdf</v>
      </c>
      <c r="E262">
        <v>118760</v>
      </c>
      <c r="F262">
        <v>99217</v>
      </c>
      <c r="G262" t="s">
        <v>1891</v>
      </c>
      <c r="H262" t="s">
        <v>1840</v>
      </c>
      <c r="I262" t="s">
        <v>1955</v>
      </c>
    </row>
    <row r="263" spans="1:9" x14ac:dyDescent="0.2">
      <c r="A263" t="s">
        <v>1956</v>
      </c>
      <c r="D263" t="str">
        <f>HYPERLINK("http://nlpdeep.cs.uic.edu:8080/proofing/t5/99217-findings-8-0.pdf","t5/99217-findings-8-0.pdf")</f>
        <v>t5/99217-findings-8-0.pdf</v>
      </c>
      <c r="E263">
        <v>118760</v>
      </c>
      <c r="F263">
        <v>99217</v>
      </c>
      <c r="G263" t="s">
        <v>1891</v>
      </c>
      <c r="H263" t="s">
        <v>1840</v>
      </c>
      <c r="I263" t="s">
        <v>1957</v>
      </c>
    </row>
    <row r="264" spans="1:9" x14ac:dyDescent="0.2">
      <c r="A264" t="s">
        <v>1956</v>
      </c>
      <c r="D264" t="str">
        <f>HYPERLINK("http://nlpdeep.cs.uic.edu:8080/proofing/gsii/99217-findings-8-0.pdf","gsii/99217-findings-8-0.pdf")</f>
        <v>gsii/99217-findings-8-0.pdf</v>
      </c>
      <c r="E264">
        <v>118760</v>
      </c>
      <c r="F264">
        <v>99217</v>
      </c>
      <c r="G264" t="s">
        <v>1891</v>
      </c>
      <c r="H264" t="s">
        <v>1840</v>
      </c>
      <c r="I264" t="s">
        <v>1957</v>
      </c>
    </row>
    <row r="265" spans="1:9" x14ac:dyDescent="0.2">
      <c r="A265" t="s">
        <v>1958</v>
      </c>
      <c r="D265" t="str">
        <f>HYPERLINK("http://nlpdeep.cs.uic.edu:8080/proofing/t5/99217-findings-8-1.pdf","t5/99217-findings-8-1.pdf")</f>
        <v>t5/99217-findings-8-1.pdf</v>
      </c>
      <c r="E265">
        <v>118760</v>
      </c>
      <c r="F265">
        <v>99217</v>
      </c>
      <c r="G265" t="s">
        <v>1891</v>
      </c>
      <c r="H265" t="s">
        <v>1840</v>
      </c>
      <c r="I265" t="s">
        <v>1959</v>
      </c>
    </row>
    <row r="266" spans="1:9" x14ac:dyDescent="0.2">
      <c r="A266" t="s">
        <v>1958</v>
      </c>
      <c r="D266" t="str">
        <f>HYPERLINK("http://nlpdeep.cs.uic.edu:8080/proofing/gsii/99217-findings-8-1.pdf","gsii/99217-findings-8-1.pdf")</f>
        <v>gsii/99217-findings-8-1.pdf</v>
      </c>
      <c r="E266">
        <v>118760</v>
      </c>
      <c r="F266">
        <v>99217</v>
      </c>
      <c r="G266" t="s">
        <v>1891</v>
      </c>
      <c r="H266" t="s">
        <v>1840</v>
      </c>
      <c r="I266" t="s">
        <v>1959</v>
      </c>
    </row>
    <row r="267" spans="1:9" x14ac:dyDescent="0.2">
      <c r="A267" t="s">
        <v>1960</v>
      </c>
      <c r="D267" t="str">
        <f>HYPERLINK("http://nlpdeep.cs.uic.edu:8080/proofing/t5/99217-findings-8-2.pdf","t5/99217-findings-8-2.pdf")</f>
        <v>t5/99217-findings-8-2.pdf</v>
      </c>
      <c r="E267">
        <v>118760</v>
      </c>
      <c r="F267">
        <v>99217</v>
      </c>
      <c r="G267" t="s">
        <v>1891</v>
      </c>
      <c r="H267" t="s">
        <v>1840</v>
      </c>
      <c r="I267" t="s">
        <v>1961</v>
      </c>
    </row>
    <row r="268" spans="1:9" x14ac:dyDescent="0.2">
      <c r="A268" t="s">
        <v>1960</v>
      </c>
      <c r="D268" t="str">
        <f>HYPERLINK("http://nlpdeep.cs.uic.edu:8080/proofing/gsii/99217-findings-8-2.pdf","gsii/99217-findings-8-2.pdf")</f>
        <v>gsii/99217-findings-8-2.pdf</v>
      </c>
      <c r="E268">
        <v>118760</v>
      </c>
      <c r="F268">
        <v>99217</v>
      </c>
      <c r="G268" t="s">
        <v>1891</v>
      </c>
      <c r="H268" t="s">
        <v>1840</v>
      </c>
      <c r="I268" t="s">
        <v>1961</v>
      </c>
    </row>
    <row r="269" spans="1:9" x14ac:dyDescent="0.2">
      <c r="A269" t="s">
        <v>1962</v>
      </c>
      <c r="D269" t="str">
        <f>HYPERLINK("http://nlpdeep.cs.uic.edu:8080/proofing/t5/99217-findings-8-3.pdf","t5/99217-findings-8-3.pdf")</f>
        <v>t5/99217-findings-8-3.pdf</v>
      </c>
      <c r="E269">
        <v>118760</v>
      </c>
      <c r="F269">
        <v>99217</v>
      </c>
      <c r="G269" t="s">
        <v>1891</v>
      </c>
      <c r="H269" t="s">
        <v>1840</v>
      </c>
      <c r="I269" t="s">
        <v>1963</v>
      </c>
    </row>
    <row r="270" spans="1:9" x14ac:dyDescent="0.2">
      <c r="A270" t="s">
        <v>1962</v>
      </c>
      <c r="D270" t="str">
        <f>HYPERLINK("http://nlpdeep.cs.uic.edu:8080/proofing/gsii/99217-findings-8-3.pdf","gsii/99217-findings-8-3.pdf")</f>
        <v>gsii/99217-findings-8-3.pdf</v>
      </c>
      <c r="E270">
        <v>118760</v>
      </c>
      <c r="F270">
        <v>99217</v>
      </c>
      <c r="G270" t="s">
        <v>1891</v>
      </c>
      <c r="H270" t="s">
        <v>1840</v>
      </c>
      <c r="I270" t="s">
        <v>1963</v>
      </c>
    </row>
    <row r="271" spans="1:9" x14ac:dyDescent="0.2">
      <c r="A271" t="s">
        <v>1964</v>
      </c>
      <c r="D271" t="str">
        <f>HYPERLINK("http://nlpdeep.cs.uic.edu:8080/proofing/t5/99217-findings-8-4.pdf","t5/99217-findings-8-4.pdf")</f>
        <v>t5/99217-findings-8-4.pdf</v>
      </c>
      <c r="E271">
        <v>118760</v>
      </c>
      <c r="F271">
        <v>99217</v>
      </c>
      <c r="G271" t="s">
        <v>1891</v>
      </c>
      <c r="H271" t="s">
        <v>1840</v>
      </c>
      <c r="I271" t="s">
        <v>1965</v>
      </c>
    </row>
    <row r="272" spans="1:9" x14ac:dyDescent="0.2">
      <c r="A272" t="s">
        <v>1964</v>
      </c>
      <c r="D272" t="str">
        <f>HYPERLINK("http://nlpdeep.cs.uic.edu:8080/proofing/gsii/99217-findings-8-4.pdf","gsii/99217-findings-8-4.pdf")</f>
        <v>gsii/99217-findings-8-4.pdf</v>
      </c>
      <c r="E272">
        <v>118760</v>
      </c>
      <c r="F272">
        <v>99217</v>
      </c>
      <c r="G272" t="s">
        <v>1891</v>
      </c>
      <c r="H272" t="s">
        <v>1840</v>
      </c>
      <c r="I272" t="s">
        <v>1965</v>
      </c>
    </row>
    <row r="273" spans="1:9" x14ac:dyDescent="0.2">
      <c r="A273" t="s">
        <v>1966</v>
      </c>
      <c r="D273" t="str">
        <f>HYPERLINK("http://nlpdeep.cs.uic.edu:8080/proofing/t5/99217-findings-9-0.pdf","t5/99217-findings-9-0.pdf")</f>
        <v>t5/99217-findings-9-0.pdf</v>
      </c>
      <c r="E273">
        <v>118760</v>
      </c>
      <c r="F273">
        <v>99217</v>
      </c>
      <c r="G273" t="s">
        <v>1891</v>
      </c>
      <c r="H273" t="s">
        <v>1840</v>
      </c>
      <c r="I273" t="s">
        <v>1967</v>
      </c>
    </row>
    <row r="274" spans="1:9" x14ac:dyDescent="0.2">
      <c r="A274" t="s">
        <v>1966</v>
      </c>
      <c r="D274" t="str">
        <f>HYPERLINK("http://nlpdeep.cs.uic.edu:8080/proofing/gsii/99217-findings-9-0.pdf","gsii/99217-findings-9-0.pdf")</f>
        <v>gsii/99217-findings-9-0.pdf</v>
      </c>
      <c r="E274">
        <v>118760</v>
      </c>
      <c r="F274">
        <v>99217</v>
      </c>
      <c r="G274" t="s">
        <v>1891</v>
      </c>
      <c r="H274" t="s">
        <v>1840</v>
      </c>
      <c r="I274" t="s">
        <v>1967</v>
      </c>
    </row>
    <row r="275" spans="1:9" x14ac:dyDescent="0.2">
      <c r="A275" t="s">
        <v>1968</v>
      </c>
      <c r="D275" t="str">
        <f>HYPERLINK("http://nlpdeep.cs.uic.edu:8080/proofing/t5/99217-findings-9-1.pdf","t5/99217-findings-9-1.pdf")</f>
        <v>t5/99217-findings-9-1.pdf</v>
      </c>
      <c r="E275">
        <v>118760</v>
      </c>
      <c r="F275">
        <v>99217</v>
      </c>
      <c r="G275" t="s">
        <v>1891</v>
      </c>
      <c r="H275" t="s">
        <v>1840</v>
      </c>
      <c r="I275" t="s">
        <v>1969</v>
      </c>
    </row>
    <row r="276" spans="1:9" x14ac:dyDescent="0.2">
      <c r="A276" t="s">
        <v>1968</v>
      </c>
      <c r="D276" t="str">
        <f>HYPERLINK("http://nlpdeep.cs.uic.edu:8080/proofing/gsii/99217-findings-9-1.pdf","gsii/99217-findings-9-1.pdf")</f>
        <v>gsii/99217-findings-9-1.pdf</v>
      </c>
      <c r="E276">
        <v>118760</v>
      </c>
      <c r="F276">
        <v>99217</v>
      </c>
      <c r="G276" t="s">
        <v>1891</v>
      </c>
      <c r="H276" t="s">
        <v>1840</v>
      </c>
      <c r="I276" t="s">
        <v>1969</v>
      </c>
    </row>
    <row r="277" spans="1:9" x14ac:dyDescent="0.2">
      <c r="A277" t="s">
        <v>1970</v>
      </c>
      <c r="D277" t="str">
        <f>HYPERLINK("http://nlpdeep.cs.uic.edu:8080/proofing/t5/99217-findings-9-2.pdf","t5/99217-findings-9-2.pdf")</f>
        <v>t5/99217-findings-9-2.pdf</v>
      </c>
      <c r="E277">
        <v>118760</v>
      </c>
      <c r="F277">
        <v>99217</v>
      </c>
      <c r="G277" t="s">
        <v>1891</v>
      </c>
      <c r="H277" t="s">
        <v>1840</v>
      </c>
      <c r="I277" t="s">
        <v>1971</v>
      </c>
    </row>
    <row r="278" spans="1:9" x14ac:dyDescent="0.2">
      <c r="A278" t="s">
        <v>1970</v>
      </c>
      <c r="D278" t="str">
        <f>HYPERLINK("http://nlpdeep.cs.uic.edu:8080/proofing/gsii/99217-findings-9-2.pdf","gsii/99217-findings-9-2.pdf")</f>
        <v>gsii/99217-findings-9-2.pdf</v>
      </c>
      <c r="E278">
        <v>118760</v>
      </c>
      <c r="F278">
        <v>99217</v>
      </c>
      <c r="G278" t="s">
        <v>1891</v>
      </c>
      <c r="H278" t="s">
        <v>1840</v>
      </c>
      <c r="I278" t="s">
        <v>1971</v>
      </c>
    </row>
    <row r="279" spans="1:9" x14ac:dyDescent="0.2">
      <c r="A279" t="s">
        <v>1972</v>
      </c>
      <c r="D279" t="str">
        <f>HYPERLINK("http://nlpdeep.cs.uic.edu:8080/proofing/t5/99217-findings-9-3.pdf","t5/99217-findings-9-3.pdf")</f>
        <v>t5/99217-findings-9-3.pdf</v>
      </c>
      <c r="E279">
        <v>118760</v>
      </c>
      <c r="F279">
        <v>99217</v>
      </c>
      <c r="G279" t="s">
        <v>1891</v>
      </c>
      <c r="H279" t="s">
        <v>1840</v>
      </c>
      <c r="I279" t="s">
        <v>1973</v>
      </c>
    </row>
    <row r="280" spans="1:9" x14ac:dyDescent="0.2">
      <c r="A280" t="s">
        <v>1972</v>
      </c>
      <c r="D280" t="str">
        <f>HYPERLINK("http://nlpdeep.cs.uic.edu:8080/proofing/gsii/99217-findings-9-3.pdf","gsii/99217-findings-9-3.pdf")</f>
        <v>gsii/99217-findings-9-3.pdf</v>
      </c>
      <c r="E280">
        <v>118760</v>
      </c>
      <c r="F280">
        <v>99217</v>
      </c>
      <c r="G280" t="s">
        <v>1891</v>
      </c>
      <c r="H280" t="s">
        <v>1840</v>
      </c>
      <c r="I280" t="s">
        <v>1973</v>
      </c>
    </row>
    <row r="281" spans="1:9" x14ac:dyDescent="0.2">
      <c r="A281" t="s">
        <v>1974</v>
      </c>
      <c r="D281" t="str">
        <f>HYPERLINK("http://nlpdeep.cs.uic.edu:8080/proofing/t5/99217-findings-9-4.pdf","t5/99217-findings-9-4.pdf")</f>
        <v>t5/99217-findings-9-4.pdf</v>
      </c>
      <c r="E281">
        <v>118760</v>
      </c>
      <c r="F281">
        <v>99217</v>
      </c>
      <c r="G281" t="s">
        <v>1891</v>
      </c>
      <c r="H281" t="s">
        <v>1840</v>
      </c>
    </row>
    <row r="282" spans="1:9" x14ac:dyDescent="0.2">
      <c r="A282" t="s">
        <v>1974</v>
      </c>
      <c r="D282" t="str">
        <f>HYPERLINK("http://nlpdeep.cs.uic.edu:8080/proofing/gsii/99217-findings-9-4.pdf","gsii/99217-findings-9-4.pdf")</f>
        <v>gsii/99217-findings-9-4.pdf</v>
      </c>
      <c r="E282">
        <v>118760</v>
      </c>
      <c r="F282">
        <v>99217</v>
      </c>
      <c r="G282" t="s">
        <v>1891</v>
      </c>
      <c r="H282" t="s">
        <v>1840</v>
      </c>
    </row>
    <row r="283" spans="1:9" x14ac:dyDescent="0.2">
      <c r="A283" t="s">
        <v>1975</v>
      </c>
      <c r="D283" t="str">
        <f>HYPERLINK("http://nlpdeep.cs.uic.edu:8080/proofing/t5/99217-findings-10-0.pdf","t5/99217-findings-10-0.pdf")</f>
        <v>t5/99217-findings-10-0.pdf</v>
      </c>
      <c r="E283">
        <v>118760</v>
      </c>
      <c r="F283">
        <v>99217</v>
      </c>
      <c r="G283" t="s">
        <v>1891</v>
      </c>
      <c r="H283" t="s">
        <v>1840</v>
      </c>
    </row>
    <row r="284" spans="1:9" x14ac:dyDescent="0.2">
      <c r="A284" t="s">
        <v>1975</v>
      </c>
      <c r="D284" t="str">
        <f>HYPERLINK("http://nlpdeep.cs.uic.edu:8080/proofing/gsii/99217-findings-10-0.pdf","gsii/99217-findings-10-0.pdf")</f>
        <v>gsii/99217-findings-10-0.pdf</v>
      </c>
      <c r="E284">
        <v>118760</v>
      </c>
      <c r="F284">
        <v>99217</v>
      </c>
      <c r="G284" t="s">
        <v>1891</v>
      </c>
      <c r="H284" t="s">
        <v>1840</v>
      </c>
    </row>
    <row r="285" spans="1:9" x14ac:dyDescent="0.2">
      <c r="A285" t="s">
        <v>1976</v>
      </c>
      <c r="D285" t="str">
        <f>HYPERLINK("http://nlpdeep.cs.uic.edu:8080/proofing/t5/99217-findings-11-0.pdf","t5/99217-findings-11-0.pdf")</f>
        <v>t5/99217-findings-11-0.pdf</v>
      </c>
      <c r="E285">
        <v>118760</v>
      </c>
      <c r="F285">
        <v>99217</v>
      </c>
      <c r="G285" t="s">
        <v>1891</v>
      </c>
      <c r="H285" t="s">
        <v>1840</v>
      </c>
      <c r="I285" t="s">
        <v>1977</v>
      </c>
    </row>
    <row r="286" spans="1:9" x14ac:dyDescent="0.2">
      <c r="A286" t="s">
        <v>1976</v>
      </c>
      <c r="D286" t="str">
        <f>HYPERLINK("http://nlpdeep.cs.uic.edu:8080/proofing/gsii/99217-findings-11-0.pdf","gsii/99217-findings-11-0.pdf")</f>
        <v>gsii/99217-findings-11-0.pdf</v>
      </c>
      <c r="E286">
        <v>118760</v>
      </c>
      <c r="F286">
        <v>99217</v>
      </c>
      <c r="G286" t="s">
        <v>1891</v>
      </c>
      <c r="H286" t="s">
        <v>1840</v>
      </c>
      <c r="I286" t="s">
        <v>1977</v>
      </c>
    </row>
    <row r="287" spans="1:9" x14ac:dyDescent="0.2">
      <c r="A287" t="s">
        <v>1978</v>
      </c>
      <c r="D287" t="str">
        <f>HYPERLINK("http://nlpdeep.cs.uic.edu:8080/proofing/t5/99217-conclusions-0-0.pdf","t5/99217-conclusions-0-0.pdf")</f>
        <v>t5/99217-conclusions-0-0.pdf</v>
      </c>
      <c r="E287">
        <v>118760</v>
      </c>
      <c r="F287">
        <v>99217</v>
      </c>
      <c r="G287" t="s">
        <v>1891</v>
      </c>
      <c r="H287" t="s">
        <v>1979</v>
      </c>
      <c r="I287" t="s">
        <v>1980</v>
      </c>
    </row>
    <row r="288" spans="1:9" x14ac:dyDescent="0.2">
      <c r="A288" t="s">
        <v>1978</v>
      </c>
      <c r="D288" t="str">
        <f>HYPERLINK("http://nlpdeep.cs.uic.edu:8080/proofing/gsii/99217-conclusions-0-0.pdf","gsii/99217-conclusions-0-0.pdf")</f>
        <v>gsii/99217-conclusions-0-0.pdf</v>
      </c>
      <c r="E288">
        <v>118760</v>
      </c>
      <c r="F288">
        <v>99217</v>
      </c>
      <c r="G288" t="s">
        <v>1891</v>
      </c>
      <c r="H288" t="s">
        <v>1979</v>
      </c>
      <c r="I288" t="s">
        <v>1980</v>
      </c>
    </row>
    <row r="289" spans="1:9" x14ac:dyDescent="0.2">
      <c r="A289" t="s">
        <v>1981</v>
      </c>
      <c r="D289" t="str">
        <f>HYPERLINK("http://nlpdeep.cs.uic.edu:8080/proofing/t5/99217-conclusions-0-1.pdf","t5/99217-conclusions-0-1.pdf")</f>
        <v>t5/99217-conclusions-0-1.pdf</v>
      </c>
      <c r="E289">
        <v>118760</v>
      </c>
      <c r="F289">
        <v>99217</v>
      </c>
      <c r="G289" t="s">
        <v>1891</v>
      </c>
      <c r="H289" t="s">
        <v>1979</v>
      </c>
      <c r="I289" t="s">
        <v>1982</v>
      </c>
    </row>
    <row r="290" spans="1:9" x14ac:dyDescent="0.2">
      <c r="A290" t="s">
        <v>1981</v>
      </c>
      <c r="D290" t="str">
        <f>HYPERLINK("http://nlpdeep.cs.uic.edu:8080/proofing/gsii/99217-conclusions-0-1.pdf","gsii/99217-conclusions-0-1.pdf")</f>
        <v>gsii/99217-conclusions-0-1.pdf</v>
      </c>
      <c r="E290">
        <v>118760</v>
      </c>
      <c r="F290">
        <v>99217</v>
      </c>
      <c r="G290" t="s">
        <v>1891</v>
      </c>
      <c r="H290" t="s">
        <v>1979</v>
      </c>
      <c r="I290" t="s">
        <v>1982</v>
      </c>
    </row>
    <row r="291" spans="1:9" x14ac:dyDescent="0.2">
      <c r="A291" t="s">
        <v>1983</v>
      </c>
      <c r="D291" t="str">
        <f>HYPERLINK("http://nlpdeep.cs.uic.edu:8080/proofing/t5/99217-conclusions-0-2.pdf","t5/99217-conclusions-0-2.pdf")</f>
        <v>t5/99217-conclusions-0-2.pdf</v>
      </c>
      <c r="E291">
        <v>118760</v>
      </c>
      <c r="F291">
        <v>99217</v>
      </c>
      <c r="G291" t="s">
        <v>1891</v>
      </c>
      <c r="H291" t="s">
        <v>1979</v>
      </c>
      <c r="I291" t="s">
        <v>1984</v>
      </c>
    </row>
    <row r="292" spans="1:9" x14ac:dyDescent="0.2">
      <c r="A292" t="s">
        <v>1983</v>
      </c>
      <c r="D292" t="str">
        <f>HYPERLINK("http://nlpdeep.cs.uic.edu:8080/proofing/gsii/99217-conclusions-0-2.pdf","gsii/99217-conclusions-0-2.pdf")</f>
        <v>gsii/99217-conclusions-0-2.pdf</v>
      </c>
      <c r="E292">
        <v>118760</v>
      </c>
      <c r="F292">
        <v>99217</v>
      </c>
      <c r="G292" t="s">
        <v>1891</v>
      </c>
      <c r="H292" t="s">
        <v>1979</v>
      </c>
      <c r="I292" t="s">
        <v>1984</v>
      </c>
    </row>
    <row r="293" spans="1:9" x14ac:dyDescent="0.2">
      <c r="A293" t="s">
        <v>1985</v>
      </c>
      <c r="D293" t="str">
        <f>HYPERLINK("http://nlpdeep.cs.uic.edu:8080/proofing/t5/99217-conclusions-0-3.pdf","t5/99217-conclusions-0-3.pdf")</f>
        <v>t5/99217-conclusions-0-3.pdf</v>
      </c>
      <c r="E293">
        <v>118760</v>
      </c>
      <c r="F293">
        <v>99217</v>
      </c>
      <c r="G293" t="s">
        <v>1891</v>
      </c>
      <c r="H293" t="s">
        <v>1979</v>
      </c>
      <c r="I293" t="s">
        <v>1986</v>
      </c>
    </row>
    <row r="294" spans="1:9" x14ac:dyDescent="0.2">
      <c r="A294" t="s">
        <v>1985</v>
      </c>
      <c r="D294" t="str">
        <f>HYPERLINK("http://nlpdeep.cs.uic.edu:8080/proofing/gsii/99217-conclusions-0-3.pdf","gsii/99217-conclusions-0-3.pdf")</f>
        <v>gsii/99217-conclusions-0-3.pdf</v>
      </c>
      <c r="E294">
        <v>118760</v>
      </c>
      <c r="F294">
        <v>99217</v>
      </c>
      <c r="G294" t="s">
        <v>1891</v>
      </c>
      <c r="H294" t="s">
        <v>1979</v>
      </c>
      <c r="I294" t="s">
        <v>1986</v>
      </c>
    </row>
    <row r="295" spans="1:9" x14ac:dyDescent="0.2">
      <c r="A295" t="s">
        <v>1987</v>
      </c>
      <c r="D295" t="str">
        <f>HYPERLINK("http://nlpdeep.cs.uic.edu:8080/proofing/t5/99217-conclusions-0-4.pdf","t5/99217-conclusions-0-4.pdf")</f>
        <v>t5/99217-conclusions-0-4.pdf</v>
      </c>
      <c r="E295">
        <v>118760</v>
      </c>
      <c r="F295">
        <v>99217</v>
      </c>
      <c r="G295" t="s">
        <v>1891</v>
      </c>
      <c r="H295" t="s">
        <v>1979</v>
      </c>
      <c r="I295" t="s">
        <v>1988</v>
      </c>
    </row>
    <row r="296" spans="1:9" x14ac:dyDescent="0.2">
      <c r="A296" t="s">
        <v>1987</v>
      </c>
      <c r="D296" t="str">
        <f>HYPERLINK("http://nlpdeep.cs.uic.edu:8080/proofing/gsii/99217-conclusions-0-4.pdf","gsii/99217-conclusions-0-4.pdf")</f>
        <v>gsii/99217-conclusions-0-4.pdf</v>
      </c>
      <c r="E296">
        <v>118760</v>
      </c>
      <c r="F296">
        <v>99217</v>
      </c>
      <c r="G296" t="s">
        <v>1891</v>
      </c>
      <c r="H296" t="s">
        <v>1979</v>
      </c>
      <c r="I296" t="s">
        <v>1988</v>
      </c>
    </row>
    <row r="297" spans="1:9" x14ac:dyDescent="0.2">
      <c r="A297" t="s">
        <v>1989</v>
      </c>
      <c r="D297" t="str">
        <f>HYPERLINK("http://nlpdeep.cs.uic.edu:8080/proofing/t5/99217-conclusions-0-5.pdf","t5/99217-conclusions-0-5.pdf")</f>
        <v>t5/99217-conclusions-0-5.pdf</v>
      </c>
      <c r="E297">
        <v>118760</v>
      </c>
      <c r="F297">
        <v>99217</v>
      </c>
      <c r="G297" t="s">
        <v>1891</v>
      </c>
      <c r="H297" t="s">
        <v>1979</v>
      </c>
      <c r="I297" t="s">
        <v>1990</v>
      </c>
    </row>
    <row r="298" spans="1:9" x14ac:dyDescent="0.2">
      <c r="A298" t="s">
        <v>1989</v>
      </c>
      <c r="D298" t="str">
        <f>HYPERLINK("http://nlpdeep.cs.uic.edu:8080/proofing/gsii/99217-conclusions-0-5.pdf","gsii/99217-conclusions-0-5.pdf")</f>
        <v>gsii/99217-conclusions-0-5.pdf</v>
      </c>
      <c r="E298">
        <v>118760</v>
      </c>
      <c r="F298">
        <v>99217</v>
      </c>
      <c r="G298" t="s">
        <v>1891</v>
      </c>
      <c r="H298" t="s">
        <v>1979</v>
      </c>
      <c r="I298" t="s">
        <v>1990</v>
      </c>
    </row>
    <row r="299" spans="1:9" x14ac:dyDescent="0.2">
      <c r="A299" t="s">
        <v>1991</v>
      </c>
      <c r="D299" t="str">
        <f>HYPERLINK("http://nlpdeep.cs.uic.edu:8080/proofing/t5/99217-conclusions-0-6.pdf","t5/99217-conclusions-0-6.pdf")</f>
        <v>t5/99217-conclusions-0-6.pdf</v>
      </c>
      <c r="E299">
        <v>118760</v>
      </c>
      <c r="F299">
        <v>99217</v>
      </c>
      <c r="G299" t="s">
        <v>1891</v>
      </c>
      <c r="H299" t="s">
        <v>1979</v>
      </c>
      <c r="I299" t="s">
        <v>1992</v>
      </c>
    </row>
    <row r="300" spans="1:9" x14ac:dyDescent="0.2">
      <c r="A300" t="s">
        <v>1991</v>
      </c>
      <c r="D300" t="str">
        <f>HYPERLINK("http://nlpdeep.cs.uic.edu:8080/proofing/gsii/99217-conclusions-0-6.pdf","gsii/99217-conclusions-0-6.pdf")</f>
        <v>gsii/99217-conclusions-0-6.pdf</v>
      </c>
      <c r="E300">
        <v>118760</v>
      </c>
      <c r="F300">
        <v>99217</v>
      </c>
      <c r="G300" t="s">
        <v>1891</v>
      </c>
      <c r="H300" t="s">
        <v>1979</v>
      </c>
      <c r="I300" t="s">
        <v>1992</v>
      </c>
    </row>
    <row r="301" spans="1:9" x14ac:dyDescent="0.2">
      <c r="A301" t="s">
        <v>1993</v>
      </c>
      <c r="D301" t="str">
        <f>HYPERLINK("http://nlpdeep.cs.uic.edu:8080/proofing/t5/99217-conclusions-0-7.pdf","t5/99217-conclusions-0-7.pdf")</f>
        <v>t5/99217-conclusions-0-7.pdf</v>
      </c>
      <c r="E301">
        <v>118760</v>
      </c>
      <c r="F301">
        <v>99217</v>
      </c>
      <c r="G301" t="s">
        <v>1891</v>
      </c>
      <c r="H301" t="s">
        <v>1979</v>
      </c>
      <c r="I301" t="s">
        <v>1994</v>
      </c>
    </row>
    <row r="302" spans="1:9" x14ac:dyDescent="0.2">
      <c r="A302" t="s">
        <v>1993</v>
      </c>
      <c r="D302" t="str">
        <f>HYPERLINK("http://nlpdeep.cs.uic.edu:8080/proofing/gsii/99217-conclusions-0-7.pdf","gsii/99217-conclusions-0-7.pdf")</f>
        <v>gsii/99217-conclusions-0-7.pdf</v>
      </c>
      <c r="E302">
        <v>118760</v>
      </c>
      <c r="F302">
        <v>99217</v>
      </c>
      <c r="G302" t="s">
        <v>1891</v>
      </c>
      <c r="H302" t="s">
        <v>1979</v>
      </c>
      <c r="I302" t="s">
        <v>1994</v>
      </c>
    </row>
    <row r="303" spans="1:9" x14ac:dyDescent="0.2">
      <c r="A303" t="s">
        <v>1995</v>
      </c>
      <c r="D303" t="str">
        <f>HYPERLINK("http://nlpdeep.cs.uic.edu:8080/proofing/t5/99217-conclusions-0-8.pdf","t5/99217-conclusions-0-8.pdf")</f>
        <v>t5/99217-conclusions-0-8.pdf</v>
      </c>
      <c r="E303">
        <v>118760</v>
      </c>
      <c r="F303">
        <v>99217</v>
      </c>
      <c r="G303" t="s">
        <v>1891</v>
      </c>
      <c r="H303" t="s">
        <v>1979</v>
      </c>
      <c r="I303" t="s">
        <v>1996</v>
      </c>
    </row>
    <row r="304" spans="1:9" x14ac:dyDescent="0.2">
      <c r="A304" t="s">
        <v>1995</v>
      </c>
      <c r="D304" t="str">
        <f>HYPERLINK("http://nlpdeep.cs.uic.edu:8080/proofing/gsii/99217-conclusions-0-8.pdf","gsii/99217-conclusions-0-8.pdf")</f>
        <v>gsii/99217-conclusions-0-8.pdf</v>
      </c>
      <c r="E304">
        <v>118760</v>
      </c>
      <c r="F304">
        <v>99217</v>
      </c>
      <c r="G304" t="s">
        <v>1891</v>
      </c>
      <c r="H304" t="s">
        <v>1979</v>
      </c>
      <c r="I304" t="s">
        <v>1996</v>
      </c>
    </row>
    <row r="305" spans="1:9" x14ac:dyDescent="0.2">
      <c r="A305" t="s">
        <v>1997</v>
      </c>
      <c r="D305" t="str">
        <f>HYPERLINK("http://nlpdeep.cs.uic.edu:8080/proofing/t5/99217-conclusions-0-9.pdf","t5/99217-conclusions-0-9.pdf")</f>
        <v>t5/99217-conclusions-0-9.pdf</v>
      </c>
      <c r="E305">
        <v>118760</v>
      </c>
      <c r="F305">
        <v>99217</v>
      </c>
      <c r="G305" t="s">
        <v>1891</v>
      </c>
      <c r="H305" t="s">
        <v>1979</v>
      </c>
      <c r="I305" t="s">
        <v>1998</v>
      </c>
    </row>
    <row r="306" spans="1:9" x14ac:dyDescent="0.2">
      <c r="A306" t="s">
        <v>1997</v>
      </c>
      <c r="D306" t="str">
        <f>HYPERLINK("http://nlpdeep.cs.uic.edu:8080/proofing/gsii/99217-conclusions-0-9.pdf","gsii/99217-conclusions-0-9.pdf")</f>
        <v>gsii/99217-conclusions-0-9.pdf</v>
      </c>
      <c r="E306">
        <v>118760</v>
      </c>
      <c r="F306">
        <v>99217</v>
      </c>
      <c r="G306" t="s">
        <v>1891</v>
      </c>
      <c r="H306" t="s">
        <v>1979</v>
      </c>
      <c r="I306" t="s">
        <v>1998</v>
      </c>
    </row>
    <row r="307" spans="1:9" x14ac:dyDescent="0.2">
      <c r="A307" t="s">
        <v>1999</v>
      </c>
      <c r="D307" t="str">
        <f>HYPERLINK("http://nlpdeep.cs.uic.edu:8080/proofing/t5/99217-conclusions-0-10.pdf","t5/99217-conclusions-0-10.pdf")</f>
        <v>t5/99217-conclusions-0-10.pdf</v>
      </c>
      <c r="E307">
        <v>118760</v>
      </c>
      <c r="F307">
        <v>99217</v>
      </c>
      <c r="G307" t="s">
        <v>1891</v>
      </c>
      <c r="H307" t="s">
        <v>1979</v>
      </c>
      <c r="I307" t="s">
        <v>2000</v>
      </c>
    </row>
    <row r="308" spans="1:9" x14ac:dyDescent="0.2">
      <c r="A308" t="s">
        <v>1999</v>
      </c>
      <c r="D308" t="str">
        <f>HYPERLINK("http://nlpdeep.cs.uic.edu:8080/proofing/gsii/99217-conclusions-0-10.pdf","gsii/99217-conclusions-0-10.pdf")</f>
        <v>gsii/99217-conclusions-0-10.pdf</v>
      </c>
      <c r="E308">
        <v>118760</v>
      </c>
      <c r="F308">
        <v>99217</v>
      </c>
      <c r="G308" t="s">
        <v>1891</v>
      </c>
      <c r="H308" t="s">
        <v>1979</v>
      </c>
      <c r="I308" t="s">
        <v>2000</v>
      </c>
    </row>
    <row r="309" spans="1:9" x14ac:dyDescent="0.2">
      <c r="A309" t="s">
        <v>2001</v>
      </c>
      <c r="D309" t="str">
        <f>HYPERLINK("http://nlpdeep.cs.uic.edu:8080/proofing/t5/99217-conclusions-0-11.pdf","t5/99217-conclusions-0-11.pdf")</f>
        <v>t5/99217-conclusions-0-11.pdf</v>
      </c>
      <c r="E309">
        <v>118760</v>
      </c>
      <c r="F309">
        <v>99217</v>
      </c>
      <c r="G309" t="s">
        <v>1891</v>
      </c>
      <c r="H309" t="s">
        <v>1979</v>
      </c>
      <c r="I309" t="s">
        <v>2002</v>
      </c>
    </row>
    <row r="310" spans="1:9" x14ac:dyDescent="0.2">
      <c r="A310" t="s">
        <v>2001</v>
      </c>
      <c r="D310" t="str">
        <f>HYPERLINK("http://nlpdeep.cs.uic.edu:8080/proofing/gsii/99217-conclusions-0-11.pdf","gsii/99217-conclusions-0-11.pdf")</f>
        <v>gsii/99217-conclusions-0-11.pdf</v>
      </c>
      <c r="E310">
        <v>118760</v>
      </c>
      <c r="F310">
        <v>99217</v>
      </c>
      <c r="G310" t="s">
        <v>1891</v>
      </c>
      <c r="H310" t="s">
        <v>1979</v>
      </c>
      <c r="I310" t="s">
        <v>2002</v>
      </c>
    </row>
    <row r="311" spans="1:9" x14ac:dyDescent="0.2">
      <c r="A311" t="s">
        <v>2003</v>
      </c>
      <c r="D311" t="str">
        <f>HYPERLINK("http://nlpdeep.cs.uic.edu:8080/proofing/t5/99217-conclusions-0-12.pdf","t5/99217-conclusions-0-12.pdf")</f>
        <v>t5/99217-conclusions-0-12.pdf</v>
      </c>
      <c r="E311">
        <v>118760</v>
      </c>
      <c r="F311">
        <v>99217</v>
      </c>
      <c r="G311" t="s">
        <v>1891</v>
      </c>
      <c r="H311" t="s">
        <v>1979</v>
      </c>
      <c r="I311" t="s">
        <v>2004</v>
      </c>
    </row>
    <row r="312" spans="1:9" x14ac:dyDescent="0.2">
      <c r="A312" t="s">
        <v>2003</v>
      </c>
      <c r="D312" t="str">
        <f>HYPERLINK("http://nlpdeep.cs.uic.edu:8080/proofing/gsii/99217-conclusions-0-12.pdf","gsii/99217-conclusions-0-12.pdf")</f>
        <v>gsii/99217-conclusions-0-12.pdf</v>
      </c>
      <c r="E312">
        <v>118760</v>
      </c>
      <c r="F312">
        <v>99217</v>
      </c>
      <c r="G312" t="s">
        <v>1891</v>
      </c>
      <c r="H312" t="s">
        <v>1979</v>
      </c>
      <c r="I312" t="s">
        <v>2004</v>
      </c>
    </row>
    <row r="313" spans="1:9" x14ac:dyDescent="0.2">
      <c r="A313" t="s">
        <v>2005</v>
      </c>
      <c r="D313" t="str">
        <f>HYPERLINK("http://nlpdeep.cs.uic.edu:8080/proofing/t5/99217-conclusions-0-13.pdf","t5/99217-conclusions-0-13.pdf")</f>
        <v>t5/99217-conclusions-0-13.pdf</v>
      </c>
      <c r="E313">
        <v>118760</v>
      </c>
      <c r="F313">
        <v>99217</v>
      </c>
      <c r="G313" t="s">
        <v>1891</v>
      </c>
      <c r="H313" t="s">
        <v>1979</v>
      </c>
      <c r="I313" t="s">
        <v>2006</v>
      </c>
    </row>
    <row r="314" spans="1:9" x14ac:dyDescent="0.2">
      <c r="A314" t="s">
        <v>2005</v>
      </c>
      <c r="D314" t="str">
        <f>HYPERLINK("http://nlpdeep.cs.uic.edu:8080/proofing/gsii/99217-conclusions-0-13.pdf","gsii/99217-conclusions-0-13.pdf")</f>
        <v>gsii/99217-conclusions-0-13.pdf</v>
      </c>
      <c r="E314">
        <v>118760</v>
      </c>
      <c r="F314">
        <v>99217</v>
      </c>
      <c r="G314" t="s">
        <v>1891</v>
      </c>
      <c r="H314" t="s">
        <v>1979</v>
      </c>
      <c r="I314" t="s">
        <v>2006</v>
      </c>
    </row>
    <row r="315" spans="1:9" x14ac:dyDescent="0.2">
      <c r="A315" t="s">
        <v>2007</v>
      </c>
      <c r="D315" t="str">
        <f>HYPERLINK("http://nlpdeep.cs.uic.edu:8080/proofing/t5/99217-conclusions-0-14.pdf","t5/99217-conclusions-0-14.pdf")</f>
        <v>t5/99217-conclusions-0-14.pdf</v>
      </c>
      <c r="E315">
        <v>118760</v>
      </c>
      <c r="F315">
        <v>99217</v>
      </c>
      <c r="G315" t="s">
        <v>1891</v>
      </c>
      <c r="H315" t="s">
        <v>1979</v>
      </c>
      <c r="I315" t="s">
        <v>2008</v>
      </c>
    </row>
    <row r="316" spans="1:9" x14ac:dyDescent="0.2">
      <c r="A316" t="s">
        <v>2007</v>
      </c>
      <c r="D316" t="str">
        <f>HYPERLINK("http://nlpdeep.cs.uic.edu:8080/proofing/gsii/99217-conclusions-0-14.pdf","gsii/99217-conclusions-0-14.pdf")</f>
        <v>gsii/99217-conclusions-0-14.pdf</v>
      </c>
      <c r="E316">
        <v>118760</v>
      </c>
      <c r="F316">
        <v>99217</v>
      </c>
      <c r="G316" t="s">
        <v>1891</v>
      </c>
      <c r="H316" t="s">
        <v>1979</v>
      </c>
      <c r="I316" t="s">
        <v>2008</v>
      </c>
    </row>
    <row r="317" spans="1:9" x14ac:dyDescent="0.2">
      <c r="A317" t="s">
        <v>2009</v>
      </c>
      <c r="D317" t="str">
        <f>HYPERLINK("http://nlpdeep.cs.uic.edu:8080/proofing/t5/99217-conclusions-0-15.pdf","t5/99217-conclusions-0-15.pdf")</f>
        <v>t5/99217-conclusions-0-15.pdf</v>
      </c>
      <c r="E317">
        <v>118760</v>
      </c>
      <c r="F317">
        <v>99217</v>
      </c>
      <c r="G317" t="s">
        <v>1891</v>
      </c>
      <c r="H317" t="s">
        <v>1979</v>
      </c>
      <c r="I317" t="s">
        <v>2010</v>
      </c>
    </row>
    <row r="318" spans="1:9" x14ac:dyDescent="0.2">
      <c r="A318" t="s">
        <v>2009</v>
      </c>
      <c r="D318" t="str">
        <f>HYPERLINK("http://nlpdeep.cs.uic.edu:8080/proofing/gsii/99217-conclusions-0-15.pdf","gsii/99217-conclusions-0-15.pdf")</f>
        <v>gsii/99217-conclusions-0-15.pdf</v>
      </c>
      <c r="E318">
        <v>118760</v>
      </c>
      <c r="F318">
        <v>99217</v>
      </c>
      <c r="G318" t="s">
        <v>1891</v>
      </c>
      <c r="H318" t="s">
        <v>1979</v>
      </c>
      <c r="I318" t="s">
        <v>2010</v>
      </c>
    </row>
    <row r="319" spans="1:9" x14ac:dyDescent="0.2">
      <c r="A319" t="s">
        <v>2011</v>
      </c>
      <c r="D319" t="str">
        <f>HYPERLINK("http://nlpdeep.cs.uic.edu:8080/proofing/t5/99217-conclusions-0-16.pdf","t5/99217-conclusions-0-16.pdf")</f>
        <v>t5/99217-conclusions-0-16.pdf</v>
      </c>
      <c r="E319">
        <v>118760</v>
      </c>
      <c r="F319">
        <v>99217</v>
      </c>
      <c r="G319" t="s">
        <v>1891</v>
      </c>
      <c r="H319" t="s">
        <v>1979</v>
      </c>
      <c r="I319" t="s">
        <v>2012</v>
      </c>
    </row>
    <row r="320" spans="1:9" x14ac:dyDescent="0.2">
      <c r="A320" t="s">
        <v>2011</v>
      </c>
      <c r="D320" t="str">
        <f>HYPERLINK("http://nlpdeep.cs.uic.edu:8080/proofing/gsii/99217-conclusions-0-16.pdf","gsii/99217-conclusions-0-16.pdf")</f>
        <v>gsii/99217-conclusions-0-16.pdf</v>
      </c>
      <c r="E320">
        <v>118760</v>
      </c>
      <c r="F320">
        <v>99217</v>
      </c>
      <c r="G320" t="s">
        <v>1891</v>
      </c>
      <c r="H320" t="s">
        <v>1979</v>
      </c>
      <c r="I320" t="s">
        <v>2012</v>
      </c>
    </row>
    <row r="321" spans="1:9" x14ac:dyDescent="0.2">
      <c r="A321" t="s">
        <v>2013</v>
      </c>
      <c r="D321" t="str">
        <f>HYPERLINK("http://nlpdeep.cs.uic.edu:8080/proofing/t5/99217-conclusions-0-17.pdf","t5/99217-conclusions-0-17.pdf")</f>
        <v>t5/99217-conclusions-0-17.pdf</v>
      </c>
      <c r="E321">
        <v>118760</v>
      </c>
      <c r="F321">
        <v>99217</v>
      </c>
      <c r="G321" t="s">
        <v>1891</v>
      </c>
      <c r="H321" t="s">
        <v>1979</v>
      </c>
      <c r="I321" t="s">
        <v>2014</v>
      </c>
    </row>
    <row r="322" spans="1:9" x14ac:dyDescent="0.2">
      <c r="A322" t="s">
        <v>2013</v>
      </c>
      <c r="D322" t="str">
        <f>HYPERLINK("http://nlpdeep.cs.uic.edu:8080/proofing/gsii/99217-conclusions-0-17.pdf","gsii/99217-conclusions-0-17.pdf")</f>
        <v>gsii/99217-conclusions-0-17.pdf</v>
      </c>
      <c r="E322">
        <v>118760</v>
      </c>
      <c r="F322">
        <v>99217</v>
      </c>
      <c r="G322" t="s">
        <v>1891</v>
      </c>
      <c r="H322" t="s">
        <v>1979</v>
      </c>
      <c r="I322" t="s">
        <v>2014</v>
      </c>
    </row>
    <row r="323" spans="1:9" x14ac:dyDescent="0.2">
      <c r="A323" t="s">
        <v>2015</v>
      </c>
      <c r="D323" t="str">
        <f>HYPERLINK("http://nlpdeep.cs.uic.edu:8080/proofing/t5/99217-conclusions-0-18.pdf","t5/99217-conclusions-0-18.pdf")</f>
        <v>t5/99217-conclusions-0-18.pdf</v>
      </c>
      <c r="E323">
        <v>118760</v>
      </c>
      <c r="F323">
        <v>99217</v>
      </c>
      <c r="G323" t="s">
        <v>1891</v>
      </c>
      <c r="H323" t="s">
        <v>1979</v>
      </c>
      <c r="I323" t="s">
        <v>2016</v>
      </c>
    </row>
    <row r="324" spans="1:9" x14ac:dyDescent="0.2">
      <c r="A324" t="s">
        <v>2015</v>
      </c>
      <c r="D324" t="str">
        <f>HYPERLINK("http://nlpdeep.cs.uic.edu:8080/proofing/gsii/99217-conclusions-0-18.pdf","gsii/99217-conclusions-0-18.pdf")</f>
        <v>gsii/99217-conclusions-0-18.pdf</v>
      </c>
      <c r="E324">
        <v>118760</v>
      </c>
      <c r="F324">
        <v>99217</v>
      </c>
      <c r="G324" t="s">
        <v>1891</v>
      </c>
      <c r="H324" t="s">
        <v>1979</v>
      </c>
      <c r="I324" t="s">
        <v>2016</v>
      </c>
    </row>
    <row r="325" spans="1:9" x14ac:dyDescent="0.2">
      <c r="A325" t="s">
        <v>2017</v>
      </c>
      <c r="D325" t="str">
        <f>HYPERLINK("http://nlpdeep.cs.uic.edu:8080/proofing/t5/99217-comparison-0-0.pdf","t5/99217-comparison-0-0.pdf")</f>
        <v>t5/99217-comparison-0-0.pdf</v>
      </c>
      <c r="E325">
        <v>118760</v>
      </c>
      <c r="F325">
        <v>99217</v>
      </c>
      <c r="G325" t="s">
        <v>1891</v>
      </c>
      <c r="H325" t="s">
        <v>1834</v>
      </c>
      <c r="I325" t="s">
        <v>2018</v>
      </c>
    </row>
    <row r="326" spans="1:9" x14ac:dyDescent="0.2">
      <c r="A326" t="s">
        <v>2017</v>
      </c>
      <c r="D326" t="str">
        <f>HYPERLINK("http://nlpdeep.cs.uic.edu:8080/proofing/gsii/99217-comparison-0-0.pdf","gsii/99217-comparison-0-0.pdf")</f>
        <v>gsii/99217-comparison-0-0.pdf</v>
      </c>
      <c r="E326">
        <v>118760</v>
      </c>
      <c r="F326">
        <v>99217</v>
      </c>
      <c r="G326" t="s">
        <v>1891</v>
      </c>
      <c r="H326" t="s">
        <v>1834</v>
      </c>
      <c r="I326" t="s">
        <v>2018</v>
      </c>
    </row>
    <row r="327" spans="1:9" x14ac:dyDescent="0.2">
      <c r="A327" t="s">
        <v>2019</v>
      </c>
      <c r="D327" t="str">
        <f>HYPERLINK("http://nlpdeep.cs.uic.edu:8080/proofing/t5/47346-allergies-0-0.pdf","t5/47346-allergies-0-0.pdf")</f>
        <v>t5/47346-allergies-0-0.pdf</v>
      </c>
      <c r="E327">
        <v>118760</v>
      </c>
      <c r="F327">
        <v>47346</v>
      </c>
      <c r="G327" t="s">
        <v>745</v>
      </c>
      <c r="H327" t="s">
        <v>64</v>
      </c>
      <c r="I327" t="s">
        <v>2020</v>
      </c>
    </row>
    <row r="328" spans="1:9" x14ac:dyDescent="0.2">
      <c r="A328" t="s">
        <v>2019</v>
      </c>
      <c r="D328" t="str">
        <f>HYPERLINK("http://nlpdeep.cs.uic.edu:8080/proofing/gsii/47346-allergies-0-0.pdf","gsii/47346-allergies-0-0.pdf")</f>
        <v>gsii/47346-allergies-0-0.pdf</v>
      </c>
      <c r="E328">
        <v>118760</v>
      </c>
      <c r="F328">
        <v>47346</v>
      </c>
      <c r="G328" t="s">
        <v>745</v>
      </c>
      <c r="H328" t="s">
        <v>64</v>
      </c>
      <c r="I328" t="s">
        <v>2020</v>
      </c>
    </row>
    <row r="329" spans="1:9" x14ac:dyDescent="0.2">
      <c r="A329" t="s">
        <v>2021</v>
      </c>
      <c r="D329" t="str">
        <f>HYPERLINK("http://nlpdeep.cs.uic.edu:8080/proofing/t5/47346-chief-complaint-0-0.pdf","t5/47346-chief-complaint-0-0.pdf")</f>
        <v>t5/47346-chief-complaint-0-0.pdf</v>
      </c>
      <c r="E329">
        <v>118760</v>
      </c>
      <c r="F329">
        <v>47346</v>
      </c>
      <c r="G329" t="s">
        <v>745</v>
      </c>
      <c r="H329" t="s">
        <v>10</v>
      </c>
      <c r="I329" t="s">
        <v>2022</v>
      </c>
    </row>
    <row r="330" spans="1:9" x14ac:dyDescent="0.2">
      <c r="A330" t="s">
        <v>2021</v>
      </c>
      <c r="D330" t="str">
        <f>HYPERLINK("http://nlpdeep.cs.uic.edu:8080/proofing/gsii/47346-chief-complaint-0-0.pdf","gsii/47346-chief-complaint-0-0.pdf")</f>
        <v>gsii/47346-chief-complaint-0-0.pdf</v>
      </c>
      <c r="E330">
        <v>118760</v>
      </c>
      <c r="F330">
        <v>47346</v>
      </c>
      <c r="G330" t="s">
        <v>745</v>
      </c>
      <c r="H330" t="s">
        <v>10</v>
      </c>
      <c r="I330" t="s">
        <v>2022</v>
      </c>
    </row>
    <row r="331" spans="1:9" x14ac:dyDescent="0.2">
      <c r="A331" t="s">
        <v>2023</v>
      </c>
      <c r="D331" t="str">
        <f>HYPERLINK("http://nlpdeep.cs.uic.edu:8080/proofing/t5/47346-major-surgical-or-invasive-procedure-0-0.pdf","t5/47346-major-surgical-or-invasive-procedure-0-0.pdf")</f>
        <v>t5/47346-major-surgical-or-invasive-procedure-0-0.pdf</v>
      </c>
      <c r="E331">
        <v>118760</v>
      </c>
      <c r="F331">
        <v>47346</v>
      </c>
      <c r="G331" t="s">
        <v>745</v>
      </c>
      <c r="H331" t="s">
        <v>750</v>
      </c>
      <c r="I331" t="s">
        <v>2024</v>
      </c>
    </row>
    <row r="332" spans="1:9" x14ac:dyDescent="0.2">
      <c r="A332" t="s">
        <v>2023</v>
      </c>
      <c r="D332" t="str">
        <f>HYPERLINK("http://nlpdeep.cs.uic.edu:8080/proofing/gsii/47346-major-surgical-or-invasive-procedure-0-0.pdf","gsii/47346-major-surgical-or-invasive-procedure-0-0.pdf")</f>
        <v>gsii/47346-major-surgical-or-invasive-procedure-0-0.pdf</v>
      </c>
      <c r="E332">
        <v>118760</v>
      </c>
      <c r="F332">
        <v>47346</v>
      </c>
      <c r="G332" t="s">
        <v>745</v>
      </c>
      <c r="H332" t="s">
        <v>750</v>
      </c>
      <c r="I332" t="s">
        <v>2024</v>
      </c>
    </row>
    <row r="333" spans="1:9" x14ac:dyDescent="0.2">
      <c r="A333" t="s">
        <v>2025</v>
      </c>
      <c r="D333" t="str">
        <f>HYPERLINK("http://nlpdeep.cs.uic.edu:8080/proofing/t5/47346-history-of-present-illness-0-0.pdf","t5/47346-history-of-present-illness-0-0.pdf")</f>
        <v>t5/47346-history-of-present-illness-0-0.pdf</v>
      </c>
      <c r="E333">
        <v>118760</v>
      </c>
      <c r="F333">
        <v>47346</v>
      </c>
      <c r="G333" t="s">
        <v>745</v>
      </c>
      <c r="H333" t="s">
        <v>13</v>
      </c>
      <c r="I333" t="s">
        <v>2026</v>
      </c>
    </row>
    <row r="334" spans="1:9" x14ac:dyDescent="0.2">
      <c r="A334" t="s">
        <v>2025</v>
      </c>
      <c r="D334" t="str">
        <f>HYPERLINK("http://nlpdeep.cs.uic.edu:8080/proofing/gsii/47346-history-of-present-illness-0-0.pdf","gsii/47346-history-of-present-illness-0-0.pdf")</f>
        <v>gsii/47346-history-of-present-illness-0-0.pdf</v>
      </c>
      <c r="E334">
        <v>118760</v>
      </c>
      <c r="F334">
        <v>47346</v>
      </c>
      <c r="G334" t="s">
        <v>745</v>
      </c>
      <c r="H334" t="s">
        <v>13</v>
      </c>
      <c r="I334" t="s">
        <v>2026</v>
      </c>
    </row>
    <row r="335" spans="1:9" x14ac:dyDescent="0.2">
      <c r="A335" t="s">
        <v>2027</v>
      </c>
      <c r="D335" t="str">
        <f>HYPERLINK("http://nlpdeep.cs.uic.edu:8080/proofing/t5/47346-history-of-present-illness-1-0.pdf","t5/47346-history-of-present-illness-1-0.pdf")</f>
        <v>t5/47346-history-of-present-illness-1-0.pdf</v>
      </c>
      <c r="E335">
        <v>118760</v>
      </c>
      <c r="F335">
        <v>47346</v>
      </c>
      <c r="G335" t="s">
        <v>745</v>
      </c>
      <c r="H335" t="s">
        <v>13</v>
      </c>
      <c r="I335" t="s">
        <v>2028</v>
      </c>
    </row>
    <row r="336" spans="1:9" x14ac:dyDescent="0.2">
      <c r="A336" t="s">
        <v>2027</v>
      </c>
      <c r="D336" t="str">
        <f>HYPERLINK("http://nlpdeep.cs.uic.edu:8080/proofing/gsii/47346-history-of-present-illness-1-0.pdf","gsii/47346-history-of-present-illness-1-0.pdf")</f>
        <v>gsii/47346-history-of-present-illness-1-0.pdf</v>
      </c>
      <c r="E336">
        <v>118760</v>
      </c>
      <c r="F336">
        <v>47346</v>
      </c>
      <c r="G336" t="s">
        <v>745</v>
      </c>
      <c r="H336" t="s">
        <v>13</v>
      </c>
      <c r="I336" t="s">
        <v>2028</v>
      </c>
    </row>
    <row r="337" spans="1:9" x14ac:dyDescent="0.2">
      <c r="A337" t="s">
        <v>2029</v>
      </c>
      <c r="D337" t="str">
        <f>HYPERLINK("http://nlpdeep.cs.uic.edu:8080/proofing/t5/47346-history-of-present-illness-1-1.pdf","t5/47346-history-of-present-illness-1-1.pdf")</f>
        <v>t5/47346-history-of-present-illness-1-1.pdf</v>
      </c>
      <c r="E337">
        <v>118760</v>
      </c>
      <c r="F337">
        <v>47346</v>
      </c>
      <c r="G337" t="s">
        <v>745</v>
      </c>
      <c r="H337" t="s">
        <v>13</v>
      </c>
      <c r="I337" t="s">
        <v>2030</v>
      </c>
    </row>
    <row r="338" spans="1:9" x14ac:dyDescent="0.2">
      <c r="A338" t="s">
        <v>2029</v>
      </c>
      <c r="D338" t="str">
        <f>HYPERLINK("http://nlpdeep.cs.uic.edu:8080/proofing/gsii/47346-history-of-present-illness-1-1.pdf","gsii/47346-history-of-present-illness-1-1.pdf")</f>
        <v>gsii/47346-history-of-present-illness-1-1.pdf</v>
      </c>
      <c r="E338">
        <v>118760</v>
      </c>
      <c r="F338">
        <v>47346</v>
      </c>
      <c r="G338" t="s">
        <v>745</v>
      </c>
      <c r="H338" t="s">
        <v>13</v>
      </c>
      <c r="I338" t="s">
        <v>2030</v>
      </c>
    </row>
    <row r="339" spans="1:9" x14ac:dyDescent="0.2">
      <c r="A339" t="s">
        <v>2031</v>
      </c>
      <c r="D339" t="str">
        <f>HYPERLINK("http://nlpdeep.cs.uic.edu:8080/proofing/t5/47346-history-of-present-illness-1-2.pdf","t5/47346-history-of-present-illness-1-2.pdf")</f>
        <v>t5/47346-history-of-present-illness-1-2.pdf</v>
      </c>
      <c r="E339">
        <v>118760</v>
      </c>
      <c r="F339">
        <v>47346</v>
      </c>
      <c r="G339" t="s">
        <v>745</v>
      </c>
      <c r="H339" t="s">
        <v>13</v>
      </c>
      <c r="I339" t="s">
        <v>2032</v>
      </c>
    </row>
    <row r="340" spans="1:9" x14ac:dyDescent="0.2">
      <c r="A340" t="s">
        <v>2031</v>
      </c>
      <c r="D340" t="str">
        <f>HYPERLINK("http://nlpdeep.cs.uic.edu:8080/proofing/gsii/47346-history-of-present-illness-1-2.pdf","gsii/47346-history-of-present-illness-1-2.pdf")</f>
        <v>gsii/47346-history-of-present-illness-1-2.pdf</v>
      </c>
      <c r="E340">
        <v>118760</v>
      </c>
      <c r="F340">
        <v>47346</v>
      </c>
      <c r="G340" t="s">
        <v>745</v>
      </c>
      <c r="H340" t="s">
        <v>13</v>
      </c>
      <c r="I340" t="s">
        <v>2032</v>
      </c>
    </row>
    <row r="341" spans="1:9" x14ac:dyDescent="0.2">
      <c r="A341" t="s">
        <v>2033</v>
      </c>
      <c r="D341" t="str">
        <f>HYPERLINK("http://nlpdeep.cs.uic.edu:8080/proofing/t5/47346-history-of-present-illness-1-3.pdf","t5/47346-history-of-present-illness-1-3.pdf")</f>
        <v>t5/47346-history-of-present-illness-1-3.pdf</v>
      </c>
      <c r="E341">
        <v>118760</v>
      </c>
      <c r="F341">
        <v>47346</v>
      </c>
      <c r="G341" t="s">
        <v>745</v>
      </c>
      <c r="H341" t="s">
        <v>13</v>
      </c>
      <c r="I341" t="s">
        <v>2034</v>
      </c>
    </row>
    <row r="342" spans="1:9" x14ac:dyDescent="0.2">
      <c r="A342" t="s">
        <v>2033</v>
      </c>
      <c r="D342" t="str">
        <f>HYPERLINK("http://nlpdeep.cs.uic.edu:8080/proofing/gsii/47346-history-of-present-illness-1-3.pdf","gsii/47346-history-of-present-illness-1-3.pdf")</f>
        <v>gsii/47346-history-of-present-illness-1-3.pdf</v>
      </c>
      <c r="E342">
        <v>118760</v>
      </c>
      <c r="F342">
        <v>47346</v>
      </c>
      <c r="G342" t="s">
        <v>745</v>
      </c>
      <c r="H342" t="s">
        <v>13</v>
      </c>
      <c r="I342" t="s">
        <v>2034</v>
      </c>
    </row>
    <row r="343" spans="1:9" x14ac:dyDescent="0.2">
      <c r="A343" t="s">
        <v>2035</v>
      </c>
      <c r="D343" t="str">
        <f>HYPERLINK("http://nlpdeep.cs.uic.edu:8080/proofing/t5/47346-history-of-present-illness-2-0.pdf","t5/47346-history-of-present-illness-2-0.pdf")</f>
        <v>t5/47346-history-of-present-illness-2-0.pdf</v>
      </c>
      <c r="E343">
        <v>118760</v>
      </c>
      <c r="F343">
        <v>47346</v>
      </c>
      <c r="G343" t="s">
        <v>745</v>
      </c>
      <c r="H343" t="s">
        <v>13</v>
      </c>
      <c r="I343" t="s">
        <v>2036</v>
      </c>
    </row>
    <row r="344" spans="1:9" x14ac:dyDescent="0.2">
      <c r="A344" t="s">
        <v>2035</v>
      </c>
      <c r="D344" t="str">
        <f>HYPERLINK("http://nlpdeep.cs.uic.edu:8080/proofing/gsii/47346-history-of-present-illness-2-0.pdf","gsii/47346-history-of-present-illness-2-0.pdf")</f>
        <v>gsii/47346-history-of-present-illness-2-0.pdf</v>
      </c>
      <c r="E344">
        <v>118760</v>
      </c>
      <c r="F344">
        <v>47346</v>
      </c>
      <c r="G344" t="s">
        <v>745</v>
      </c>
      <c r="H344" t="s">
        <v>13</v>
      </c>
      <c r="I344" t="s">
        <v>2036</v>
      </c>
    </row>
    <row r="345" spans="1:9" x14ac:dyDescent="0.2">
      <c r="A345" t="s">
        <v>2037</v>
      </c>
      <c r="D345" t="str">
        <f>HYPERLINK("http://nlpdeep.cs.uic.edu:8080/proofing/t5/47346-history-of-present-illness-2-1.pdf","t5/47346-history-of-present-illness-2-1.pdf")</f>
        <v>t5/47346-history-of-present-illness-2-1.pdf</v>
      </c>
      <c r="E345">
        <v>118760</v>
      </c>
      <c r="F345">
        <v>47346</v>
      </c>
      <c r="G345" t="s">
        <v>745</v>
      </c>
      <c r="H345" t="s">
        <v>13</v>
      </c>
      <c r="I345" t="s">
        <v>2038</v>
      </c>
    </row>
    <row r="346" spans="1:9" x14ac:dyDescent="0.2">
      <c r="A346" t="s">
        <v>2037</v>
      </c>
      <c r="D346" t="str">
        <f>HYPERLINK("http://nlpdeep.cs.uic.edu:8080/proofing/gsii/47346-history-of-present-illness-2-1.pdf","gsii/47346-history-of-present-illness-2-1.pdf")</f>
        <v>gsii/47346-history-of-present-illness-2-1.pdf</v>
      </c>
      <c r="E346">
        <v>118760</v>
      </c>
      <c r="F346">
        <v>47346</v>
      </c>
      <c r="G346" t="s">
        <v>745</v>
      </c>
      <c r="H346" t="s">
        <v>13</v>
      </c>
      <c r="I346" t="s">
        <v>2038</v>
      </c>
    </row>
    <row r="347" spans="1:9" x14ac:dyDescent="0.2">
      <c r="A347" t="s">
        <v>2039</v>
      </c>
      <c r="D347" t="str">
        <f>HYPERLINK("http://nlpdeep.cs.uic.edu:8080/proofing/t5/47346-history-of-present-illness-2-2.pdf","t5/47346-history-of-present-illness-2-2.pdf")</f>
        <v>t5/47346-history-of-present-illness-2-2.pdf</v>
      </c>
      <c r="E347">
        <v>118760</v>
      </c>
      <c r="F347">
        <v>47346</v>
      </c>
      <c r="G347" t="s">
        <v>745</v>
      </c>
      <c r="H347" t="s">
        <v>13</v>
      </c>
      <c r="I347" t="s">
        <v>2040</v>
      </c>
    </row>
    <row r="348" spans="1:9" x14ac:dyDescent="0.2">
      <c r="A348" t="s">
        <v>2039</v>
      </c>
      <c r="D348" t="str">
        <f>HYPERLINK("http://nlpdeep.cs.uic.edu:8080/proofing/gsii/47346-history-of-present-illness-2-2.pdf","gsii/47346-history-of-present-illness-2-2.pdf")</f>
        <v>gsii/47346-history-of-present-illness-2-2.pdf</v>
      </c>
      <c r="E348">
        <v>118760</v>
      </c>
      <c r="F348">
        <v>47346</v>
      </c>
      <c r="G348" t="s">
        <v>745</v>
      </c>
      <c r="H348" t="s">
        <v>13</v>
      </c>
      <c r="I348" t="s">
        <v>2040</v>
      </c>
    </row>
    <row r="349" spans="1:9" x14ac:dyDescent="0.2">
      <c r="A349" t="s">
        <v>2041</v>
      </c>
      <c r="D349" t="str">
        <f>HYPERLINK("http://nlpdeep.cs.uic.edu:8080/proofing/t5/47346-history-of-present-illness-3-0.pdf","t5/47346-history-of-present-illness-3-0.pdf")</f>
        <v>t5/47346-history-of-present-illness-3-0.pdf</v>
      </c>
      <c r="E349">
        <v>118760</v>
      </c>
      <c r="F349">
        <v>47346</v>
      </c>
      <c r="G349" t="s">
        <v>745</v>
      </c>
      <c r="H349" t="s">
        <v>13</v>
      </c>
      <c r="I349" t="s">
        <v>2042</v>
      </c>
    </row>
    <row r="350" spans="1:9" x14ac:dyDescent="0.2">
      <c r="A350" t="s">
        <v>2041</v>
      </c>
      <c r="D350" t="str">
        <f>HYPERLINK("http://nlpdeep.cs.uic.edu:8080/proofing/gsii/47346-history-of-present-illness-3-0.pdf","gsii/47346-history-of-present-illness-3-0.pdf")</f>
        <v>gsii/47346-history-of-present-illness-3-0.pdf</v>
      </c>
      <c r="E350">
        <v>118760</v>
      </c>
      <c r="F350">
        <v>47346</v>
      </c>
      <c r="G350" t="s">
        <v>745</v>
      </c>
      <c r="H350" t="s">
        <v>13</v>
      </c>
      <c r="I350" t="s">
        <v>2042</v>
      </c>
    </row>
    <row r="351" spans="1:9" x14ac:dyDescent="0.2">
      <c r="A351" t="s">
        <v>2043</v>
      </c>
      <c r="D351" t="str">
        <f>HYPERLINK("http://nlpdeep.cs.uic.edu:8080/proofing/t5/47346-history-of-present-illness-3-1.pdf","t5/47346-history-of-present-illness-3-1.pdf")</f>
        <v>t5/47346-history-of-present-illness-3-1.pdf</v>
      </c>
      <c r="E351">
        <v>118760</v>
      </c>
      <c r="F351">
        <v>47346</v>
      </c>
      <c r="G351" t="s">
        <v>745</v>
      </c>
      <c r="H351" t="s">
        <v>13</v>
      </c>
      <c r="I351" t="s">
        <v>2044</v>
      </c>
    </row>
    <row r="352" spans="1:9" x14ac:dyDescent="0.2">
      <c r="A352" t="s">
        <v>2043</v>
      </c>
      <c r="D352" t="str">
        <f>HYPERLINK("http://nlpdeep.cs.uic.edu:8080/proofing/gsii/47346-history-of-present-illness-3-1.pdf","gsii/47346-history-of-present-illness-3-1.pdf")</f>
        <v>gsii/47346-history-of-present-illness-3-1.pdf</v>
      </c>
      <c r="E352">
        <v>118760</v>
      </c>
      <c r="F352">
        <v>47346</v>
      </c>
      <c r="G352" t="s">
        <v>745</v>
      </c>
      <c r="H352" t="s">
        <v>13</v>
      </c>
      <c r="I352" t="s">
        <v>2044</v>
      </c>
    </row>
    <row r="353" spans="1:9" x14ac:dyDescent="0.2">
      <c r="A353" t="s">
        <v>2045</v>
      </c>
      <c r="D353" t="str">
        <f>HYPERLINK("http://nlpdeep.cs.uic.edu:8080/proofing/t5/47346-history-of-present-illness-3-2.pdf","t5/47346-history-of-present-illness-3-2.pdf")</f>
        <v>t5/47346-history-of-present-illness-3-2.pdf</v>
      </c>
      <c r="E353">
        <v>118760</v>
      </c>
      <c r="F353">
        <v>47346</v>
      </c>
      <c r="G353" t="s">
        <v>745</v>
      </c>
      <c r="H353" t="s">
        <v>13</v>
      </c>
      <c r="I353" t="s">
        <v>2046</v>
      </c>
    </row>
    <row r="354" spans="1:9" x14ac:dyDescent="0.2">
      <c r="A354" t="s">
        <v>2045</v>
      </c>
      <c r="D354" t="str">
        <f>HYPERLINK("http://nlpdeep.cs.uic.edu:8080/proofing/gsii/47346-history-of-present-illness-3-2.pdf","gsii/47346-history-of-present-illness-3-2.pdf")</f>
        <v>gsii/47346-history-of-present-illness-3-2.pdf</v>
      </c>
      <c r="E354">
        <v>118760</v>
      </c>
      <c r="F354">
        <v>47346</v>
      </c>
      <c r="G354" t="s">
        <v>745</v>
      </c>
      <c r="H354" t="s">
        <v>13</v>
      </c>
      <c r="I354" t="s">
        <v>2046</v>
      </c>
    </row>
    <row r="355" spans="1:9" x14ac:dyDescent="0.2">
      <c r="A355" t="s">
        <v>2047</v>
      </c>
      <c r="D355" t="str">
        <f>HYPERLINK("http://nlpdeep.cs.uic.edu:8080/proofing/t5/47346-history-of-present-illness-3-3.pdf","t5/47346-history-of-present-illness-3-3.pdf")</f>
        <v>t5/47346-history-of-present-illness-3-3.pdf</v>
      </c>
      <c r="E355">
        <v>118760</v>
      </c>
      <c r="F355">
        <v>47346</v>
      </c>
      <c r="G355" t="s">
        <v>745</v>
      </c>
      <c r="H355" t="s">
        <v>13</v>
      </c>
      <c r="I355" t="s">
        <v>2048</v>
      </c>
    </row>
    <row r="356" spans="1:9" x14ac:dyDescent="0.2">
      <c r="A356" t="s">
        <v>2047</v>
      </c>
      <c r="D356" t="str">
        <f>HYPERLINK("http://nlpdeep.cs.uic.edu:8080/proofing/gsii/47346-history-of-present-illness-3-3.pdf","gsii/47346-history-of-present-illness-3-3.pdf")</f>
        <v>gsii/47346-history-of-present-illness-3-3.pdf</v>
      </c>
      <c r="E356">
        <v>118760</v>
      </c>
      <c r="F356">
        <v>47346</v>
      </c>
      <c r="G356" t="s">
        <v>745</v>
      </c>
      <c r="H356" t="s">
        <v>13</v>
      </c>
      <c r="I356" t="s">
        <v>2048</v>
      </c>
    </row>
    <row r="357" spans="1:9" x14ac:dyDescent="0.2">
      <c r="A357" t="s">
        <v>2049</v>
      </c>
      <c r="D357" t="str">
        <f>HYPERLINK("http://nlpdeep.cs.uic.edu:8080/proofing/t5/47346-history-of-present-illness-4-0.pdf","t5/47346-history-of-present-illness-4-0.pdf")</f>
        <v>t5/47346-history-of-present-illness-4-0.pdf</v>
      </c>
      <c r="E357">
        <v>118760</v>
      </c>
      <c r="F357">
        <v>47346</v>
      </c>
      <c r="G357" t="s">
        <v>745</v>
      </c>
      <c r="H357" t="s">
        <v>13</v>
      </c>
      <c r="I357" t="s">
        <v>2050</v>
      </c>
    </row>
    <row r="358" spans="1:9" x14ac:dyDescent="0.2">
      <c r="A358" t="s">
        <v>2049</v>
      </c>
      <c r="D358" t="str">
        <f>HYPERLINK("http://nlpdeep.cs.uic.edu:8080/proofing/gsii/47346-history-of-present-illness-4-0.pdf","gsii/47346-history-of-present-illness-4-0.pdf")</f>
        <v>gsii/47346-history-of-present-illness-4-0.pdf</v>
      </c>
      <c r="E358">
        <v>118760</v>
      </c>
      <c r="F358">
        <v>47346</v>
      </c>
      <c r="G358" t="s">
        <v>745</v>
      </c>
      <c r="H358" t="s">
        <v>13</v>
      </c>
      <c r="I358" t="s">
        <v>2050</v>
      </c>
    </row>
    <row r="359" spans="1:9" x14ac:dyDescent="0.2">
      <c r="A359" t="s">
        <v>2051</v>
      </c>
      <c r="D359" t="str">
        <f>HYPERLINK("http://nlpdeep.cs.uic.edu:8080/proofing/t5/47346-history-of-present-illness-4-1.pdf","t5/47346-history-of-present-illness-4-1.pdf")</f>
        <v>t5/47346-history-of-present-illness-4-1.pdf</v>
      </c>
      <c r="E359">
        <v>118760</v>
      </c>
      <c r="F359">
        <v>47346</v>
      </c>
      <c r="G359" t="s">
        <v>745</v>
      </c>
      <c r="H359" t="s">
        <v>13</v>
      </c>
      <c r="I359" t="s">
        <v>2052</v>
      </c>
    </row>
    <row r="360" spans="1:9" x14ac:dyDescent="0.2">
      <c r="A360" t="s">
        <v>2051</v>
      </c>
      <c r="D360" t="str">
        <f>HYPERLINK("http://nlpdeep.cs.uic.edu:8080/proofing/gsii/47346-history-of-present-illness-4-1.pdf","gsii/47346-history-of-present-illness-4-1.pdf")</f>
        <v>gsii/47346-history-of-present-illness-4-1.pdf</v>
      </c>
      <c r="E360">
        <v>118760</v>
      </c>
      <c r="F360">
        <v>47346</v>
      </c>
      <c r="G360" t="s">
        <v>745</v>
      </c>
      <c r="H360" t="s">
        <v>13</v>
      </c>
      <c r="I360" t="s">
        <v>2052</v>
      </c>
    </row>
    <row r="361" spans="1:9" x14ac:dyDescent="0.2">
      <c r="A361" t="s">
        <v>2053</v>
      </c>
      <c r="D361" t="str">
        <f>HYPERLINK("http://nlpdeep.cs.uic.edu:8080/proofing/t5/47346-history-of-present-illness-4-2.pdf","t5/47346-history-of-present-illness-4-2.pdf")</f>
        <v>t5/47346-history-of-present-illness-4-2.pdf</v>
      </c>
      <c r="E361">
        <v>118760</v>
      </c>
      <c r="F361">
        <v>47346</v>
      </c>
      <c r="G361" t="s">
        <v>745</v>
      </c>
      <c r="H361" t="s">
        <v>13</v>
      </c>
      <c r="I361" t="s">
        <v>2054</v>
      </c>
    </row>
    <row r="362" spans="1:9" x14ac:dyDescent="0.2">
      <c r="A362" t="s">
        <v>2053</v>
      </c>
      <c r="D362" t="str">
        <f>HYPERLINK("http://nlpdeep.cs.uic.edu:8080/proofing/gsii/47346-history-of-present-illness-4-2.pdf","gsii/47346-history-of-present-illness-4-2.pdf")</f>
        <v>gsii/47346-history-of-present-illness-4-2.pdf</v>
      </c>
      <c r="E362">
        <v>118760</v>
      </c>
      <c r="F362">
        <v>47346</v>
      </c>
      <c r="G362" t="s">
        <v>745</v>
      </c>
      <c r="H362" t="s">
        <v>13</v>
      </c>
      <c r="I362" t="s">
        <v>2054</v>
      </c>
    </row>
    <row r="363" spans="1:9" x14ac:dyDescent="0.2">
      <c r="A363" t="s">
        <v>2055</v>
      </c>
      <c r="D363" t="str">
        <f>HYPERLINK("http://nlpdeep.cs.uic.edu:8080/proofing/t5/47346-history-of-present-illness-4-3.pdf","t5/47346-history-of-present-illness-4-3.pdf")</f>
        <v>t5/47346-history-of-present-illness-4-3.pdf</v>
      </c>
      <c r="E363">
        <v>118760</v>
      </c>
      <c r="F363">
        <v>47346</v>
      </c>
      <c r="G363" t="s">
        <v>745</v>
      </c>
      <c r="H363" t="s">
        <v>13</v>
      </c>
      <c r="I363" t="s">
        <v>2056</v>
      </c>
    </row>
    <row r="364" spans="1:9" x14ac:dyDescent="0.2">
      <c r="A364" t="s">
        <v>2055</v>
      </c>
      <c r="D364" t="str">
        <f>HYPERLINK("http://nlpdeep.cs.uic.edu:8080/proofing/gsii/47346-history-of-present-illness-4-3.pdf","gsii/47346-history-of-present-illness-4-3.pdf")</f>
        <v>gsii/47346-history-of-present-illness-4-3.pdf</v>
      </c>
      <c r="E364">
        <v>118760</v>
      </c>
      <c r="F364">
        <v>47346</v>
      </c>
      <c r="G364" t="s">
        <v>745</v>
      </c>
      <c r="H364" t="s">
        <v>13</v>
      </c>
      <c r="I364" t="s">
        <v>2056</v>
      </c>
    </row>
    <row r="365" spans="1:9" x14ac:dyDescent="0.2">
      <c r="A365" t="s">
        <v>2057</v>
      </c>
      <c r="D365" t="str">
        <f>HYPERLINK("http://nlpdeep.cs.uic.edu:8080/proofing/t5/47346-history-of-present-illness-4-4.pdf","t5/47346-history-of-present-illness-4-4.pdf")</f>
        <v>t5/47346-history-of-present-illness-4-4.pdf</v>
      </c>
      <c r="E365">
        <v>118760</v>
      </c>
      <c r="F365">
        <v>47346</v>
      </c>
      <c r="G365" t="s">
        <v>745</v>
      </c>
      <c r="H365" t="s">
        <v>13</v>
      </c>
      <c r="I365" t="s">
        <v>2058</v>
      </c>
    </row>
    <row r="366" spans="1:9" x14ac:dyDescent="0.2">
      <c r="A366" t="s">
        <v>2057</v>
      </c>
      <c r="D366" t="str">
        <f>HYPERLINK("http://nlpdeep.cs.uic.edu:8080/proofing/gsii/47346-history-of-present-illness-4-4.pdf","gsii/47346-history-of-present-illness-4-4.pdf")</f>
        <v>gsii/47346-history-of-present-illness-4-4.pdf</v>
      </c>
      <c r="E366">
        <v>118760</v>
      </c>
      <c r="F366">
        <v>47346</v>
      </c>
      <c r="G366" t="s">
        <v>745</v>
      </c>
      <c r="H366" t="s">
        <v>13</v>
      </c>
      <c r="I366" t="s">
        <v>2058</v>
      </c>
    </row>
    <row r="367" spans="1:9" x14ac:dyDescent="0.2">
      <c r="A367" t="s">
        <v>2059</v>
      </c>
      <c r="D367" t="str">
        <f>HYPERLINK("http://nlpdeep.cs.uic.edu:8080/proofing/t5/47346-past-medical-history-0-0.pdf","t5/47346-past-medical-history-0-0.pdf")</f>
        <v>t5/47346-past-medical-history-0-0.pdf</v>
      </c>
      <c r="E367">
        <v>118760</v>
      </c>
      <c r="F367">
        <v>47346</v>
      </c>
      <c r="G367" t="s">
        <v>745</v>
      </c>
      <c r="H367" t="s">
        <v>76</v>
      </c>
      <c r="I367" t="s">
        <v>2060</v>
      </c>
    </row>
    <row r="368" spans="1:9" x14ac:dyDescent="0.2">
      <c r="A368" t="s">
        <v>2059</v>
      </c>
      <c r="D368" t="str">
        <f>HYPERLINK("http://nlpdeep.cs.uic.edu:8080/proofing/gsii/47346-past-medical-history-0-0.pdf","gsii/47346-past-medical-history-0-0.pdf")</f>
        <v>gsii/47346-past-medical-history-0-0.pdf</v>
      </c>
      <c r="E368">
        <v>118760</v>
      </c>
      <c r="F368">
        <v>47346</v>
      </c>
      <c r="G368" t="s">
        <v>745</v>
      </c>
      <c r="H368" t="s">
        <v>76</v>
      </c>
      <c r="I368" t="s">
        <v>2060</v>
      </c>
    </row>
    <row r="369" spans="1:9" x14ac:dyDescent="0.2">
      <c r="A369" t="s">
        <v>2061</v>
      </c>
      <c r="D369" t="str">
        <f>HYPERLINK("http://nlpdeep.cs.uic.edu:8080/proofing/t5/47346-past-medical-history-0-1.pdf","t5/47346-past-medical-history-0-1.pdf")</f>
        <v>t5/47346-past-medical-history-0-1.pdf</v>
      </c>
      <c r="E369">
        <v>118760</v>
      </c>
      <c r="F369">
        <v>47346</v>
      </c>
      <c r="G369" t="s">
        <v>745</v>
      </c>
      <c r="H369" t="s">
        <v>76</v>
      </c>
      <c r="I369" t="s">
        <v>2062</v>
      </c>
    </row>
    <row r="370" spans="1:9" x14ac:dyDescent="0.2">
      <c r="A370" t="s">
        <v>2061</v>
      </c>
      <c r="D370" t="str">
        <f>HYPERLINK("http://nlpdeep.cs.uic.edu:8080/proofing/gsii/47346-past-medical-history-0-1.pdf","gsii/47346-past-medical-history-0-1.pdf")</f>
        <v>gsii/47346-past-medical-history-0-1.pdf</v>
      </c>
      <c r="E370">
        <v>118760</v>
      </c>
      <c r="F370">
        <v>47346</v>
      </c>
      <c r="G370" t="s">
        <v>745</v>
      </c>
      <c r="H370" t="s">
        <v>76</v>
      </c>
      <c r="I370" t="s">
        <v>2062</v>
      </c>
    </row>
    <row r="371" spans="1:9" x14ac:dyDescent="0.2">
      <c r="A371" t="s">
        <v>2063</v>
      </c>
      <c r="D371" t="str">
        <f>HYPERLINK("http://nlpdeep.cs.uic.edu:8080/proofing/t5/47346-past-medical-history-0-2.pdf","t5/47346-past-medical-history-0-2.pdf")</f>
        <v>t5/47346-past-medical-history-0-2.pdf</v>
      </c>
      <c r="E371">
        <v>118760</v>
      </c>
      <c r="F371">
        <v>47346</v>
      </c>
      <c r="G371" t="s">
        <v>745</v>
      </c>
      <c r="H371" t="s">
        <v>76</v>
      </c>
      <c r="I371" t="s">
        <v>2064</v>
      </c>
    </row>
    <row r="372" spans="1:9" x14ac:dyDescent="0.2">
      <c r="A372" t="s">
        <v>2063</v>
      </c>
      <c r="D372" t="str">
        <f>HYPERLINK("http://nlpdeep.cs.uic.edu:8080/proofing/gsii/47346-past-medical-history-0-2.pdf","gsii/47346-past-medical-history-0-2.pdf")</f>
        <v>gsii/47346-past-medical-history-0-2.pdf</v>
      </c>
      <c r="E372">
        <v>118760</v>
      </c>
      <c r="F372">
        <v>47346</v>
      </c>
      <c r="G372" t="s">
        <v>745</v>
      </c>
      <c r="H372" t="s">
        <v>76</v>
      </c>
      <c r="I372" t="s">
        <v>2064</v>
      </c>
    </row>
    <row r="373" spans="1:9" x14ac:dyDescent="0.2">
      <c r="A373" t="s">
        <v>2065</v>
      </c>
      <c r="D373" t="str">
        <f>HYPERLINK("http://nlpdeep.cs.uic.edu:8080/proofing/t5/47346-social-history-0-0.pdf","t5/47346-social-history-0-0.pdf")</f>
        <v>t5/47346-social-history-0-0.pdf</v>
      </c>
      <c r="E373">
        <v>118760</v>
      </c>
      <c r="F373">
        <v>47346</v>
      </c>
      <c r="G373" t="s">
        <v>745</v>
      </c>
      <c r="H373" t="s">
        <v>118</v>
      </c>
      <c r="I373" t="s">
        <v>2066</v>
      </c>
    </row>
    <row r="374" spans="1:9" x14ac:dyDescent="0.2">
      <c r="A374" t="s">
        <v>2065</v>
      </c>
      <c r="D374" t="str">
        <f>HYPERLINK("http://nlpdeep.cs.uic.edu:8080/proofing/gsii/47346-social-history-0-0.pdf","gsii/47346-social-history-0-0.pdf")</f>
        <v>gsii/47346-social-history-0-0.pdf</v>
      </c>
      <c r="E374">
        <v>118760</v>
      </c>
      <c r="F374">
        <v>47346</v>
      </c>
      <c r="G374" t="s">
        <v>745</v>
      </c>
      <c r="H374" t="s">
        <v>118</v>
      </c>
      <c r="I374" t="s">
        <v>2066</v>
      </c>
    </row>
    <row r="375" spans="1:9" x14ac:dyDescent="0.2">
      <c r="A375" t="s">
        <v>2067</v>
      </c>
      <c r="D375" t="str">
        <f>HYPERLINK("http://nlpdeep.cs.uic.edu:8080/proofing/t5/47346-social-history-0-1.pdf","t5/47346-social-history-0-1.pdf")</f>
        <v>t5/47346-social-history-0-1.pdf</v>
      </c>
      <c r="E375">
        <v>118760</v>
      </c>
      <c r="F375">
        <v>47346</v>
      </c>
      <c r="G375" t="s">
        <v>745</v>
      </c>
      <c r="H375" t="s">
        <v>118</v>
      </c>
      <c r="I375" t="s">
        <v>2068</v>
      </c>
    </row>
    <row r="376" spans="1:9" x14ac:dyDescent="0.2">
      <c r="A376" t="s">
        <v>2067</v>
      </c>
      <c r="D376" t="str">
        <f>HYPERLINK("http://nlpdeep.cs.uic.edu:8080/proofing/gsii/47346-social-history-0-1.pdf","gsii/47346-social-history-0-1.pdf")</f>
        <v>gsii/47346-social-history-0-1.pdf</v>
      </c>
      <c r="E376">
        <v>118760</v>
      </c>
      <c r="F376">
        <v>47346</v>
      </c>
      <c r="G376" t="s">
        <v>745</v>
      </c>
      <c r="H376" t="s">
        <v>118</v>
      </c>
      <c r="I376" t="s">
        <v>2068</v>
      </c>
    </row>
    <row r="377" spans="1:9" x14ac:dyDescent="0.2">
      <c r="A377" t="s">
        <v>2069</v>
      </c>
      <c r="D377" t="str">
        <f>HYPERLINK("http://nlpdeep.cs.uic.edu:8080/proofing/t5/47346-social-history-0-2.pdf","t5/47346-social-history-0-2.pdf")</f>
        <v>t5/47346-social-history-0-2.pdf</v>
      </c>
      <c r="E377">
        <v>118760</v>
      </c>
      <c r="F377">
        <v>47346</v>
      </c>
      <c r="G377" t="s">
        <v>745</v>
      </c>
      <c r="H377" t="s">
        <v>118</v>
      </c>
      <c r="I377" t="s">
        <v>2070</v>
      </c>
    </row>
    <row r="378" spans="1:9" x14ac:dyDescent="0.2">
      <c r="A378" t="s">
        <v>2069</v>
      </c>
      <c r="D378" t="str">
        <f>HYPERLINK("http://nlpdeep.cs.uic.edu:8080/proofing/gsii/47346-social-history-0-2.pdf","gsii/47346-social-history-0-2.pdf")</f>
        <v>gsii/47346-social-history-0-2.pdf</v>
      </c>
      <c r="E378">
        <v>118760</v>
      </c>
      <c r="F378">
        <v>47346</v>
      </c>
      <c r="G378" t="s">
        <v>745</v>
      </c>
      <c r="H378" t="s">
        <v>118</v>
      </c>
      <c r="I378" t="s">
        <v>2070</v>
      </c>
    </row>
    <row r="379" spans="1:9" x14ac:dyDescent="0.2">
      <c r="A379" t="s">
        <v>2071</v>
      </c>
      <c r="D379" t="str">
        <f>HYPERLINK("http://nlpdeep.cs.uic.edu:8080/proofing/t5/47346-social-history-0-3.pdf","t5/47346-social-history-0-3.pdf")</f>
        <v>t5/47346-social-history-0-3.pdf</v>
      </c>
      <c r="E379">
        <v>118760</v>
      </c>
      <c r="F379">
        <v>47346</v>
      </c>
      <c r="G379" t="s">
        <v>745</v>
      </c>
      <c r="H379" t="s">
        <v>118</v>
      </c>
      <c r="I379" t="s">
        <v>2072</v>
      </c>
    </row>
    <row r="380" spans="1:9" x14ac:dyDescent="0.2">
      <c r="A380" t="s">
        <v>2071</v>
      </c>
      <c r="D380" t="str">
        <f>HYPERLINK("http://nlpdeep.cs.uic.edu:8080/proofing/gsii/47346-social-history-0-3.pdf","gsii/47346-social-history-0-3.pdf")</f>
        <v>gsii/47346-social-history-0-3.pdf</v>
      </c>
      <c r="E380">
        <v>118760</v>
      </c>
      <c r="F380">
        <v>47346</v>
      </c>
      <c r="G380" t="s">
        <v>745</v>
      </c>
      <c r="H380" t="s">
        <v>118</v>
      </c>
      <c r="I380" t="s">
        <v>2072</v>
      </c>
    </row>
    <row r="381" spans="1:9" x14ac:dyDescent="0.2">
      <c r="A381" t="s">
        <v>2073</v>
      </c>
      <c r="D381" t="str">
        <f>HYPERLINK("http://nlpdeep.cs.uic.edu:8080/proofing/t5/47346-family-history-0-0.pdf","t5/47346-family-history-0-0.pdf")</f>
        <v>t5/47346-family-history-0-0.pdf</v>
      </c>
      <c r="E381">
        <v>118760</v>
      </c>
      <c r="F381">
        <v>47346</v>
      </c>
      <c r="G381" t="s">
        <v>745</v>
      </c>
      <c r="H381" t="s">
        <v>107</v>
      </c>
      <c r="I381" t="s">
        <v>2074</v>
      </c>
    </row>
    <row r="382" spans="1:9" x14ac:dyDescent="0.2">
      <c r="A382" t="s">
        <v>2073</v>
      </c>
      <c r="D382" t="str">
        <f>HYPERLINK("http://nlpdeep.cs.uic.edu:8080/proofing/gsii/47346-family-history-0-0.pdf","gsii/47346-family-history-0-0.pdf")</f>
        <v>gsii/47346-family-history-0-0.pdf</v>
      </c>
      <c r="E382">
        <v>118760</v>
      </c>
      <c r="F382">
        <v>47346</v>
      </c>
      <c r="G382" t="s">
        <v>745</v>
      </c>
      <c r="H382" t="s">
        <v>107</v>
      </c>
      <c r="I382" t="s">
        <v>2074</v>
      </c>
    </row>
    <row r="383" spans="1:9" x14ac:dyDescent="0.2">
      <c r="A383" t="s">
        <v>2075</v>
      </c>
      <c r="D383" t="str">
        <f>HYPERLINK("http://nlpdeep.cs.uic.edu:8080/proofing/t5/47346-family-history-0-1.pdf","t5/47346-family-history-0-1.pdf")</f>
        <v>t5/47346-family-history-0-1.pdf</v>
      </c>
      <c r="E383">
        <v>118760</v>
      </c>
      <c r="F383">
        <v>47346</v>
      </c>
      <c r="G383" t="s">
        <v>745</v>
      </c>
      <c r="H383" t="s">
        <v>107</v>
      </c>
      <c r="I383" t="s">
        <v>2076</v>
      </c>
    </row>
    <row r="384" spans="1:9" x14ac:dyDescent="0.2">
      <c r="A384" t="s">
        <v>2075</v>
      </c>
      <c r="D384" t="str">
        <f>HYPERLINK("http://nlpdeep.cs.uic.edu:8080/proofing/gsii/47346-family-history-0-1.pdf","gsii/47346-family-history-0-1.pdf")</f>
        <v>gsii/47346-family-history-0-1.pdf</v>
      </c>
      <c r="E384">
        <v>118760</v>
      </c>
      <c r="F384">
        <v>47346</v>
      </c>
      <c r="G384" t="s">
        <v>745</v>
      </c>
      <c r="H384" t="s">
        <v>107</v>
      </c>
      <c r="I384" t="s">
        <v>2076</v>
      </c>
    </row>
    <row r="385" spans="1:9" x14ac:dyDescent="0.2">
      <c r="A385" t="s">
        <v>2077</v>
      </c>
      <c r="D385" t="str">
        <f>HYPERLINK("http://nlpdeep.cs.uic.edu:8080/proofing/t5/47346-physical-examination-0-0.pdf","t5/47346-physical-examination-0-0.pdf")</f>
        <v>t5/47346-physical-examination-0-0.pdf</v>
      </c>
      <c r="E385">
        <v>118760</v>
      </c>
      <c r="F385">
        <v>47346</v>
      </c>
      <c r="G385" t="s">
        <v>745</v>
      </c>
      <c r="H385" t="s">
        <v>138</v>
      </c>
    </row>
    <row r="386" spans="1:9" x14ac:dyDescent="0.2">
      <c r="A386" t="s">
        <v>2077</v>
      </c>
      <c r="D386" t="str">
        <f>HYPERLINK("http://nlpdeep.cs.uic.edu:8080/proofing/gsii/47346-physical-examination-0-0.pdf","gsii/47346-physical-examination-0-0.pdf")</f>
        <v>gsii/47346-physical-examination-0-0.pdf</v>
      </c>
      <c r="E386">
        <v>118760</v>
      </c>
      <c r="F386">
        <v>47346</v>
      </c>
      <c r="G386" t="s">
        <v>745</v>
      </c>
      <c r="H386" t="s">
        <v>138</v>
      </c>
    </row>
    <row r="387" spans="1:9" x14ac:dyDescent="0.2">
      <c r="A387" t="s">
        <v>2078</v>
      </c>
      <c r="D387" t="str">
        <f>HYPERLINK("http://nlpdeep.cs.uic.edu:8080/proofing/t5/47346-physical-examination-1-0.pdf","t5/47346-physical-examination-1-0.pdf")</f>
        <v>t5/47346-physical-examination-1-0.pdf</v>
      </c>
      <c r="E387">
        <v>118760</v>
      </c>
      <c r="F387">
        <v>47346</v>
      </c>
      <c r="G387" t="s">
        <v>745</v>
      </c>
      <c r="H387" t="s">
        <v>138</v>
      </c>
      <c r="I387" t="s">
        <v>2079</v>
      </c>
    </row>
    <row r="388" spans="1:9" x14ac:dyDescent="0.2">
      <c r="A388" t="s">
        <v>2078</v>
      </c>
      <c r="D388" t="str">
        <f>HYPERLINK("http://nlpdeep.cs.uic.edu:8080/proofing/gsii/47346-physical-examination-1-0.pdf","gsii/47346-physical-examination-1-0.pdf")</f>
        <v>gsii/47346-physical-examination-1-0.pdf</v>
      </c>
      <c r="E388">
        <v>118760</v>
      </c>
      <c r="F388">
        <v>47346</v>
      </c>
      <c r="G388" t="s">
        <v>745</v>
      </c>
      <c r="H388" t="s">
        <v>138</v>
      </c>
      <c r="I388" t="s">
        <v>2079</v>
      </c>
    </row>
    <row r="389" spans="1:9" x14ac:dyDescent="0.2">
      <c r="A389" t="s">
        <v>2080</v>
      </c>
      <c r="D389" t="str">
        <f>HYPERLINK("http://nlpdeep.cs.uic.edu:8080/proofing/t5/47346-physical-examination-1-1.pdf","t5/47346-physical-examination-1-1.pdf")</f>
        <v>t5/47346-physical-examination-1-1.pdf</v>
      </c>
      <c r="E389">
        <v>118760</v>
      </c>
      <c r="F389">
        <v>47346</v>
      </c>
      <c r="G389" t="s">
        <v>745</v>
      </c>
      <c r="H389" t="s">
        <v>138</v>
      </c>
      <c r="I389" t="s">
        <v>2081</v>
      </c>
    </row>
    <row r="390" spans="1:9" x14ac:dyDescent="0.2">
      <c r="A390" t="s">
        <v>2080</v>
      </c>
      <c r="D390" t="str">
        <f>HYPERLINK("http://nlpdeep.cs.uic.edu:8080/proofing/gsii/47346-physical-examination-1-1.pdf","gsii/47346-physical-examination-1-1.pdf")</f>
        <v>gsii/47346-physical-examination-1-1.pdf</v>
      </c>
      <c r="E390">
        <v>118760</v>
      </c>
      <c r="F390">
        <v>47346</v>
      </c>
      <c r="G390" t="s">
        <v>745</v>
      </c>
      <c r="H390" t="s">
        <v>138</v>
      </c>
      <c r="I390" t="s">
        <v>2081</v>
      </c>
    </row>
    <row r="391" spans="1:9" x14ac:dyDescent="0.2">
      <c r="A391" t="s">
        <v>2082</v>
      </c>
      <c r="D391" t="str">
        <f>HYPERLINK("http://nlpdeep.cs.uic.edu:8080/proofing/t5/47346-physical-examination-1-2.pdf","t5/47346-physical-examination-1-2.pdf")</f>
        <v>t5/47346-physical-examination-1-2.pdf</v>
      </c>
      <c r="E391">
        <v>118760</v>
      </c>
      <c r="F391">
        <v>47346</v>
      </c>
      <c r="G391" t="s">
        <v>745</v>
      </c>
      <c r="H391" t="s">
        <v>138</v>
      </c>
      <c r="I391" t="s">
        <v>2083</v>
      </c>
    </row>
    <row r="392" spans="1:9" x14ac:dyDescent="0.2">
      <c r="A392" t="s">
        <v>2082</v>
      </c>
      <c r="D392" t="str">
        <f>HYPERLINK("http://nlpdeep.cs.uic.edu:8080/proofing/gsii/47346-physical-examination-1-2.pdf","gsii/47346-physical-examination-1-2.pdf")</f>
        <v>gsii/47346-physical-examination-1-2.pdf</v>
      </c>
      <c r="E392">
        <v>118760</v>
      </c>
      <c r="F392">
        <v>47346</v>
      </c>
      <c r="G392" t="s">
        <v>745</v>
      </c>
      <c r="H392" t="s">
        <v>138</v>
      </c>
      <c r="I392" t="s">
        <v>2083</v>
      </c>
    </row>
    <row r="393" spans="1:9" x14ac:dyDescent="0.2">
      <c r="A393" t="s">
        <v>2084</v>
      </c>
      <c r="D393" t="str">
        <f>HYPERLINK("http://nlpdeep.cs.uic.edu:8080/proofing/t5/47346-physical-examination-1-3.pdf","t5/47346-physical-examination-1-3.pdf")</f>
        <v>t5/47346-physical-examination-1-3.pdf</v>
      </c>
      <c r="E393">
        <v>118760</v>
      </c>
      <c r="F393">
        <v>47346</v>
      </c>
      <c r="G393" t="s">
        <v>745</v>
      </c>
      <c r="H393" t="s">
        <v>138</v>
      </c>
      <c r="I393" t="s">
        <v>2085</v>
      </c>
    </row>
    <row r="394" spans="1:9" x14ac:dyDescent="0.2">
      <c r="A394" t="s">
        <v>2084</v>
      </c>
      <c r="D394" t="str">
        <f>HYPERLINK("http://nlpdeep.cs.uic.edu:8080/proofing/gsii/47346-physical-examination-1-3.pdf","gsii/47346-physical-examination-1-3.pdf")</f>
        <v>gsii/47346-physical-examination-1-3.pdf</v>
      </c>
      <c r="E394">
        <v>118760</v>
      </c>
      <c r="F394">
        <v>47346</v>
      </c>
      <c r="G394" t="s">
        <v>745</v>
      </c>
      <c r="H394" t="s">
        <v>138</v>
      </c>
      <c r="I394" t="s">
        <v>2085</v>
      </c>
    </row>
    <row r="395" spans="1:9" x14ac:dyDescent="0.2">
      <c r="A395" t="s">
        <v>2086</v>
      </c>
      <c r="D395" t="str">
        <f>HYPERLINK("http://nlpdeep.cs.uic.edu:8080/proofing/t5/47346-physical-examination-1-4.pdf","t5/47346-physical-examination-1-4.pdf")</f>
        <v>t5/47346-physical-examination-1-4.pdf</v>
      </c>
      <c r="E395">
        <v>118760</v>
      </c>
      <c r="F395">
        <v>47346</v>
      </c>
      <c r="G395" t="s">
        <v>745</v>
      </c>
      <c r="H395" t="s">
        <v>138</v>
      </c>
      <c r="I395" t="s">
        <v>2087</v>
      </c>
    </row>
    <row r="396" spans="1:9" x14ac:dyDescent="0.2">
      <c r="A396" t="s">
        <v>2086</v>
      </c>
      <c r="D396" t="str">
        <f>HYPERLINK("http://nlpdeep.cs.uic.edu:8080/proofing/gsii/47346-physical-examination-1-4.pdf","gsii/47346-physical-examination-1-4.pdf")</f>
        <v>gsii/47346-physical-examination-1-4.pdf</v>
      </c>
      <c r="E396">
        <v>118760</v>
      </c>
      <c r="F396">
        <v>47346</v>
      </c>
      <c r="G396" t="s">
        <v>745</v>
      </c>
      <c r="H396" t="s">
        <v>138</v>
      </c>
      <c r="I396" t="s">
        <v>2087</v>
      </c>
    </row>
    <row r="397" spans="1:9" x14ac:dyDescent="0.2">
      <c r="A397" t="s">
        <v>2088</v>
      </c>
      <c r="D397" t="str">
        <f>HYPERLINK("http://nlpdeep.cs.uic.edu:8080/proofing/t5/47346-physical-examination-1-5.pdf","t5/47346-physical-examination-1-5.pdf")</f>
        <v>t5/47346-physical-examination-1-5.pdf</v>
      </c>
      <c r="E397">
        <v>118760</v>
      </c>
      <c r="F397">
        <v>47346</v>
      </c>
      <c r="G397" t="s">
        <v>745</v>
      </c>
      <c r="H397" t="s">
        <v>138</v>
      </c>
      <c r="I397" t="s">
        <v>2089</v>
      </c>
    </row>
    <row r="398" spans="1:9" x14ac:dyDescent="0.2">
      <c r="A398" t="s">
        <v>2088</v>
      </c>
      <c r="D398" t="str">
        <f>HYPERLINK("http://nlpdeep.cs.uic.edu:8080/proofing/gsii/47346-physical-examination-1-5.pdf","gsii/47346-physical-examination-1-5.pdf")</f>
        <v>gsii/47346-physical-examination-1-5.pdf</v>
      </c>
      <c r="E398">
        <v>118760</v>
      </c>
      <c r="F398">
        <v>47346</v>
      </c>
      <c r="G398" t="s">
        <v>745</v>
      </c>
      <c r="H398" t="s">
        <v>138</v>
      </c>
      <c r="I398" t="s">
        <v>2089</v>
      </c>
    </row>
    <row r="399" spans="1:9" x14ac:dyDescent="0.2">
      <c r="A399" t="s">
        <v>2090</v>
      </c>
      <c r="D399" t="str">
        <f>HYPERLINK("http://nlpdeep.cs.uic.edu:8080/proofing/t5/47346-physical-examination-1-6.pdf","t5/47346-physical-examination-1-6.pdf")</f>
        <v>t5/47346-physical-examination-1-6.pdf</v>
      </c>
      <c r="E399">
        <v>118760</v>
      </c>
      <c r="F399">
        <v>47346</v>
      </c>
      <c r="G399" t="s">
        <v>745</v>
      </c>
      <c r="H399" t="s">
        <v>138</v>
      </c>
      <c r="I399" t="s">
        <v>2091</v>
      </c>
    </row>
    <row r="400" spans="1:9" x14ac:dyDescent="0.2">
      <c r="A400" t="s">
        <v>2090</v>
      </c>
      <c r="D400" t="str">
        <f>HYPERLINK("http://nlpdeep.cs.uic.edu:8080/proofing/gsii/47346-physical-examination-1-6.pdf","gsii/47346-physical-examination-1-6.pdf")</f>
        <v>gsii/47346-physical-examination-1-6.pdf</v>
      </c>
      <c r="E400">
        <v>118760</v>
      </c>
      <c r="F400">
        <v>47346</v>
      </c>
      <c r="G400" t="s">
        <v>745</v>
      </c>
      <c r="H400" t="s">
        <v>138</v>
      </c>
      <c r="I400" t="s">
        <v>2091</v>
      </c>
    </row>
    <row r="401" spans="1:9" x14ac:dyDescent="0.2">
      <c r="A401" t="s">
        <v>2092</v>
      </c>
      <c r="D401" t="str">
        <f>HYPERLINK("http://nlpdeep.cs.uic.edu:8080/proofing/t5/47346-physical-examination-1-7.pdf","t5/47346-physical-examination-1-7.pdf")</f>
        <v>t5/47346-physical-examination-1-7.pdf</v>
      </c>
      <c r="E401">
        <v>118760</v>
      </c>
      <c r="F401">
        <v>47346</v>
      </c>
      <c r="G401" t="s">
        <v>745</v>
      </c>
      <c r="H401" t="s">
        <v>138</v>
      </c>
      <c r="I401" t="s">
        <v>2093</v>
      </c>
    </row>
    <row r="402" spans="1:9" x14ac:dyDescent="0.2">
      <c r="A402" t="s">
        <v>2092</v>
      </c>
      <c r="D402" t="str">
        <f>HYPERLINK("http://nlpdeep.cs.uic.edu:8080/proofing/gsii/47346-physical-examination-1-7.pdf","gsii/47346-physical-examination-1-7.pdf")</f>
        <v>gsii/47346-physical-examination-1-7.pdf</v>
      </c>
      <c r="E402">
        <v>118760</v>
      </c>
      <c r="F402">
        <v>47346</v>
      </c>
      <c r="G402" t="s">
        <v>745</v>
      </c>
      <c r="H402" t="s">
        <v>138</v>
      </c>
      <c r="I402" t="s">
        <v>2093</v>
      </c>
    </row>
    <row r="403" spans="1:9" x14ac:dyDescent="0.2">
      <c r="A403" t="s">
        <v>2094</v>
      </c>
      <c r="D403" t="str">
        <f>HYPERLINK("http://nlpdeep.cs.uic.edu:8080/proofing/t5/47346-physical-examination-1-8.pdf","t5/47346-physical-examination-1-8.pdf")</f>
        <v>t5/47346-physical-examination-1-8.pdf</v>
      </c>
      <c r="E403">
        <v>118760</v>
      </c>
      <c r="F403">
        <v>47346</v>
      </c>
      <c r="G403" t="s">
        <v>745</v>
      </c>
      <c r="H403" t="s">
        <v>138</v>
      </c>
      <c r="I403" t="s">
        <v>2095</v>
      </c>
    </row>
    <row r="404" spans="1:9" x14ac:dyDescent="0.2">
      <c r="A404" t="s">
        <v>2094</v>
      </c>
      <c r="D404" t="str">
        <f>HYPERLINK("http://nlpdeep.cs.uic.edu:8080/proofing/gsii/47346-physical-examination-1-8.pdf","gsii/47346-physical-examination-1-8.pdf")</f>
        <v>gsii/47346-physical-examination-1-8.pdf</v>
      </c>
      <c r="E404">
        <v>118760</v>
      </c>
      <c r="F404">
        <v>47346</v>
      </c>
      <c r="G404" t="s">
        <v>745</v>
      </c>
      <c r="H404" t="s">
        <v>138</v>
      </c>
      <c r="I404" t="s">
        <v>2095</v>
      </c>
    </row>
    <row r="405" spans="1:9" x14ac:dyDescent="0.2">
      <c r="A405" t="s">
        <v>2096</v>
      </c>
      <c r="D405" t="str">
        <f>HYPERLINK("http://nlpdeep.cs.uic.edu:8080/proofing/t5/47346-physical-examination-1-9.pdf","t5/47346-physical-examination-1-9.pdf")</f>
        <v>t5/47346-physical-examination-1-9.pdf</v>
      </c>
      <c r="E405">
        <v>118760</v>
      </c>
      <c r="F405">
        <v>47346</v>
      </c>
      <c r="G405" t="s">
        <v>745</v>
      </c>
      <c r="H405" t="s">
        <v>138</v>
      </c>
      <c r="I405" t="s">
        <v>2097</v>
      </c>
    </row>
    <row r="406" spans="1:9" x14ac:dyDescent="0.2">
      <c r="A406" t="s">
        <v>2096</v>
      </c>
      <c r="D406" t="str">
        <f>HYPERLINK("http://nlpdeep.cs.uic.edu:8080/proofing/gsii/47346-physical-examination-1-9.pdf","gsii/47346-physical-examination-1-9.pdf")</f>
        <v>gsii/47346-physical-examination-1-9.pdf</v>
      </c>
      <c r="E406">
        <v>118760</v>
      </c>
      <c r="F406">
        <v>47346</v>
      </c>
      <c r="G406" t="s">
        <v>745</v>
      </c>
      <c r="H406" t="s">
        <v>138</v>
      </c>
      <c r="I406" t="s">
        <v>2097</v>
      </c>
    </row>
    <row r="407" spans="1:9" x14ac:dyDescent="0.2">
      <c r="A407" t="s">
        <v>2098</v>
      </c>
      <c r="D407" t="str">
        <f>HYPERLINK("http://nlpdeep.cs.uic.edu:8080/proofing/t5/47346-physical-examination-1-10.pdf","t5/47346-physical-examination-1-10.pdf")</f>
        <v>t5/47346-physical-examination-1-10.pdf</v>
      </c>
      <c r="E407">
        <v>118760</v>
      </c>
      <c r="F407">
        <v>47346</v>
      </c>
      <c r="G407" t="s">
        <v>745</v>
      </c>
      <c r="H407" t="s">
        <v>138</v>
      </c>
      <c r="I407" t="s">
        <v>2099</v>
      </c>
    </row>
    <row r="408" spans="1:9" x14ac:dyDescent="0.2">
      <c r="A408" t="s">
        <v>2098</v>
      </c>
      <c r="D408" t="str">
        <f>HYPERLINK("http://nlpdeep.cs.uic.edu:8080/proofing/gsii/47346-physical-examination-1-10.pdf","gsii/47346-physical-examination-1-10.pdf")</f>
        <v>gsii/47346-physical-examination-1-10.pdf</v>
      </c>
      <c r="E408">
        <v>118760</v>
      </c>
      <c r="F408">
        <v>47346</v>
      </c>
      <c r="G408" t="s">
        <v>745</v>
      </c>
      <c r="H408" t="s">
        <v>138</v>
      </c>
      <c r="I408" t="s">
        <v>2099</v>
      </c>
    </row>
    <row r="409" spans="1:9" x14ac:dyDescent="0.2">
      <c r="A409" t="s">
        <v>2100</v>
      </c>
      <c r="D409" t="str">
        <f>HYPERLINK("http://nlpdeep.cs.uic.edu:8080/proofing/t5/47346-physical-examination-1-11.pdf","t5/47346-physical-examination-1-11.pdf")</f>
        <v>t5/47346-physical-examination-1-11.pdf</v>
      </c>
      <c r="E409">
        <v>118760</v>
      </c>
      <c r="F409">
        <v>47346</v>
      </c>
      <c r="G409" t="s">
        <v>745</v>
      </c>
      <c r="H409" t="s">
        <v>138</v>
      </c>
      <c r="I409" t="s">
        <v>2101</v>
      </c>
    </row>
    <row r="410" spans="1:9" x14ac:dyDescent="0.2">
      <c r="A410" t="s">
        <v>2100</v>
      </c>
      <c r="D410" t="str">
        <f>HYPERLINK("http://nlpdeep.cs.uic.edu:8080/proofing/gsii/47346-physical-examination-1-11.pdf","gsii/47346-physical-examination-1-11.pdf")</f>
        <v>gsii/47346-physical-examination-1-11.pdf</v>
      </c>
      <c r="E410">
        <v>118760</v>
      </c>
      <c r="F410">
        <v>47346</v>
      </c>
      <c r="G410" t="s">
        <v>745</v>
      </c>
      <c r="H410" t="s">
        <v>138</v>
      </c>
      <c r="I410" t="s">
        <v>2101</v>
      </c>
    </row>
    <row r="411" spans="1:9" x14ac:dyDescent="0.2">
      <c r="A411" t="s">
        <v>2102</v>
      </c>
      <c r="D411" t="str">
        <f>HYPERLINK("http://nlpdeep.cs.uic.edu:8080/proofing/t5/47346-physical-examination-1-12.pdf","t5/47346-physical-examination-1-12.pdf")</f>
        <v>t5/47346-physical-examination-1-12.pdf</v>
      </c>
      <c r="E411">
        <v>118760</v>
      </c>
      <c r="F411">
        <v>47346</v>
      </c>
      <c r="G411" t="s">
        <v>745</v>
      </c>
      <c r="H411" t="s">
        <v>138</v>
      </c>
      <c r="I411" t="s">
        <v>2103</v>
      </c>
    </row>
    <row r="412" spans="1:9" x14ac:dyDescent="0.2">
      <c r="A412" t="s">
        <v>2102</v>
      </c>
      <c r="D412" t="str">
        <f>HYPERLINK("http://nlpdeep.cs.uic.edu:8080/proofing/gsii/47346-physical-examination-1-12.pdf","gsii/47346-physical-examination-1-12.pdf")</f>
        <v>gsii/47346-physical-examination-1-12.pdf</v>
      </c>
      <c r="E412">
        <v>118760</v>
      </c>
      <c r="F412">
        <v>47346</v>
      </c>
      <c r="G412" t="s">
        <v>745</v>
      </c>
      <c r="H412" t="s">
        <v>138</v>
      </c>
      <c r="I412" t="s">
        <v>2103</v>
      </c>
    </row>
    <row r="413" spans="1:9" x14ac:dyDescent="0.2">
      <c r="A413" t="s">
        <v>2104</v>
      </c>
      <c r="D413" t="str">
        <f>HYPERLINK("http://nlpdeep.cs.uic.edu:8080/proofing/t5/47346-physical-examination-1-13.pdf","t5/47346-physical-examination-1-13.pdf")</f>
        <v>t5/47346-physical-examination-1-13.pdf</v>
      </c>
      <c r="E413">
        <v>118760</v>
      </c>
      <c r="F413">
        <v>47346</v>
      </c>
      <c r="G413" t="s">
        <v>745</v>
      </c>
      <c r="H413" t="s">
        <v>138</v>
      </c>
      <c r="I413" t="s">
        <v>2105</v>
      </c>
    </row>
    <row r="414" spans="1:9" x14ac:dyDescent="0.2">
      <c r="A414" t="s">
        <v>2104</v>
      </c>
      <c r="D414" t="str">
        <f>HYPERLINK("http://nlpdeep.cs.uic.edu:8080/proofing/gsii/47346-physical-examination-1-13.pdf","gsii/47346-physical-examination-1-13.pdf")</f>
        <v>gsii/47346-physical-examination-1-13.pdf</v>
      </c>
      <c r="E414">
        <v>118760</v>
      </c>
      <c r="F414">
        <v>47346</v>
      </c>
      <c r="G414" t="s">
        <v>745</v>
      </c>
      <c r="H414" t="s">
        <v>138</v>
      </c>
      <c r="I414" t="s">
        <v>2105</v>
      </c>
    </row>
    <row r="415" spans="1:9" x14ac:dyDescent="0.2">
      <c r="A415" t="s">
        <v>2106</v>
      </c>
      <c r="D415" t="str">
        <f>HYPERLINK("http://nlpdeep.cs.uic.edu:8080/proofing/t5/47346-physical-examination-1-14.pdf","t5/47346-physical-examination-1-14.pdf")</f>
        <v>t5/47346-physical-examination-1-14.pdf</v>
      </c>
      <c r="E415">
        <v>118760</v>
      </c>
      <c r="F415">
        <v>47346</v>
      </c>
      <c r="G415" t="s">
        <v>745</v>
      </c>
      <c r="H415" t="s">
        <v>138</v>
      </c>
      <c r="I415" t="s">
        <v>2107</v>
      </c>
    </row>
    <row r="416" spans="1:9" x14ac:dyDescent="0.2">
      <c r="A416" t="s">
        <v>2106</v>
      </c>
      <c r="D416" t="str">
        <f>HYPERLINK("http://nlpdeep.cs.uic.edu:8080/proofing/gsii/47346-physical-examination-1-14.pdf","gsii/47346-physical-examination-1-14.pdf")</f>
        <v>gsii/47346-physical-examination-1-14.pdf</v>
      </c>
      <c r="E416">
        <v>118760</v>
      </c>
      <c r="F416">
        <v>47346</v>
      </c>
      <c r="G416" t="s">
        <v>745</v>
      </c>
      <c r="H416" t="s">
        <v>138</v>
      </c>
      <c r="I416" t="s">
        <v>2107</v>
      </c>
    </row>
    <row r="417" spans="1:9" x14ac:dyDescent="0.2">
      <c r="A417" t="s">
        <v>2108</v>
      </c>
      <c r="D417" t="str">
        <f>HYPERLINK("http://nlpdeep.cs.uic.edu:8080/proofing/t5/47346-physical-examination-1-15.pdf","t5/47346-physical-examination-1-15.pdf")</f>
        <v>t5/47346-physical-examination-1-15.pdf</v>
      </c>
      <c r="E417">
        <v>118760</v>
      </c>
      <c r="F417">
        <v>47346</v>
      </c>
      <c r="G417" t="s">
        <v>745</v>
      </c>
      <c r="H417" t="s">
        <v>138</v>
      </c>
      <c r="I417" t="s">
        <v>2109</v>
      </c>
    </row>
    <row r="418" spans="1:9" x14ac:dyDescent="0.2">
      <c r="A418" t="s">
        <v>2108</v>
      </c>
      <c r="D418" t="str">
        <f>HYPERLINK("http://nlpdeep.cs.uic.edu:8080/proofing/gsii/47346-physical-examination-1-15.pdf","gsii/47346-physical-examination-1-15.pdf")</f>
        <v>gsii/47346-physical-examination-1-15.pdf</v>
      </c>
      <c r="E418">
        <v>118760</v>
      </c>
      <c r="F418">
        <v>47346</v>
      </c>
      <c r="G418" t="s">
        <v>745</v>
      </c>
      <c r="H418" t="s">
        <v>138</v>
      </c>
      <c r="I418" t="s">
        <v>2109</v>
      </c>
    </row>
    <row r="419" spans="1:9" x14ac:dyDescent="0.2">
      <c r="A419" t="s">
        <v>2110</v>
      </c>
      <c r="D419" t="str">
        <f>HYPERLINK("http://nlpdeep.cs.uic.edu:8080/proofing/t5/47346-physical-examination-1-16.pdf","t5/47346-physical-examination-1-16.pdf")</f>
        <v>t5/47346-physical-examination-1-16.pdf</v>
      </c>
      <c r="E419">
        <v>118760</v>
      </c>
      <c r="F419">
        <v>47346</v>
      </c>
      <c r="G419" t="s">
        <v>745</v>
      </c>
      <c r="H419" t="s">
        <v>138</v>
      </c>
      <c r="I419" t="s">
        <v>2111</v>
      </c>
    </row>
    <row r="420" spans="1:9" x14ac:dyDescent="0.2">
      <c r="A420" t="s">
        <v>2110</v>
      </c>
      <c r="D420" t="str">
        <f>HYPERLINK("http://nlpdeep.cs.uic.edu:8080/proofing/gsii/47346-physical-examination-1-16.pdf","gsii/47346-physical-examination-1-16.pdf")</f>
        <v>gsii/47346-physical-examination-1-16.pdf</v>
      </c>
      <c r="E420">
        <v>118760</v>
      </c>
      <c r="F420">
        <v>47346</v>
      </c>
      <c r="G420" t="s">
        <v>745</v>
      </c>
      <c r="H420" t="s">
        <v>138</v>
      </c>
      <c r="I420" t="s">
        <v>2111</v>
      </c>
    </row>
    <row r="421" spans="1:9" x14ac:dyDescent="0.2">
      <c r="A421" t="s">
        <v>2112</v>
      </c>
      <c r="D421" t="str">
        <f>HYPERLINK("http://nlpdeep.cs.uic.edu:8080/proofing/t5/47346-physical-examination-1-17.pdf","t5/47346-physical-examination-1-17.pdf")</f>
        <v>t5/47346-physical-examination-1-17.pdf</v>
      </c>
      <c r="E421">
        <v>118760</v>
      </c>
      <c r="F421">
        <v>47346</v>
      </c>
      <c r="G421" t="s">
        <v>745</v>
      </c>
      <c r="H421" t="s">
        <v>138</v>
      </c>
      <c r="I421" t="s">
        <v>2113</v>
      </c>
    </row>
    <row r="422" spans="1:9" x14ac:dyDescent="0.2">
      <c r="A422" t="s">
        <v>2112</v>
      </c>
      <c r="D422" t="str">
        <f>HYPERLINK("http://nlpdeep.cs.uic.edu:8080/proofing/gsii/47346-physical-examination-1-17.pdf","gsii/47346-physical-examination-1-17.pdf")</f>
        <v>gsii/47346-physical-examination-1-17.pdf</v>
      </c>
      <c r="E422">
        <v>118760</v>
      </c>
      <c r="F422">
        <v>47346</v>
      </c>
      <c r="G422" t="s">
        <v>745</v>
      </c>
      <c r="H422" t="s">
        <v>138</v>
      </c>
      <c r="I422" t="s">
        <v>2113</v>
      </c>
    </row>
    <row r="423" spans="1:9" x14ac:dyDescent="0.2">
      <c r="A423" t="s">
        <v>2114</v>
      </c>
      <c r="D423" t="str">
        <f>HYPERLINK("http://nlpdeep.cs.uic.edu:8080/proofing/t5/47346-physical-examination-1-18.pdf","t5/47346-physical-examination-1-18.pdf")</f>
        <v>t5/47346-physical-examination-1-18.pdf</v>
      </c>
      <c r="E423">
        <v>118760</v>
      </c>
      <c r="F423">
        <v>47346</v>
      </c>
      <c r="G423" t="s">
        <v>745</v>
      </c>
      <c r="H423" t="s">
        <v>138</v>
      </c>
      <c r="I423" t="s">
        <v>2115</v>
      </c>
    </row>
    <row r="424" spans="1:9" x14ac:dyDescent="0.2">
      <c r="A424" t="s">
        <v>2114</v>
      </c>
      <c r="D424" t="str">
        <f>HYPERLINK("http://nlpdeep.cs.uic.edu:8080/proofing/gsii/47346-physical-examination-1-18.pdf","gsii/47346-physical-examination-1-18.pdf")</f>
        <v>gsii/47346-physical-examination-1-18.pdf</v>
      </c>
      <c r="E424">
        <v>118760</v>
      </c>
      <c r="F424">
        <v>47346</v>
      </c>
      <c r="G424" t="s">
        <v>745</v>
      </c>
      <c r="H424" t="s">
        <v>138</v>
      </c>
      <c r="I424" t="s">
        <v>2115</v>
      </c>
    </row>
    <row r="425" spans="1:9" x14ac:dyDescent="0.2">
      <c r="A425" t="s">
        <v>2116</v>
      </c>
      <c r="D425" t="str">
        <f>HYPERLINK("http://nlpdeep.cs.uic.edu:8080/proofing/t5/47346-physical-examination-1-19.pdf","t5/47346-physical-examination-1-19.pdf")</f>
        <v>t5/47346-physical-examination-1-19.pdf</v>
      </c>
      <c r="E425">
        <v>118760</v>
      </c>
      <c r="F425">
        <v>47346</v>
      </c>
      <c r="G425" t="s">
        <v>745</v>
      </c>
      <c r="H425" t="s">
        <v>138</v>
      </c>
      <c r="I425" t="s">
        <v>2117</v>
      </c>
    </row>
    <row r="426" spans="1:9" x14ac:dyDescent="0.2">
      <c r="A426" t="s">
        <v>2116</v>
      </c>
      <c r="D426" t="str">
        <f>HYPERLINK("http://nlpdeep.cs.uic.edu:8080/proofing/gsii/47346-physical-examination-1-19.pdf","gsii/47346-physical-examination-1-19.pdf")</f>
        <v>gsii/47346-physical-examination-1-19.pdf</v>
      </c>
      <c r="E426">
        <v>118760</v>
      </c>
      <c r="F426">
        <v>47346</v>
      </c>
      <c r="G426" t="s">
        <v>745</v>
      </c>
      <c r="H426" t="s">
        <v>138</v>
      </c>
      <c r="I426" t="s">
        <v>2117</v>
      </c>
    </row>
    <row r="427" spans="1:9" x14ac:dyDescent="0.2">
      <c r="A427" t="s">
        <v>2118</v>
      </c>
      <c r="D427" t="str">
        <f>HYPERLINK("http://nlpdeep.cs.uic.edu:8080/proofing/t5/47346-physical-examination-1-20.pdf","t5/47346-physical-examination-1-20.pdf")</f>
        <v>t5/47346-physical-examination-1-20.pdf</v>
      </c>
      <c r="E427">
        <v>118760</v>
      </c>
      <c r="F427">
        <v>47346</v>
      </c>
      <c r="G427" t="s">
        <v>745</v>
      </c>
      <c r="H427" t="s">
        <v>138</v>
      </c>
      <c r="I427" t="s">
        <v>2119</v>
      </c>
    </row>
    <row r="428" spans="1:9" x14ac:dyDescent="0.2">
      <c r="A428" t="s">
        <v>2118</v>
      </c>
      <c r="D428" t="str">
        <f>HYPERLINK("http://nlpdeep.cs.uic.edu:8080/proofing/gsii/47346-physical-examination-1-20.pdf","gsii/47346-physical-examination-1-20.pdf")</f>
        <v>gsii/47346-physical-examination-1-20.pdf</v>
      </c>
      <c r="E428">
        <v>118760</v>
      </c>
      <c r="F428">
        <v>47346</v>
      </c>
      <c r="G428" t="s">
        <v>745</v>
      </c>
      <c r="H428" t="s">
        <v>138</v>
      </c>
      <c r="I428" t="s">
        <v>2119</v>
      </c>
    </row>
    <row r="429" spans="1:9" x14ac:dyDescent="0.2">
      <c r="A429" t="s">
        <v>2120</v>
      </c>
      <c r="D429" t="str">
        <f>HYPERLINK("http://nlpdeep.cs.uic.edu:8080/proofing/t5/47346-labs-imaging-0-0.pdf","t5/47346-labs-imaging-0-0.pdf")</f>
        <v>t5/47346-labs-imaging-0-0.pdf</v>
      </c>
      <c r="E429">
        <v>118760</v>
      </c>
      <c r="F429">
        <v>47346</v>
      </c>
      <c r="G429" t="s">
        <v>745</v>
      </c>
      <c r="H429" t="s">
        <v>147</v>
      </c>
      <c r="I429" t="s">
        <v>2121</v>
      </c>
    </row>
    <row r="430" spans="1:9" x14ac:dyDescent="0.2">
      <c r="A430" t="s">
        <v>2120</v>
      </c>
      <c r="D430" t="str">
        <f>HYPERLINK("http://nlpdeep.cs.uic.edu:8080/proofing/gsii/47346-labs-imaging-0-0.pdf","gsii/47346-labs-imaging-0-0.pdf")</f>
        <v>gsii/47346-labs-imaging-0-0.pdf</v>
      </c>
      <c r="E430">
        <v>118760</v>
      </c>
      <c r="F430">
        <v>47346</v>
      </c>
      <c r="G430" t="s">
        <v>745</v>
      </c>
      <c r="H430" t="s">
        <v>147</v>
      </c>
      <c r="I430" t="s">
        <v>2121</v>
      </c>
    </row>
    <row r="431" spans="1:9" x14ac:dyDescent="0.2">
      <c r="A431" t="s">
        <v>2122</v>
      </c>
      <c r="D431" t="str">
        <f>HYPERLINK("http://nlpdeep.cs.uic.edu:8080/proofing/t5/47346-labs-imaging-0-1.pdf","t5/47346-labs-imaging-0-1.pdf")</f>
        <v>t5/47346-labs-imaging-0-1.pdf</v>
      </c>
      <c r="E431">
        <v>118760</v>
      </c>
      <c r="F431">
        <v>47346</v>
      </c>
      <c r="G431" t="s">
        <v>745</v>
      </c>
      <c r="H431" t="s">
        <v>147</v>
      </c>
    </row>
    <row r="432" spans="1:9" x14ac:dyDescent="0.2">
      <c r="A432" t="s">
        <v>2122</v>
      </c>
      <c r="D432" t="str">
        <f>HYPERLINK("http://nlpdeep.cs.uic.edu:8080/proofing/gsii/47346-labs-imaging-0-1.pdf","gsii/47346-labs-imaging-0-1.pdf")</f>
        <v>gsii/47346-labs-imaging-0-1.pdf</v>
      </c>
      <c r="E432">
        <v>118760</v>
      </c>
      <c r="F432">
        <v>47346</v>
      </c>
      <c r="G432" t="s">
        <v>745</v>
      </c>
      <c r="H432" t="s">
        <v>147</v>
      </c>
    </row>
    <row r="433" spans="1:9" x14ac:dyDescent="0.2">
      <c r="A433" t="s">
        <v>2123</v>
      </c>
      <c r="D433" t="str">
        <f>HYPERLINK("http://nlpdeep.cs.uic.edu:8080/proofing/t5/47346-labs-imaging-1-0.pdf","t5/47346-labs-imaging-1-0.pdf")</f>
        <v>t5/47346-labs-imaging-1-0.pdf</v>
      </c>
      <c r="E433">
        <v>118760</v>
      </c>
      <c r="F433">
        <v>47346</v>
      </c>
      <c r="G433" t="s">
        <v>745</v>
      </c>
      <c r="H433" t="s">
        <v>147</v>
      </c>
    </row>
    <row r="434" spans="1:9" x14ac:dyDescent="0.2">
      <c r="A434" t="s">
        <v>2123</v>
      </c>
      <c r="D434" t="str">
        <f>HYPERLINK("http://nlpdeep.cs.uic.edu:8080/proofing/gsii/47346-labs-imaging-1-0.pdf","gsii/47346-labs-imaging-1-0.pdf")</f>
        <v>gsii/47346-labs-imaging-1-0.pdf</v>
      </c>
      <c r="E434">
        <v>118760</v>
      </c>
      <c r="F434">
        <v>47346</v>
      </c>
      <c r="G434" t="s">
        <v>745</v>
      </c>
      <c r="H434" t="s">
        <v>147</v>
      </c>
    </row>
    <row r="435" spans="1:9" x14ac:dyDescent="0.2">
      <c r="A435" t="s">
        <v>2124</v>
      </c>
      <c r="D435" t="str">
        <f>HYPERLINK("http://nlpdeep.cs.uic.edu:8080/proofing/t5/47346-labs-imaging-1-1.pdf","t5/47346-labs-imaging-1-1.pdf")</f>
        <v>t5/47346-labs-imaging-1-1.pdf</v>
      </c>
      <c r="E435">
        <v>118760</v>
      </c>
      <c r="F435">
        <v>47346</v>
      </c>
      <c r="G435" t="s">
        <v>745</v>
      </c>
      <c r="H435" t="s">
        <v>147</v>
      </c>
      <c r="I435" t="s">
        <v>2125</v>
      </c>
    </row>
    <row r="436" spans="1:9" x14ac:dyDescent="0.2">
      <c r="A436" t="s">
        <v>2124</v>
      </c>
      <c r="D436" t="str">
        <f>HYPERLINK("http://nlpdeep.cs.uic.edu:8080/proofing/gsii/47346-labs-imaging-1-1.pdf","gsii/47346-labs-imaging-1-1.pdf")</f>
        <v>gsii/47346-labs-imaging-1-1.pdf</v>
      </c>
      <c r="E436">
        <v>118760</v>
      </c>
      <c r="F436">
        <v>47346</v>
      </c>
      <c r="G436" t="s">
        <v>745</v>
      </c>
      <c r="H436" t="s">
        <v>147</v>
      </c>
      <c r="I436" t="s">
        <v>2125</v>
      </c>
    </row>
    <row r="437" spans="1:9" x14ac:dyDescent="0.2">
      <c r="A437" t="s">
        <v>2126</v>
      </c>
      <c r="D437" t="str">
        <f>HYPERLINK("http://nlpdeep.cs.uic.edu:8080/proofing/t5/47346-labs-imaging-1-2.pdf","t5/47346-labs-imaging-1-2.pdf")</f>
        <v>t5/47346-labs-imaging-1-2.pdf</v>
      </c>
      <c r="E437">
        <v>118760</v>
      </c>
      <c r="F437">
        <v>47346</v>
      </c>
      <c r="G437" t="s">
        <v>745</v>
      </c>
      <c r="H437" t="s">
        <v>147</v>
      </c>
    </row>
    <row r="438" spans="1:9" x14ac:dyDescent="0.2">
      <c r="A438" t="s">
        <v>2126</v>
      </c>
      <c r="D438" t="str">
        <f>HYPERLINK("http://nlpdeep.cs.uic.edu:8080/proofing/gsii/47346-labs-imaging-1-2.pdf","gsii/47346-labs-imaging-1-2.pdf")</f>
        <v>gsii/47346-labs-imaging-1-2.pdf</v>
      </c>
      <c r="E438">
        <v>118760</v>
      </c>
      <c r="F438">
        <v>47346</v>
      </c>
      <c r="G438" t="s">
        <v>745</v>
      </c>
      <c r="H438" t="s">
        <v>147</v>
      </c>
    </row>
    <row r="439" spans="1:9" x14ac:dyDescent="0.2">
      <c r="A439" t="s">
        <v>2127</v>
      </c>
      <c r="D439" t="str">
        <f>HYPERLINK("http://nlpdeep.cs.uic.edu:8080/proofing/t5/47346-labs-imaging-2-0.pdf","t5/47346-labs-imaging-2-0.pdf")</f>
        <v>t5/47346-labs-imaging-2-0.pdf</v>
      </c>
      <c r="E439">
        <v>118760</v>
      </c>
      <c r="F439">
        <v>47346</v>
      </c>
      <c r="G439" t="s">
        <v>745</v>
      </c>
      <c r="H439" t="s">
        <v>147</v>
      </c>
    </row>
    <row r="440" spans="1:9" x14ac:dyDescent="0.2">
      <c r="A440" t="s">
        <v>2127</v>
      </c>
      <c r="D440" t="str">
        <f>HYPERLINK("http://nlpdeep.cs.uic.edu:8080/proofing/gsii/47346-labs-imaging-2-0.pdf","gsii/47346-labs-imaging-2-0.pdf")</f>
        <v>gsii/47346-labs-imaging-2-0.pdf</v>
      </c>
      <c r="E440">
        <v>118760</v>
      </c>
      <c r="F440">
        <v>47346</v>
      </c>
      <c r="G440" t="s">
        <v>745</v>
      </c>
      <c r="H440" t="s">
        <v>147</v>
      </c>
    </row>
    <row r="441" spans="1:9" x14ac:dyDescent="0.2">
      <c r="A441" t="s">
        <v>2128</v>
      </c>
      <c r="D441" t="str">
        <f>HYPERLINK("http://nlpdeep.cs.uic.edu:8080/proofing/t5/47346-labs-imaging-3-0.pdf","t5/47346-labs-imaging-3-0.pdf")</f>
        <v>t5/47346-labs-imaging-3-0.pdf</v>
      </c>
      <c r="E441">
        <v>118760</v>
      </c>
      <c r="F441">
        <v>47346</v>
      </c>
      <c r="G441" t="s">
        <v>745</v>
      </c>
      <c r="H441" t="s">
        <v>147</v>
      </c>
    </row>
    <row r="442" spans="1:9" x14ac:dyDescent="0.2">
      <c r="A442" t="s">
        <v>2128</v>
      </c>
      <c r="D442" t="str">
        <f>HYPERLINK("http://nlpdeep.cs.uic.edu:8080/proofing/gsii/47346-labs-imaging-3-0.pdf","gsii/47346-labs-imaging-3-0.pdf")</f>
        <v>gsii/47346-labs-imaging-3-0.pdf</v>
      </c>
      <c r="E442">
        <v>118760</v>
      </c>
      <c r="F442">
        <v>47346</v>
      </c>
      <c r="G442" t="s">
        <v>745</v>
      </c>
      <c r="H442" t="s">
        <v>147</v>
      </c>
    </row>
    <row r="443" spans="1:9" x14ac:dyDescent="0.2">
      <c r="A443" t="s">
        <v>2129</v>
      </c>
      <c r="D443" t="str">
        <f>HYPERLINK("http://nlpdeep.cs.uic.edu:8080/proofing/t5/47346-labs-imaging-3-1.pdf","t5/47346-labs-imaging-3-1.pdf")</f>
        <v>t5/47346-labs-imaging-3-1.pdf</v>
      </c>
      <c r="E443">
        <v>118760</v>
      </c>
      <c r="F443">
        <v>47346</v>
      </c>
      <c r="G443" t="s">
        <v>745</v>
      </c>
      <c r="H443" t="s">
        <v>147</v>
      </c>
      <c r="I443" t="s">
        <v>2130</v>
      </c>
    </row>
    <row r="444" spans="1:9" x14ac:dyDescent="0.2">
      <c r="A444" t="s">
        <v>2129</v>
      </c>
      <c r="D444" t="str">
        <f>HYPERLINK("http://nlpdeep.cs.uic.edu:8080/proofing/gsii/47346-labs-imaging-3-1.pdf","gsii/47346-labs-imaging-3-1.pdf")</f>
        <v>gsii/47346-labs-imaging-3-1.pdf</v>
      </c>
      <c r="E444">
        <v>118760</v>
      </c>
      <c r="F444">
        <v>47346</v>
      </c>
      <c r="G444" t="s">
        <v>745</v>
      </c>
      <c r="H444" t="s">
        <v>147</v>
      </c>
      <c r="I444" t="s">
        <v>2130</v>
      </c>
    </row>
    <row r="445" spans="1:9" x14ac:dyDescent="0.2">
      <c r="A445" t="s">
        <v>2131</v>
      </c>
      <c r="D445" t="str">
        <f>HYPERLINK("http://nlpdeep.cs.uic.edu:8080/proofing/t5/47346-labs-imaging-3-2.pdf","t5/47346-labs-imaging-3-2.pdf")</f>
        <v>t5/47346-labs-imaging-3-2.pdf</v>
      </c>
      <c r="E445">
        <v>118760</v>
      </c>
      <c r="F445">
        <v>47346</v>
      </c>
      <c r="G445" t="s">
        <v>745</v>
      </c>
      <c r="H445" t="s">
        <v>147</v>
      </c>
      <c r="I445" t="s">
        <v>2132</v>
      </c>
    </row>
    <row r="446" spans="1:9" x14ac:dyDescent="0.2">
      <c r="A446" t="s">
        <v>2131</v>
      </c>
      <c r="D446" t="str">
        <f>HYPERLINK("http://nlpdeep.cs.uic.edu:8080/proofing/gsii/47346-labs-imaging-3-2.pdf","gsii/47346-labs-imaging-3-2.pdf")</f>
        <v>gsii/47346-labs-imaging-3-2.pdf</v>
      </c>
      <c r="E446">
        <v>118760</v>
      </c>
      <c r="F446">
        <v>47346</v>
      </c>
      <c r="G446" t="s">
        <v>745</v>
      </c>
      <c r="H446" t="s">
        <v>147</v>
      </c>
      <c r="I446" t="s">
        <v>2132</v>
      </c>
    </row>
    <row r="447" spans="1:9" x14ac:dyDescent="0.2">
      <c r="A447" t="s">
        <v>2133</v>
      </c>
      <c r="D447" t="str">
        <f>HYPERLINK("http://nlpdeep.cs.uic.edu:8080/proofing/t5/47346-labs-imaging-3-3.pdf","t5/47346-labs-imaging-3-3.pdf")</f>
        <v>t5/47346-labs-imaging-3-3.pdf</v>
      </c>
      <c r="E447">
        <v>118760</v>
      </c>
      <c r="F447">
        <v>47346</v>
      </c>
      <c r="G447" t="s">
        <v>745</v>
      </c>
      <c r="H447" t="s">
        <v>147</v>
      </c>
      <c r="I447" t="s">
        <v>2134</v>
      </c>
    </row>
    <row r="448" spans="1:9" x14ac:dyDescent="0.2">
      <c r="A448" t="s">
        <v>2133</v>
      </c>
      <c r="D448" t="str">
        <f>HYPERLINK("http://nlpdeep.cs.uic.edu:8080/proofing/gsii/47346-labs-imaging-3-3.pdf","gsii/47346-labs-imaging-3-3.pdf")</f>
        <v>gsii/47346-labs-imaging-3-3.pdf</v>
      </c>
      <c r="E448">
        <v>118760</v>
      </c>
      <c r="F448">
        <v>47346</v>
      </c>
      <c r="G448" t="s">
        <v>745</v>
      </c>
      <c r="H448" t="s">
        <v>147</v>
      </c>
      <c r="I448" t="s">
        <v>2134</v>
      </c>
    </row>
    <row r="449" spans="1:9" x14ac:dyDescent="0.2">
      <c r="A449" t="s">
        <v>2135</v>
      </c>
      <c r="D449" t="str">
        <f>HYPERLINK("http://nlpdeep.cs.uic.edu:8080/proofing/t5/47346-labs-imaging-3-4.pdf","t5/47346-labs-imaging-3-4.pdf")</f>
        <v>t5/47346-labs-imaging-3-4.pdf</v>
      </c>
      <c r="E449">
        <v>118760</v>
      </c>
      <c r="F449">
        <v>47346</v>
      </c>
      <c r="G449" t="s">
        <v>745</v>
      </c>
      <c r="H449" t="s">
        <v>147</v>
      </c>
      <c r="I449" t="s">
        <v>2136</v>
      </c>
    </row>
    <row r="450" spans="1:9" x14ac:dyDescent="0.2">
      <c r="A450" t="s">
        <v>2135</v>
      </c>
      <c r="D450" t="str">
        <f>HYPERLINK("http://nlpdeep.cs.uic.edu:8080/proofing/gsii/47346-labs-imaging-3-4.pdf","gsii/47346-labs-imaging-3-4.pdf")</f>
        <v>gsii/47346-labs-imaging-3-4.pdf</v>
      </c>
      <c r="E450">
        <v>118760</v>
      </c>
      <c r="F450">
        <v>47346</v>
      </c>
      <c r="G450" t="s">
        <v>745</v>
      </c>
      <c r="H450" t="s">
        <v>147</v>
      </c>
      <c r="I450" t="s">
        <v>2136</v>
      </c>
    </row>
    <row r="451" spans="1:9" x14ac:dyDescent="0.2">
      <c r="A451" t="s">
        <v>2137</v>
      </c>
      <c r="D451" t="str">
        <f>HYPERLINK("http://nlpdeep.cs.uic.edu:8080/proofing/t5/47346-labs-imaging-4-0.pdf","t5/47346-labs-imaging-4-0.pdf")</f>
        <v>t5/47346-labs-imaging-4-0.pdf</v>
      </c>
      <c r="E451">
        <v>118760</v>
      </c>
      <c r="F451">
        <v>47346</v>
      </c>
      <c r="G451" t="s">
        <v>745</v>
      </c>
      <c r="H451" t="s">
        <v>147</v>
      </c>
    </row>
    <row r="452" spans="1:9" x14ac:dyDescent="0.2">
      <c r="A452" t="s">
        <v>2137</v>
      </c>
      <c r="D452" t="str">
        <f>HYPERLINK("http://nlpdeep.cs.uic.edu:8080/proofing/gsii/47346-labs-imaging-4-0.pdf","gsii/47346-labs-imaging-4-0.pdf")</f>
        <v>gsii/47346-labs-imaging-4-0.pdf</v>
      </c>
      <c r="E452">
        <v>118760</v>
      </c>
      <c r="F452">
        <v>47346</v>
      </c>
      <c r="G452" t="s">
        <v>745</v>
      </c>
      <c r="H452" t="s">
        <v>147</v>
      </c>
    </row>
    <row r="453" spans="1:9" x14ac:dyDescent="0.2">
      <c r="A453" t="s">
        <v>2138</v>
      </c>
      <c r="D453" t="str">
        <f>HYPERLINK("http://nlpdeep.cs.uic.edu:8080/proofing/t5/47346-labs-imaging-5-0.pdf","t5/47346-labs-imaging-5-0.pdf")</f>
        <v>t5/47346-labs-imaging-5-0.pdf</v>
      </c>
      <c r="E453">
        <v>118760</v>
      </c>
      <c r="F453">
        <v>47346</v>
      </c>
      <c r="G453" t="s">
        <v>745</v>
      </c>
      <c r="H453" t="s">
        <v>147</v>
      </c>
    </row>
    <row r="454" spans="1:9" x14ac:dyDescent="0.2">
      <c r="A454" t="s">
        <v>2138</v>
      </c>
      <c r="D454" t="str">
        <f>HYPERLINK("http://nlpdeep.cs.uic.edu:8080/proofing/gsii/47346-labs-imaging-5-0.pdf","gsii/47346-labs-imaging-5-0.pdf")</f>
        <v>gsii/47346-labs-imaging-5-0.pdf</v>
      </c>
      <c r="E454">
        <v>118760</v>
      </c>
      <c r="F454">
        <v>47346</v>
      </c>
      <c r="G454" t="s">
        <v>745</v>
      </c>
      <c r="H454" t="s">
        <v>147</v>
      </c>
    </row>
    <row r="455" spans="1:9" x14ac:dyDescent="0.2">
      <c r="A455" t="s">
        <v>2139</v>
      </c>
      <c r="D455" t="str">
        <f>HYPERLINK("http://nlpdeep.cs.uic.edu:8080/proofing/t5/47346-labs-imaging-5-1.pdf","t5/47346-labs-imaging-5-1.pdf")</f>
        <v>t5/47346-labs-imaging-5-1.pdf</v>
      </c>
      <c r="E455">
        <v>118760</v>
      </c>
      <c r="F455">
        <v>47346</v>
      </c>
      <c r="G455" t="s">
        <v>745</v>
      </c>
      <c r="H455" t="s">
        <v>147</v>
      </c>
      <c r="I455" t="s">
        <v>2140</v>
      </c>
    </row>
    <row r="456" spans="1:9" x14ac:dyDescent="0.2">
      <c r="A456" t="s">
        <v>2139</v>
      </c>
      <c r="D456" t="str">
        <f>HYPERLINK("http://nlpdeep.cs.uic.edu:8080/proofing/gsii/47346-labs-imaging-5-1.pdf","gsii/47346-labs-imaging-5-1.pdf")</f>
        <v>gsii/47346-labs-imaging-5-1.pdf</v>
      </c>
      <c r="E456">
        <v>118760</v>
      </c>
      <c r="F456">
        <v>47346</v>
      </c>
      <c r="G456" t="s">
        <v>745</v>
      </c>
      <c r="H456" t="s">
        <v>147</v>
      </c>
      <c r="I456" t="s">
        <v>2140</v>
      </c>
    </row>
    <row r="457" spans="1:9" x14ac:dyDescent="0.2">
      <c r="A457" t="s">
        <v>2141</v>
      </c>
      <c r="D457" t="str">
        <f>HYPERLINK("http://nlpdeep.cs.uic.edu:8080/proofing/t5/47346-labs-imaging-6-0.pdf","t5/47346-labs-imaging-6-0.pdf")</f>
        <v>t5/47346-labs-imaging-6-0.pdf</v>
      </c>
      <c r="E457">
        <v>118760</v>
      </c>
      <c r="F457">
        <v>47346</v>
      </c>
      <c r="G457" t="s">
        <v>745</v>
      </c>
      <c r="H457" t="s">
        <v>147</v>
      </c>
      <c r="I457" t="s">
        <v>2142</v>
      </c>
    </row>
    <row r="458" spans="1:9" x14ac:dyDescent="0.2">
      <c r="A458" t="s">
        <v>2141</v>
      </c>
      <c r="D458" t="str">
        <f>HYPERLINK("http://nlpdeep.cs.uic.edu:8080/proofing/gsii/47346-labs-imaging-6-0.pdf","gsii/47346-labs-imaging-6-0.pdf")</f>
        <v>gsii/47346-labs-imaging-6-0.pdf</v>
      </c>
      <c r="E458">
        <v>118760</v>
      </c>
      <c r="F458">
        <v>47346</v>
      </c>
      <c r="G458" t="s">
        <v>745</v>
      </c>
      <c r="H458" t="s">
        <v>147</v>
      </c>
      <c r="I458" t="s">
        <v>2142</v>
      </c>
    </row>
    <row r="459" spans="1:9" x14ac:dyDescent="0.2">
      <c r="A459" t="s">
        <v>2143</v>
      </c>
      <c r="D459" t="str">
        <f>HYPERLINK("http://nlpdeep.cs.uic.edu:8080/proofing/t5/47346-labs-imaging-6-1.pdf","t5/47346-labs-imaging-6-1.pdf")</f>
        <v>t5/47346-labs-imaging-6-1.pdf</v>
      </c>
      <c r="E459">
        <v>118760</v>
      </c>
      <c r="F459">
        <v>47346</v>
      </c>
      <c r="G459" t="s">
        <v>745</v>
      </c>
      <c r="H459" t="s">
        <v>147</v>
      </c>
      <c r="I459" t="s">
        <v>2144</v>
      </c>
    </row>
    <row r="460" spans="1:9" x14ac:dyDescent="0.2">
      <c r="A460" t="s">
        <v>2143</v>
      </c>
      <c r="D460" t="str">
        <f>HYPERLINK("http://nlpdeep.cs.uic.edu:8080/proofing/gsii/47346-labs-imaging-6-1.pdf","gsii/47346-labs-imaging-6-1.pdf")</f>
        <v>gsii/47346-labs-imaging-6-1.pdf</v>
      </c>
      <c r="E460">
        <v>118760</v>
      </c>
      <c r="F460">
        <v>47346</v>
      </c>
      <c r="G460" t="s">
        <v>745</v>
      </c>
      <c r="H460" t="s">
        <v>147</v>
      </c>
      <c r="I460" t="s">
        <v>2144</v>
      </c>
    </row>
    <row r="461" spans="1:9" x14ac:dyDescent="0.2">
      <c r="A461" t="s">
        <v>2145</v>
      </c>
      <c r="D461" t="str">
        <f>HYPERLINK("http://nlpdeep.cs.uic.edu:8080/proofing/t5/47346-labs-imaging-7-0.pdf","t5/47346-labs-imaging-7-0.pdf")</f>
        <v>t5/47346-labs-imaging-7-0.pdf</v>
      </c>
      <c r="E461">
        <v>118760</v>
      </c>
      <c r="F461">
        <v>47346</v>
      </c>
      <c r="G461" t="s">
        <v>745</v>
      </c>
      <c r="H461" t="s">
        <v>147</v>
      </c>
    </row>
    <row r="462" spans="1:9" x14ac:dyDescent="0.2">
      <c r="A462" t="s">
        <v>2145</v>
      </c>
      <c r="D462" t="str">
        <f>HYPERLINK("http://nlpdeep.cs.uic.edu:8080/proofing/gsii/47346-labs-imaging-7-0.pdf","gsii/47346-labs-imaging-7-0.pdf")</f>
        <v>gsii/47346-labs-imaging-7-0.pdf</v>
      </c>
      <c r="E462">
        <v>118760</v>
      </c>
      <c r="F462">
        <v>47346</v>
      </c>
      <c r="G462" t="s">
        <v>745</v>
      </c>
      <c r="H462" t="s">
        <v>147</v>
      </c>
    </row>
    <row r="463" spans="1:9" x14ac:dyDescent="0.2">
      <c r="A463" t="s">
        <v>2146</v>
      </c>
      <c r="D463" t="str">
        <f>HYPERLINK("http://nlpdeep.cs.uic.edu:8080/proofing/t5/47346-labs-imaging-8-0.pdf","t5/47346-labs-imaging-8-0.pdf")</f>
        <v>t5/47346-labs-imaging-8-0.pdf</v>
      </c>
      <c r="E463">
        <v>118760</v>
      </c>
      <c r="F463">
        <v>47346</v>
      </c>
      <c r="G463" t="s">
        <v>745</v>
      </c>
      <c r="H463" t="s">
        <v>147</v>
      </c>
    </row>
    <row r="464" spans="1:9" x14ac:dyDescent="0.2">
      <c r="A464" t="s">
        <v>2146</v>
      </c>
      <c r="D464" t="str">
        <f>HYPERLINK("http://nlpdeep.cs.uic.edu:8080/proofing/gsii/47346-labs-imaging-8-0.pdf","gsii/47346-labs-imaging-8-0.pdf")</f>
        <v>gsii/47346-labs-imaging-8-0.pdf</v>
      </c>
      <c r="E464">
        <v>118760</v>
      </c>
      <c r="F464">
        <v>47346</v>
      </c>
      <c r="G464" t="s">
        <v>745</v>
      </c>
      <c r="H464" t="s">
        <v>147</v>
      </c>
    </row>
    <row r="465" spans="1:9" x14ac:dyDescent="0.2">
      <c r="A465" t="s">
        <v>2147</v>
      </c>
      <c r="D465" t="str">
        <f>HYPERLINK("http://nlpdeep.cs.uic.edu:8080/proofing/t5/47346-hospital-course-0-0.pdf","t5/47346-hospital-course-0-0.pdf")</f>
        <v>t5/47346-hospital-course-0-0.pdf</v>
      </c>
      <c r="E465">
        <v>118760</v>
      </c>
      <c r="F465">
        <v>47346</v>
      </c>
      <c r="G465" t="s">
        <v>745</v>
      </c>
      <c r="H465" t="s">
        <v>999</v>
      </c>
      <c r="I465" t="s">
        <v>2148</v>
      </c>
    </row>
    <row r="466" spans="1:9" x14ac:dyDescent="0.2">
      <c r="A466" t="s">
        <v>2147</v>
      </c>
      <c r="D466" t="str">
        <f>HYPERLINK("http://nlpdeep.cs.uic.edu:8080/proofing/gsii/47346-hospital-course-0-0.pdf","gsii/47346-hospital-course-0-0.pdf")</f>
        <v>gsii/47346-hospital-course-0-0.pdf</v>
      </c>
      <c r="E466">
        <v>118760</v>
      </c>
      <c r="F466">
        <v>47346</v>
      </c>
      <c r="G466" t="s">
        <v>745</v>
      </c>
      <c r="H466" t="s">
        <v>999</v>
      </c>
      <c r="I466" t="s">
        <v>2148</v>
      </c>
    </row>
    <row r="467" spans="1:9" x14ac:dyDescent="0.2">
      <c r="A467" t="s">
        <v>2149</v>
      </c>
      <c r="D467" t="str">
        <f>HYPERLINK("http://nlpdeep.cs.uic.edu:8080/proofing/t5/47346-hospital-course-0-1.pdf","t5/47346-hospital-course-0-1.pdf")</f>
        <v>t5/47346-hospital-course-0-1.pdf</v>
      </c>
      <c r="E467">
        <v>118760</v>
      </c>
      <c r="F467">
        <v>47346</v>
      </c>
      <c r="G467" t="s">
        <v>745</v>
      </c>
      <c r="H467" t="s">
        <v>999</v>
      </c>
      <c r="I467" t="s">
        <v>2150</v>
      </c>
    </row>
    <row r="468" spans="1:9" x14ac:dyDescent="0.2">
      <c r="A468" t="s">
        <v>2149</v>
      </c>
      <c r="D468" t="str">
        <f>HYPERLINK("http://nlpdeep.cs.uic.edu:8080/proofing/gsii/47346-hospital-course-0-1.pdf","gsii/47346-hospital-course-0-1.pdf")</f>
        <v>gsii/47346-hospital-course-0-1.pdf</v>
      </c>
      <c r="E468">
        <v>118760</v>
      </c>
      <c r="F468">
        <v>47346</v>
      </c>
      <c r="G468" t="s">
        <v>745</v>
      </c>
      <c r="H468" t="s">
        <v>999</v>
      </c>
      <c r="I468" t="s">
        <v>2150</v>
      </c>
    </row>
    <row r="469" spans="1:9" x14ac:dyDescent="0.2">
      <c r="A469" t="s">
        <v>2151</v>
      </c>
      <c r="D469" t="str">
        <f>HYPERLINK("http://nlpdeep.cs.uic.edu:8080/proofing/t5/47346-hospital-course-0-2.pdf","t5/47346-hospital-course-0-2.pdf")</f>
        <v>t5/47346-hospital-course-0-2.pdf</v>
      </c>
      <c r="E469">
        <v>118760</v>
      </c>
      <c r="F469">
        <v>47346</v>
      </c>
      <c r="G469" t="s">
        <v>745</v>
      </c>
      <c r="H469" t="s">
        <v>999</v>
      </c>
      <c r="I469" t="s">
        <v>2152</v>
      </c>
    </row>
    <row r="470" spans="1:9" x14ac:dyDescent="0.2">
      <c r="A470" t="s">
        <v>2151</v>
      </c>
      <c r="D470" t="str">
        <f>HYPERLINK("http://nlpdeep.cs.uic.edu:8080/proofing/gsii/47346-hospital-course-0-2.pdf","gsii/47346-hospital-course-0-2.pdf")</f>
        <v>gsii/47346-hospital-course-0-2.pdf</v>
      </c>
      <c r="E470">
        <v>118760</v>
      </c>
      <c r="F470">
        <v>47346</v>
      </c>
      <c r="G470" t="s">
        <v>745</v>
      </c>
      <c r="H470" t="s">
        <v>999</v>
      </c>
      <c r="I470" t="s">
        <v>2152</v>
      </c>
    </row>
    <row r="471" spans="1:9" x14ac:dyDescent="0.2">
      <c r="A471" t="s">
        <v>2153</v>
      </c>
      <c r="D471" t="str">
        <f>HYPERLINK("http://nlpdeep.cs.uic.edu:8080/proofing/t5/47346-hospital-course-0-3.pdf","t5/47346-hospital-course-0-3.pdf")</f>
        <v>t5/47346-hospital-course-0-3.pdf</v>
      </c>
      <c r="E471">
        <v>118760</v>
      </c>
      <c r="F471">
        <v>47346</v>
      </c>
      <c r="G471" t="s">
        <v>745</v>
      </c>
      <c r="H471" t="s">
        <v>999</v>
      </c>
      <c r="I471" t="s">
        <v>2154</v>
      </c>
    </row>
    <row r="472" spans="1:9" x14ac:dyDescent="0.2">
      <c r="A472" t="s">
        <v>2153</v>
      </c>
      <c r="D472" t="str">
        <f>HYPERLINK("http://nlpdeep.cs.uic.edu:8080/proofing/gsii/47346-hospital-course-0-3.pdf","gsii/47346-hospital-course-0-3.pdf")</f>
        <v>gsii/47346-hospital-course-0-3.pdf</v>
      </c>
      <c r="E472">
        <v>118760</v>
      </c>
      <c r="F472">
        <v>47346</v>
      </c>
      <c r="G472" t="s">
        <v>745</v>
      </c>
      <c r="H472" t="s">
        <v>999</v>
      </c>
      <c r="I472" t="s">
        <v>2154</v>
      </c>
    </row>
    <row r="473" spans="1:9" x14ac:dyDescent="0.2">
      <c r="A473" t="s">
        <v>2155</v>
      </c>
      <c r="D473" t="str">
        <f>HYPERLINK("http://nlpdeep.cs.uic.edu:8080/proofing/t5/47346-hospital-course-1-0.pdf","t5/47346-hospital-course-1-0.pdf")</f>
        <v>t5/47346-hospital-course-1-0.pdf</v>
      </c>
      <c r="E473">
        <v>118760</v>
      </c>
      <c r="F473">
        <v>47346</v>
      </c>
      <c r="G473" t="s">
        <v>745</v>
      </c>
      <c r="H473" t="s">
        <v>999</v>
      </c>
      <c r="I473" t="s">
        <v>2156</v>
      </c>
    </row>
    <row r="474" spans="1:9" x14ac:dyDescent="0.2">
      <c r="A474" t="s">
        <v>2155</v>
      </c>
      <c r="D474" t="str">
        <f>HYPERLINK("http://nlpdeep.cs.uic.edu:8080/proofing/gsii/47346-hospital-course-1-0.pdf","gsii/47346-hospital-course-1-0.pdf")</f>
        <v>gsii/47346-hospital-course-1-0.pdf</v>
      </c>
      <c r="E474">
        <v>118760</v>
      </c>
      <c r="F474">
        <v>47346</v>
      </c>
      <c r="G474" t="s">
        <v>745</v>
      </c>
      <c r="H474" t="s">
        <v>999</v>
      </c>
      <c r="I474" t="s">
        <v>2156</v>
      </c>
    </row>
    <row r="475" spans="1:9" x14ac:dyDescent="0.2">
      <c r="A475" t="s">
        <v>2157</v>
      </c>
      <c r="D475" t="str">
        <f>HYPERLINK("http://nlpdeep.cs.uic.edu:8080/proofing/t5/47346-hospital-course-1-1.pdf","t5/47346-hospital-course-1-1.pdf")</f>
        <v>t5/47346-hospital-course-1-1.pdf</v>
      </c>
      <c r="E475">
        <v>118760</v>
      </c>
      <c r="F475">
        <v>47346</v>
      </c>
      <c r="G475" t="s">
        <v>745</v>
      </c>
      <c r="H475" t="s">
        <v>999</v>
      </c>
      <c r="I475" t="s">
        <v>2158</v>
      </c>
    </row>
    <row r="476" spans="1:9" x14ac:dyDescent="0.2">
      <c r="A476" t="s">
        <v>2157</v>
      </c>
      <c r="D476" t="str">
        <f>HYPERLINK("http://nlpdeep.cs.uic.edu:8080/proofing/gsii/47346-hospital-course-1-1.pdf","gsii/47346-hospital-course-1-1.pdf")</f>
        <v>gsii/47346-hospital-course-1-1.pdf</v>
      </c>
      <c r="E476">
        <v>118760</v>
      </c>
      <c r="F476">
        <v>47346</v>
      </c>
      <c r="G476" t="s">
        <v>745</v>
      </c>
      <c r="H476" t="s">
        <v>999</v>
      </c>
      <c r="I476" t="s">
        <v>2158</v>
      </c>
    </row>
    <row r="477" spans="1:9" x14ac:dyDescent="0.2">
      <c r="A477" t="s">
        <v>2159</v>
      </c>
      <c r="D477" t="str">
        <f>HYPERLINK("http://nlpdeep.cs.uic.edu:8080/proofing/t5/47346-hospital-course-1-2.pdf","t5/47346-hospital-course-1-2.pdf")</f>
        <v>t5/47346-hospital-course-1-2.pdf</v>
      </c>
      <c r="E477">
        <v>118760</v>
      </c>
      <c r="F477">
        <v>47346</v>
      </c>
      <c r="G477" t="s">
        <v>745</v>
      </c>
      <c r="H477" t="s">
        <v>999</v>
      </c>
      <c r="I477" t="s">
        <v>2160</v>
      </c>
    </row>
    <row r="478" spans="1:9" x14ac:dyDescent="0.2">
      <c r="A478" t="s">
        <v>2159</v>
      </c>
      <c r="D478" t="str">
        <f>HYPERLINK("http://nlpdeep.cs.uic.edu:8080/proofing/gsii/47346-hospital-course-1-2.pdf","gsii/47346-hospital-course-1-2.pdf")</f>
        <v>gsii/47346-hospital-course-1-2.pdf</v>
      </c>
      <c r="E478">
        <v>118760</v>
      </c>
      <c r="F478">
        <v>47346</v>
      </c>
      <c r="G478" t="s">
        <v>745</v>
      </c>
      <c r="H478" t="s">
        <v>999</v>
      </c>
      <c r="I478" t="s">
        <v>2160</v>
      </c>
    </row>
    <row r="479" spans="1:9" x14ac:dyDescent="0.2">
      <c r="A479" t="s">
        <v>2161</v>
      </c>
      <c r="D479" t="str">
        <f>HYPERLINK("http://nlpdeep.cs.uic.edu:8080/proofing/t5/47346-hospital-course-1-3.pdf","t5/47346-hospital-course-1-3.pdf")</f>
        <v>t5/47346-hospital-course-1-3.pdf</v>
      </c>
      <c r="E479">
        <v>118760</v>
      </c>
      <c r="F479">
        <v>47346</v>
      </c>
      <c r="G479" t="s">
        <v>745</v>
      </c>
      <c r="H479" t="s">
        <v>999</v>
      </c>
      <c r="I479" t="s">
        <v>2162</v>
      </c>
    </row>
    <row r="480" spans="1:9" x14ac:dyDescent="0.2">
      <c r="A480" t="s">
        <v>2161</v>
      </c>
      <c r="D480" t="str">
        <f>HYPERLINK("http://nlpdeep.cs.uic.edu:8080/proofing/gsii/47346-hospital-course-1-3.pdf","gsii/47346-hospital-course-1-3.pdf")</f>
        <v>gsii/47346-hospital-course-1-3.pdf</v>
      </c>
      <c r="E480">
        <v>118760</v>
      </c>
      <c r="F480">
        <v>47346</v>
      </c>
      <c r="G480" t="s">
        <v>745</v>
      </c>
      <c r="H480" t="s">
        <v>999</v>
      </c>
      <c r="I480" t="s">
        <v>2162</v>
      </c>
    </row>
    <row r="481" spans="1:9" x14ac:dyDescent="0.2">
      <c r="A481" t="s">
        <v>2163</v>
      </c>
      <c r="D481" t="str">
        <f>HYPERLINK("http://nlpdeep.cs.uic.edu:8080/proofing/t5/47346-hospital-course-1-4.pdf","t5/47346-hospital-course-1-4.pdf")</f>
        <v>t5/47346-hospital-course-1-4.pdf</v>
      </c>
      <c r="E481">
        <v>118760</v>
      </c>
      <c r="F481">
        <v>47346</v>
      </c>
      <c r="G481" t="s">
        <v>745</v>
      </c>
      <c r="H481" t="s">
        <v>999</v>
      </c>
      <c r="I481" t="s">
        <v>2164</v>
      </c>
    </row>
    <row r="482" spans="1:9" x14ac:dyDescent="0.2">
      <c r="A482" t="s">
        <v>2163</v>
      </c>
      <c r="D482" t="str">
        <f>HYPERLINK("http://nlpdeep.cs.uic.edu:8080/proofing/gsii/47346-hospital-course-1-4.pdf","gsii/47346-hospital-course-1-4.pdf")</f>
        <v>gsii/47346-hospital-course-1-4.pdf</v>
      </c>
      <c r="E482">
        <v>118760</v>
      </c>
      <c r="F482">
        <v>47346</v>
      </c>
      <c r="G482" t="s">
        <v>745</v>
      </c>
      <c r="H482" t="s">
        <v>999</v>
      </c>
      <c r="I482" t="s">
        <v>2164</v>
      </c>
    </row>
    <row r="483" spans="1:9" x14ac:dyDescent="0.2">
      <c r="A483" t="s">
        <v>2165</v>
      </c>
      <c r="D483" t="str">
        <f>HYPERLINK("http://nlpdeep.cs.uic.edu:8080/proofing/t5/47346-hospital-course-2-0.pdf","t5/47346-hospital-course-2-0.pdf")</f>
        <v>t5/47346-hospital-course-2-0.pdf</v>
      </c>
      <c r="E483">
        <v>118760</v>
      </c>
      <c r="F483">
        <v>47346</v>
      </c>
      <c r="G483" t="s">
        <v>745</v>
      </c>
      <c r="H483" t="s">
        <v>999</v>
      </c>
      <c r="I483" t="s">
        <v>2166</v>
      </c>
    </row>
    <row r="484" spans="1:9" x14ac:dyDescent="0.2">
      <c r="A484" t="s">
        <v>2165</v>
      </c>
      <c r="D484" t="str">
        <f>HYPERLINK("http://nlpdeep.cs.uic.edu:8080/proofing/gsii/47346-hospital-course-2-0.pdf","gsii/47346-hospital-course-2-0.pdf")</f>
        <v>gsii/47346-hospital-course-2-0.pdf</v>
      </c>
      <c r="E484">
        <v>118760</v>
      </c>
      <c r="F484">
        <v>47346</v>
      </c>
      <c r="G484" t="s">
        <v>745</v>
      </c>
      <c r="H484" t="s">
        <v>999</v>
      </c>
      <c r="I484" t="s">
        <v>2166</v>
      </c>
    </row>
    <row r="485" spans="1:9" x14ac:dyDescent="0.2">
      <c r="A485" t="s">
        <v>2167</v>
      </c>
      <c r="D485" t="str">
        <f>HYPERLINK("http://nlpdeep.cs.uic.edu:8080/proofing/t5/47346-hospital-course-2-1.pdf","t5/47346-hospital-course-2-1.pdf")</f>
        <v>t5/47346-hospital-course-2-1.pdf</v>
      </c>
      <c r="E485">
        <v>118760</v>
      </c>
      <c r="F485">
        <v>47346</v>
      </c>
      <c r="G485" t="s">
        <v>745</v>
      </c>
      <c r="H485" t="s">
        <v>999</v>
      </c>
      <c r="I485" t="s">
        <v>2168</v>
      </c>
    </row>
    <row r="486" spans="1:9" x14ac:dyDescent="0.2">
      <c r="A486" t="s">
        <v>2167</v>
      </c>
      <c r="D486" t="str">
        <f>HYPERLINK("http://nlpdeep.cs.uic.edu:8080/proofing/gsii/47346-hospital-course-2-1.pdf","gsii/47346-hospital-course-2-1.pdf")</f>
        <v>gsii/47346-hospital-course-2-1.pdf</v>
      </c>
      <c r="E486">
        <v>118760</v>
      </c>
      <c r="F486">
        <v>47346</v>
      </c>
      <c r="G486" t="s">
        <v>745</v>
      </c>
      <c r="H486" t="s">
        <v>999</v>
      </c>
      <c r="I486" t="s">
        <v>2168</v>
      </c>
    </row>
    <row r="487" spans="1:9" x14ac:dyDescent="0.2">
      <c r="A487" t="s">
        <v>2169</v>
      </c>
      <c r="D487" t="str">
        <f>HYPERLINK("http://nlpdeep.cs.uic.edu:8080/proofing/t5/47346-hospital-course-2-2.pdf","t5/47346-hospital-course-2-2.pdf")</f>
        <v>t5/47346-hospital-course-2-2.pdf</v>
      </c>
      <c r="E487">
        <v>118760</v>
      </c>
      <c r="F487">
        <v>47346</v>
      </c>
      <c r="G487" t="s">
        <v>745</v>
      </c>
      <c r="H487" t="s">
        <v>999</v>
      </c>
      <c r="I487" t="s">
        <v>2170</v>
      </c>
    </row>
    <row r="488" spans="1:9" x14ac:dyDescent="0.2">
      <c r="A488" t="s">
        <v>2169</v>
      </c>
      <c r="D488" t="str">
        <f>HYPERLINK("http://nlpdeep.cs.uic.edu:8080/proofing/gsii/47346-hospital-course-2-2.pdf","gsii/47346-hospital-course-2-2.pdf")</f>
        <v>gsii/47346-hospital-course-2-2.pdf</v>
      </c>
      <c r="E488">
        <v>118760</v>
      </c>
      <c r="F488">
        <v>47346</v>
      </c>
      <c r="G488" t="s">
        <v>745</v>
      </c>
      <c r="H488" t="s">
        <v>999</v>
      </c>
      <c r="I488" t="s">
        <v>2170</v>
      </c>
    </row>
    <row r="489" spans="1:9" x14ac:dyDescent="0.2">
      <c r="A489" t="s">
        <v>2171</v>
      </c>
      <c r="D489" t="str">
        <f>HYPERLINK("http://nlpdeep.cs.uic.edu:8080/proofing/t5/47346-hospital-course-2-3.pdf","t5/47346-hospital-course-2-3.pdf")</f>
        <v>t5/47346-hospital-course-2-3.pdf</v>
      </c>
      <c r="E489">
        <v>118760</v>
      </c>
      <c r="F489">
        <v>47346</v>
      </c>
      <c r="G489" t="s">
        <v>745</v>
      </c>
      <c r="H489" t="s">
        <v>999</v>
      </c>
      <c r="I489" t="s">
        <v>2172</v>
      </c>
    </row>
    <row r="490" spans="1:9" x14ac:dyDescent="0.2">
      <c r="A490" t="s">
        <v>2171</v>
      </c>
      <c r="D490" t="str">
        <f>HYPERLINK("http://nlpdeep.cs.uic.edu:8080/proofing/gsii/47346-hospital-course-2-3.pdf","gsii/47346-hospital-course-2-3.pdf")</f>
        <v>gsii/47346-hospital-course-2-3.pdf</v>
      </c>
      <c r="E490">
        <v>118760</v>
      </c>
      <c r="F490">
        <v>47346</v>
      </c>
      <c r="G490" t="s">
        <v>745</v>
      </c>
      <c r="H490" t="s">
        <v>999</v>
      </c>
      <c r="I490" t="s">
        <v>2172</v>
      </c>
    </row>
    <row r="491" spans="1:9" x14ac:dyDescent="0.2">
      <c r="A491" t="s">
        <v>2173</v>
      </c>
      <c r="D491" t="str">
        <f>HYPERLINK("http://nlpdeep.cs.uic.edu:8080/proofing/t5/47346-hospital-course-2-4.pdf","t5/47346-hospital-course-2-4.pdf")</f>
        <v>t5/47346-hospital-course-2-4.pdf</v>
      </c>
      <c r="E491">
        <v>118760</v>
      </c>
      <c r="F491">
        <v>47346</v>
      </c>
      <c r="G491" t="s">
        <v>745</v>
      </c>
      <c r="H491" t="s">
        <v>999</v>
      </c>
      <c r="I491" t="s">
        <v>2174</v>
      </c>
    </row>
    <row r="492" spans="1:9" x14ac:dyDescent="0.2">
      <c r="A492" t="s">
        <v>2173</v>
      </c>
      <c r="D492" t="str">
        <f>HYPERLINK("http://nlpdeep.cs.uic.edu:8080/proofing/gsii/47346-hospital-course-2-4.pdf","gsii/47346-hospital-course-2-4.pdf")</f>
        <v>gsii/47346-hospital-course-2-4.pdf</v>
      </c>
      <c r="E492">
        <v>118760</v>
      </c>
      <c r="F492">
        <v>47346</v>
      </c>
      <c r="G492" t="s">
        <v>745</v>
      </c>
      <c r="H492" t="s">
        <v>999</v>
      </c>
      <c r="I492" t="s">
        <v>2174</v>
      </c>
    </row>
    <row r="493" spans="1:9" x14ac:dyDescent="0.2">
      <c r="A493" t="s">
        <v>2175</v>
      </c>
      <c r="D493" t="str">
        <f>HYPERLINK("http://nlpdeep.cs.uic.edu:8080/proofing/t5/47346-hospital-course-2-5.pdf","t5/47346-hospital-course-2-5.pdf")</f>
        <v>t5/47346-hospital-course-2-5.pdf</v>
      </c>
      <c r="E493">
        <v>118760</v>
      </c>
      <c r="F493">
        <v>47346</v>
      </c>
      <c r="G493" t="s">
        <v>745</v>
      </c>
      <c r="H493" t="s">
        <v>999</v>
      </c>
      <c r="I493" t="s">
        <v>2176</v>
      </c>
    </row>
    <row r="494" spans="1:9" x14ac:dyDescent="0.2">
      <c r="A494" t="s">
        <v>2175</v>
      </c>
      <c r="D494" t="str">
        <f>HYPERLINK("http://nlpdeep.cs.uic.edu:8080/proofing/gsii/47346-hospital-course-2-5.pdf","gsii/47346-hospital-course-2-5.pdf")</f>
        <v>gsii/47346-hospital-course-2-5.pdf</v>
      </c>
      <c r="E494">
        <v>118760</v>
      </c>
      <c r="F494">
        <v>47346</v>
      </c>
      <c r="G494" t="s">
        <v>745</v>
      </c>
      <c r="H494" t="s">
        <v>999</v>
      </c>
      <c r="I494" t="s">
        <v>2176</v>
      </c>
    </row>
    <row r="495" spans="1:9" x14ac:dyDescent="0.2">
      <c r="A495" t="s">
        <v>2177</v>
      </c>
      <c r="D495" t="str">
        <f>HYPERLINK("http://nlpdeep.cs.uic.edu:8080/proofing/t5/47346-hospital-course-3-0.pdf","t5/47346-hospital-course-3-0.pdf")</f>
        <v>t5/47346-hospital-course-3-0.pdf</v>
      </c>
      <c r="E495">
        <v>118760</v>
      </c>
      <c r="F495">
        <v>47346</v>
      </c>
      <c r="G495" t="s">
        <v>745</v>
      </c>
      <c r="H495" t="s">
        <v>999</v>
      </c>
      <c r="I495" t="s">
        <v>2178</v>
      </c>
    </row>
    <row r="496" spans="1:9" x14ac:dyDescent="0.2">
      <c r="A496" t="s">
        <v>2177</v>
      </c>
      <c r="D496" t="str">
        <f>HYPERLINK("http://nlpdeep.cs.uic.edu:8080/proofing/gsii/47346-hospital-course-3-0.pdf","gsii/47346-hospital-course-3-0.pdf")</f>
        <v>gsii/47346-hospital-course-3-0.pdf</v>
      </c>
      <c r="E496">
        <v>118760</v>
      </c>
      <c r="F496">
        <v>47346</v>
      </c>
      <c r="G496" t="s">
        <v>745</v>
      </c>
      <c r="H496" t="s">
        <v>999</v>
      </c>
      <c r="I496" t="s">
        <v>2178</v>
      </c>
    </row>
    <row r="497" spans="1:9" x14ac:dyDescent="0.2">
      <c r="A497" t="s">
        <v>2179</v>
      </c>
      <c r="D497" t="str">
        <f>HYPERLINK("http://nlpdeep.cs.uic.edu:8080/proofing/t5/47346-hospital-course-3-1.pdf","t5/47346-hospital-course-3-1.pdf")</f>
        <v>t5/47346-hospital-course-3-1.pdf</v>
      </c>
      <c r="E497">
        <v>118760</v>
      </c>
      <c r="F497">
        <v>47346</v>
      </c>
      <c r="G497" t="s">
        <v>745</v>
      </c>
      <c r="H497" t="s">
        <v>999</v>
      </c>
      <c r="I497" t="s">
        <v>2180</v>
      </c>
    </row>
    <row r="498" spans="1:9" x14ac:dyDescent="0.2">
      <c r="A498" t="s">
        <v>2179</v>
      </c>
      <c r="D498" t="str">
        <f>HYPERLINK("http://nlpdeep.cs.uic.edu:8080/proofing/gsii/47346-hospital-course-3-1.pdf","gsii/47346-hospital-course-3-1.pdf")</f>
        <v>gsii/47346-hospital-course-3-1.pdf</v>
      </c>
      <c r="E498">
        <v>118760</v>
      </c>
      <c r="F498">
        <v>47346</v>
      </c>
      <c r="G498" t="s">
        <v>745</v>
      </c>
      <c r="H498" t="s">
        <v>999</v>
      </c>
      <c r="I498" t="s">
        <v>2180</v>
      </c>
    </row>
    <row r="499" spans="1:9" x14ac:dyDescent="0.2">
      <c r="A499" t="s">
        <v>2181</v>
      </c>
      <c r="D499" t="str">
        <f>HYPERLINK("http://nlpdeep.cs.uic.edu:8080/proofing/t5/47346-hospital-course-4-0.pdf","t5/47346-hospital-course-4-0.pdf")</f>
        <v>t5/47346-hospital-course-4-0.pdf</v>
      </c>
      <c r="E499">
        <v>118760</v>
      </c>
      <c r="F499">
        <v>47346</v>
      </c>
      <c r="G499" t="s">
        <v>745</v>
      </c>
      <c r="H499" t="s">
        <v>999</v>
      </c>
      <c r="I499" t="s">
        <v>2182</v>
      </c>
    </row>
    <row r="500" spans="1:9" x14ac:dyDescent="0.2">
      <c r="A500" t="s">
        <v>2181</v>
      </c>
      <c r="D500" t="str">
        <f>HYPERLINK("http://nlpdeep.cs.uic.edu:8080/proofing/gsii/47346-hospital-course-4-0.pdf","gsii/47346-hospital-course-4-0.pdf")</f>
        <v>gsii/47346-hospital-course-4-0.pdf</v>
      </c>
      <c r="E500">
        <v>118760</v>
      </c>
      <c r="F500">
        <v>47346</v>
      </c>
      <c r="G500" t="s">
        <v>745</v>
      </c>
      <c r="H500" t="s">
        <v>999</v>
      </c>
      <c r="I500" t="s">
        <v>2182</v>
      </c>
    </row>
    <row r="501" spans="1:9" x14ac:dyDescent="0.2">
      <c r="A501" t="s">
        <v>2183</v>
      </c>
      <c r="D501" t="str">
        <f>HYPERLINK("http://nlpdeep.cs.uic.edu:8080/proofing/t5/47346-hospital-course-4-1.pdf","t5/47346-hospital-course-4-1.pdf")</f>
        <v>t5/47346-hospital-course-4-1.pdf</v>
      </c>
      <c r="E501">
        <v>118760</v>
      </c>
      <c r="F501">
        <v>47346</v>
      </c>
      <c r="G501" t="s">
        <v>745</v>
      </c>
      <c r="H501" t="s">
        <v>999</v>
      </c>
      <c r="I501" t="s">
        <v>2184</v>
      </c>
    </row>
    <row r="502" spans="1:9" x14ac:dyDescent="0.2">
      <c r="A502" t="s">
        <v>2183</v>
      </c>
      <c r="D502" t="str">
        <f>HYPERLINK("http://nlpdeep.cs.uic.edu:8080/proofing/gsii/47346-hospital-course-4-1.pdf","gsii/47346-hospital-course-4-1.pdf")</f>
        <v>gsii/47346-hospital-course-4-1.pdf</v>
      </c>
      <c r="E502">
        <v>118760</v>
      </c>
      <c r="F502">
        <v>47346</v>
      </c>
      <c r="G502" t="s">
        <v>745</v>
      </c>
      <c r="H502" t="s">
        <v>999</v>
      </c>
      <c r="I502" t="s">
        <v>2184</v>
      </c>
    </row>
    <row r="503" spans="1:9" x14ac:dyDescent="0.2">
      <c r="A503" t="s">
        <v>2185</v>
      </c>
      <c r="D503" t="str">
        <f>HYPERLINK("http://nlpdeep.cs.uic.edu:8080/proofing/t5/47346-hospital-course-4-2.pdf","t5/47346-hospital-course-4-2.pdf")</f>
        <v>t5/47346-hospital-course-4-2.pdf</v>
      </c>
      <c r="E503">
        <v>118760</v>
      </c>
      <c r="F503">
        <v>47346</v>
      </c>
      <c r="G503" t="s">
        <v>745</v>
      </c>
      <c r="H503" t="s">
        <v>999</v>
      </c>
      <c r="I503" t="s">
        <v>2186</v>
      </c>
    </row>
    <row r="504" spans="1:9" x14ac:dyDescent="0.2">
      <c r="A504" t="s">
        <v>2185</v>
      </c>
      <c r="D504" t="str">
        <f>HYPERLINK("http://nlpdeep.cs.uic.edu:8080/proofing/gsii/47346-hospital-course-4-2.pdf","gsii/47346-hospital-course-4-2.pdf")</f>
        <v>gsii/47346-hospital-course-4-2.pdf</v>
      </c>
      <c r="E504">
        <v>118760</v>
      </c>
      <c r="F504">
        <v>47346</v>
      </c>
      <c r="G504" t="s">
        <v>745</v>
      </c>
      <c r="H504" t="s">
        <v>999</v>
      </c>
      <c r="I504" t="s">
        <v>2186</v>
      </c>
    </row>
    <row r="505" spans="1:9" x14ac:dyDescent="0.2">
      <c r="A505" t="s">
        <v>2187</v>
      </c>
      <c r="D505" t="str">
        <f>HYPERLINK("http://nlpdeep.cs.uic.edu:8080/proofing/t5/47346-hospital-course-5-0.pdf","t5/47346-hospital-course-5-0.pdf")</f>
        <v>t5/47346-hospital-course-5-0.pdf</v>
      </c>
      <c r="E505">
        <v>118760</v>
      </c>
      <c r="F505">
        <v>47346</v>
      </c>
      <c r="G505" t="s">
        <v>745</v>
      </c>
      <c r="H505" t="s">
        <v>999</v>
      </c>
      <c r="I505" t="s">
        <v>2188</v>
      </c>
    </row>
    <row r="506" spans="1:9" x14ac:dyDescent="0.2">
      <c r="A506" t="s">
        <v>2187</v>
      </c>
      <c r="D506" t="str">
        <f>HYPERLINK("http://nlpdeep.cs.uic.edu:8080/proofing/gsii/47346-hospital-course-5-0.pdf","gsii/47346-hospital-course-5-0.pdf")</f>
        <v>gsii/47346-hospital-course-5-0.pdf</v>
      </c>
      <c r="E506">
        <v>118760</v>
      </c>
      <c r="F506">
        <v>47346</v>
      </c>
      <c r="G506" t="s">
        <v>745</v>
      </c>
      <c r="H506" t="s">
        <v>999</v>
      </c>
      <c r="I506" t="s">
        <v>2188</v>
      </c>
    </row>
    <row r="507" spans="1:9" x14ac:dyDescent="0.2">
      <c r="A507" t="s">
        <v>2189</v>
      </c>
      <c r="D507" t="str">
        <f>HYPERLINK("http://nlpdeep.cs.uic.edu:8080/proofing/t5/47346-hospital-course-6-0.pdf","t5/47346-hospital-course-6-0.pdf")</f>
        <v>t5/47346-hospital-course-6-0.pdf</v>
      </c>
      <c r="E507">
        <v>118760</v>
      </c>
      <c r="F507">
        <v>47346</v>
      </c>
      <c r="G507" t="s">
        <v>745</v>
      </c>
      <c r="H507" t="s">
        <v>999</v>
      </c>
      <c r="I507" t="s">
        <v>2190</v>
      </c>
    </row>
    <row r="508" spans="1:9" x14ac:dyDescent="0.2">
      <c r="A508" t="s">
        <v>2189</v>
      </c>
      <c r="D508" t="str">
        <f>HYPERLINK("http://nlpdeep.cs.uic.edu:8080/proofing/gsii/47346-hospital-course-6-0.pdf","gsii/47346-hospital-course-6-0.pdf")</f>
        <v>gsii/47346-hospital-course-6-0.pdf</v>
      </c>
      <c r="E508">
        <v>118760</v>
      </c>
      <c r="F508">
        <v>47346</v>
      </c>
      <c r="G508" t="s">
        <v>745</v>
      </c>
      <c r="H508" t="s">
        <v>999</v>
      </c>
      <c r="I508" t="s">
        <v>2190</v>
      </c>
    </row>
    <row r="509" spans="1:9" x14ac:dyDescent="0.2">
      <c r="A509" t="s">
        <v>2191</v>
      </c>
      <c r="D509" t="str">
        <f>HYPERLINK("http://nlpdeep.cs.uic.edu:8080/proofing/t5/47346-hospital-course-6-1.pdf","t5/47346-hospital-course-6-1.pdf")</f>
        <v>t5/47346-hospital-course-6-1.pdf</v>
      </c>
      <c r="E509">
        <v>118760</v>
      </c>
      <c r="F509">
        <v>47346</v>
      </c>
      <c r="G509" t="s">
        <v>745</v>
      </c>
      <c r="H509" t="s">
        <v>999</v>
      </c>
      <c r="I509" t="s">
        <v>2192</v>
      </c>
    </row>
    <row r="510" spans="1:9" x14ac:dyDescent="0.2">
      <c r="A510" t="s">
        <v>2191</v>
      </c>
      <c r="D510" t="str">
        <f>HYPERLINK("http://nlpdeep.cs.uic.edu:8080/proofing/gsii/47346-hospital-course-6-1.pdf","gsii/47346-hospital-course-6-1.pdf")</f>
        <v>gsii/47346-hospital-course-6-1.pdf</v>
      </c>
      <c r="E510">
        <v>118760</v>
      </c>
      <c r="F510">
        <v>47346</v>
      </c>
      <c r="G510" t="s">
        <v>745</v>
      </c>
      <c r="H510" t="s">
        <v>999</v>
      </c>
      <c r="I510" t="s">
        <v>2192</v>
      </c>
    </row>
    <row r="511" spans="1:9" x14ac:dyDescent="0.2">
      <c r="A511" t="s">
        <v>2193</v>
      </c>
      <c r="D511" t="str">
        <f>HYPERLINK("http://nlpdeep.cs.uic.edu:8080/proofing/t5/47346-hospital-course-6-2.pdf","t5/47346-hospital-course-6-2.pdf")</f>
        <v>t5/47346-hospital-course-6-2.pdf</v>
      </c>
      <c r="E511">
        <v>118760</v>
      </c>
      <c r="F511">
        <v>47346</v>
      </c>
      <c r="G511" t="s">
        <v>745</v>
      </c>
      <c r="H511" t="s">
        <v>999</v>
      </c>
      <c r="I511" t="s">
        <v>2194</v>
      </c>
    </row>
    <row r="512" spans="1:9" x14ac:dyDescent="0.2">
      <c r="A512" t="s">
        <v>2193</v>
      </c>
      <c r="D512" t="str">
        <f>HYPERLINK("http://nlpdeep.cs.uic.edu:8080/proofing/gsii/47346-hospital-course-6-2.pdf","gsii/47346-hospital-course-6-2.pdf")</f>
        <v>gsii/47346-hospital-course-6-2.pdf</v>
      </c>
      <c r="E512">
        <v>118760</v>
      </c>
      <c r="F512">
        <v>47346</v>
      </c>
      <c r="G512" t="s">
        <v>745</v>
      </c>
      <c r="H512" t="s">
        <v>999</v>
      </c>
      <c r="I512" t="s">
        <v>2194</v>
      </c>
    </row>
    <row r="513" spans="1:9" x14ac:dyDescent="0.2">
      <c r="A513" t="s">
        <v>2195</v>
      </c>
      <c r="D513" t="str">
        <f>HYPERLINK("http://nlpdeep.cs.uic.edu:8080/proofing/t5/47346-hospital-course-6-3.pdf","t5/47346-hospital-course-6-3.pdf")</f>
        <v>t5/47346-hospital-course-6-3.pdf</v>
      </c>
      <c r="E513">
        <v>118760</v>
      </c>
      <c r="F513">
        <v>47346</v>
      </c>
      <c r="G513" t="s">
        <v>745</v>
      </c>
      <c r="H513" t="s">
        <v>999</v>
      </c>
      <c r="I513" t="s">
        <v>2196</v>
      </c>
    </row>
    <row r="514" spans="1:9" x14ac:dyDescent="0.2">
      <c r="A514" t="s">
        <v>2195</v>
      </c>
      <c r="D514" t="str">
        <f>HYPERLINK("http://nlpdeep.cs.uic.edu:8080/proofing/gsii/47346-hospital-course-6-3.pdf","gsii/47346-hospital-course-6-3.pdf")</f>
        <v>gsii/47346-hospital-course-6-3.pdf</v>
      </c>
      <c r="E514">
        <v>118760</v>
      </c>
      <c r="F514">
        <v>47346</v>
      </c>
      <c r="G514" t="s">
        <v>745</v>
      </c>
      <c r="H514" t="s">
        <v>999</v>
      </c>
      <c r="I514" t="s">
        <v>2196</v>
      </c>
    </row>
    <row r="515" spans="1:9" x14ac:dyDescent="0.2">
      <c r="A515" t="s">
        <v>2197</v>
      </c>
      <c r="D515" t="str">
        <f>HYPERLINK("http://nlpdeep.cs.uic.edu:8080/proofing/t5/47346-hospital-course-6-4.pdf","t5/47346-hospital-course-6-4.pdf")</f>
        <v>t5/47346-hospital-course-6-4.pdf</v>
      </c>
      <c r="E515">
        <v>118760</v>
      </c>
      <c r="F515">
        <v>47346</v>
      </c>
      <c r="G515" t="s">
        <v>745</v>
      </c>
      <c r="H515" t="s">
        <v>999</v>
      </c>
      <c r="I515" t="s">
        <v>2198</v>
      </c>
    </row>
    <row r="516" spans="1:9" x14ac:dyDescent="0.2">
      <c r="A516" t="s">
        <v>2197</v>
      </c>
      <c r="D516" t="str">
        <f>HYPERLINK("http://nlpdeep.cs.uic.edu:8080/proofing/gsii/47346-hospital-course-6-4.pdf","gsii/47346-hospital-course-6-4.pdf")</f>
        <v>gsii/47346-hospital-course-6-4.pdf</v>
      </c>
      <c r="E516">
        <v>118760</v>
      </c>
      <c r="F516">
        <v>47346</v>
      </c>
      <c r="G516" t="s">
        <v>745</v>
      </c>
      <c r="H516" t="s">
        <v>999</v>
      </c>
      <c r="I516" t="s">
        <v>2198</v>
      </c>
    </row>
    <row r="517" spans="1:9" x14ac:dyDescent="0.2">
      <c r="A517" t="s">
        <v>2199</v>
      </c>
      <c r="D517" t="str">
        <f>HYPERLINK("http://nlpdeep.cs.uic.edu:8080/proofing/t5/47346-hospital-course-7-0.pdf","t5/47346-hospital-course-7-0.pdf")</f>
        <v>t5/47346-hospital-course-7-0.pdf</v>
      </c>
      <c r="E517">
        <v>118760</v>
      </c>
      <c r="F517">
        <v>47346</v>
      </c>
      <c r="G517" t="s">
        <v>745</v>
      </c>
      <c r="H517" t="s">
        <v>999</v>
      </c>
      <c r="I517" t="s">
        <v>2200</v>
      </c>
    </row>
    <row r="518" spans="1:9" x14ac:dyDescent="0.2">
      <c r="A518" t="s">
        <v>2199</v>
      </c>
      <c r="D518" t="str">
        <f>HYPERLINK("http://nlpdeep.cs.uic.edu:8080/proofing/gsii/47346-hospital-course-7-0.pdf","gsii/47346-hospital-course-7-0.pdf")</f>
        <v>gsii/47346-hospital-course-7-0.pdf</v>
      </c>
      <c r="E518">
        <v>118760</v>
      </c>
      <c r="F518">
        <v>47346</v>
      </c>
      <c r="G518" t="s">
        <v>745</v>
      </c>
      <c r="H518" t="s">
        <v>999</v>
      </c>
      <c r="I518" t="s">
        <v>2200</v>
      </c>
    </row>
    <row r="519" spans="1:9" x14ac:dyDescent="0.2">
      <c r="A519" t="s">
        <v>2201</v>
      </c>
      <c r="D519" t="str">
        <f>HYPERLINK("http://nlpdeep.cs.uic.edu:8080/proofing/t5/47346-medication-history-0-0.pdf","t5/47346-medication-history-0-0.pdf")</f>
        <v>t5/47346-medication-history-0-0.pdf</v>
      </c>
      <c r="E519">
        <v>118760</v>
      </c>
      <c r="F519">
        <v>47346</v>
      </c>
      <c r="G519" t="s">
        <v>745</v>
      </c>
      <c r="H519" t="s">
        <v>336</v>
      </c>
      <c r="I519" t="s">
        <v>2202</v>
      </c>
    </row>
    <row r="520" spans="1:9" x14ac:dyDescent="0.2">
      <c r="A520" t="s">
        <v>2201</v>
      </c>
      <c r="D520" t="str">
        <f>HYPERLINK("http://nlpdeep.cs.uic.edu:8080/proofing/gsii/47346-medication-history-0-0.pdf","gsii/47346-medication-history-0-0.pdf")</f>
        <v>gsii/47346-medication-history-0-0.pdf</v>
      </c>
      <c r="E520">
        <v>118760</v>
      </c>
      <c r="F520">
        <v>47346</v>
      </c>
      <c r="G520" t="s">
        <v>745</v>
      </c>
      <c r="H520" t="s">
        <v>336</v>
      </c>
      <c r="I520" t="s">
        <v>2202</v>
      </c>
    </row>
    <row r="521" spans="1:9" x14ac:dyDescent="0.2">
      <c r="A521" t="s">
        <v>2203</v>
      </c>
      <c r="D521" t="str">
        <f>HYPERLINK("http://nlpdeep.cs.uic.edu:8080/proofing/t5/47346-discharge-medications-0-0.pdf","t5/47346-discharge-medications-0-0.pdf")</f>
        <v>t5/47346-discharge-medications-0-0.pdf</v>
      </c>
      <c r="E521">
        <v>118760</v>
      </c>
      <c r="F521">
        <v>47346</v>
      </c>
      <c r="G521" t="s">
        <v>745</v>
      </c>
      <c r="H521" t="s">
        <v>1122</v>
      </c>
      <c r="I521" t="s">
        <v>2204</v>
      </c>
    </row>
    <row r="522" spans="1:9" x14ac:dyDescent="0.2">
      <c r="A522" t="s">
        <v>2203</v>
      </c>
      <c r="D522" t="str">
        <f>HYPERLINK("http://nlpdeep.cs.uic.edu:8080/proofing/gsii/47346-discharge-medications-0-0.pdf","gsii/47346-discharge-medications-0-0.pdf")</f>
        <v>gsii/47346-discharge-medications-0-0.pdf</v>
      </c>
      <c r="E522">
        <v>118760</v>
      </c>
      <c r="F522">
        <v>47346</v>
      </c>
      <c r="G522" t="s">
        <v>745</v>
      </c>
      <c r="H522" t="s">
        <v>1122</v>
      </c>
      <c r="I522" t="s">
        <v>2204</v>
      </c>
    </row>
    <row r="523" spans="1:9" x14ac:dyDescent="0.2">
      <c r="A523" t="s">
        <v>2205</v>
      </c>
      <c r="D523" t="str">
        <f>HYPERLINK("http://nlpdeep.cs.uic.edu:8080/proofing/t5/47346-discharge-medications-0-1.pdf","t5/47346-discharge-medications-0-1.pdf")</f>
        <v>t5/47346-discharge-medications-0-1.pdf</v>
      </c>
      <c r="E523">
        <v>118760</v>
      </c>
      <c r="F523">
        <v>47346</v>
      </c>
      <c r="G523" t="s">
        <v>745</v>
      </c>
      <c r="H523" t="s">
        <v>1122</v>
      </c>
      <c r="I523" t="s">
        <v>2206</v>
      </c>
    </row>
    <row r="524" spans="1:9" x14ac:dyDescent="0.2">
      <c r="A524" t="s">
        <v>2205</v>
      </c>
      <c r="D524" t="str">
        <f>HYPERLINK("http://nlpdeep.cs.uic.edu:8080/proofing/gsii/47346-discharge-medications-0-1.pdf","gsii/47346-discharge-medications-0-1.pdf")</f>
        <v>gsii/47346-discharge-medications-0-1.pdf</v>
      </c>
      <c r="E524">
        <v>118760</v>
      </c>
      <c r="F524">
        <v>47346</v>
      </c>
      <c r="G524" t="s">
        <v>745</v>
      </c>
      <c r="H524" t="s">
        <v>1122</v>
      </c>
      <c r="I524" t="s">
        <v>2206</v>
      </c>
    </row>
    <row r="525" spans="1:9" x14ac:dyDescent="0.2">
      <c r="A525" t="s">
        <v>2207</v>
      </c>
      <c r="D525" t="str">
        <f>HYPERLINK("http://nlpdeep.cs.uic.edu:8080/proofing/t5/47346-discharge-medications-0-2.pdf","t5/47346-discharge-medications-0-2.pdf")</f>
        <v>t5/47346-discharge-medications-0-2.pdf</v>
      </c>
      <c r="E525">
        <v>118760</v>
      </c>
      <c r="F525">
        <v>47346</v>
      </c>
      <c r="G525" t="s">
        <v>745</v>
      </c>
      <c r="H525" t="s">
        <v>1122</v>
      </c>
      <c r="I525" t="s">
        <v>2208</v>
      </c>
    </row>
    <row r="526" spans="1:9" x14ac:dyDescent="0.2">
      <c r="A526" t="s">
        <v>2207</v>
      </c>
      <c r="D526" t="str">
        <f>HYPERLINK("http://nlpdeep.cs.uic.edu:8080/proofing/gsii/47346-discharge-medications-0-2.pdf","gsii/47346-discharge-medications-0-2.pdf")</f>
        <v>gsii/47346-discharge-medications-0-2.pdf</v>
      </c>
      <c r="E526">
        <v>118760</v>
      </c>
      <c r="F526">
        <v>47346</v>
      </c>
      <c r="G526" t="s">
        <v>745</v>
      </c>
      <c r="H526" t="s">
        <v>1122</v>
      </c>
      <c r="I526" t="s">
        <v>2208</v>
      </c>
    </row>
    <row r="527" spans="1:9" x14ac:dyDescent="0.2">
      <c r="A527" t="s">
        <v>2209</v>
      </c>
      <c r="D527" t="str">
        <f>HYPERLINK("http://nlpdeep.cs.uic.edu:8080/proofing/t5/47346-discharge-medications-1-0.pdf","t5/47346-discharge-medications-1-0.pdf")</f>
        <v>t5/47346-discharge-medications-1-0.pdf</v>
      </c>
      <c r="E527">
        <v>118760</v>
      </c>
      <c r="F527">
        <v>47346</v>
      </c>
      <c r="G527" t="s">
        <v>745</v>
      </c>
      <c r="H527" t="s">
        <v>1122</v>
      </c>
      <c r="I527" t="s">
        <v>2210</v>
      </c>
    </row>
    <row r="528" spans="1:9" x14ac:dyDescent="0.2">
      <c r="A528" t="s">
        <v>2209</v>
      </c>
      <c r="D528" t="str">
        <f>HYPERLINK("http://nlpdeep.cs.uic.edu:8080/proofing/gsii/47346-discharge-medications-1-0.pdf","gsii/47346-discharge-medications-1-0.pdf")</f>
        <v>gsii/47346-discharge-medications-1-0.pdf</v>
      </c>
      <c r="E528">
        <v>118760</v>
      </c>
      <c r="F528">
        <v>47346</v>
      </c>
      <c r="G528" t="s">
        <v>745</v>
      </c>
      <c r="H528" t="s">
        <v>1122</v>
      </c>
      <c r="I528" t="s">
        <v>2210</v>
      </c>
    </row>
    <row r="529" spans="1:9" x14ac:dyDescent="0.2">
      <c r="A529" t="s">
        <v>2211</v>
      </c>
      <c r="D529" t="str">
        <f>HYPERLINK("http://nlpdeep.cs.uic.edu:8080/proofing/t5/47346-discharge-medications-2-0.pdf","t5/47346-discharge-medications-2-0.pdf")</f>
        <v>t5/47346-discharge-medications-2-0.pdf</v>
      </c>
      <c r="E529">
        <v>118760</v>
      </c>
      <c r="F529">
        <v>47346</v>
      </c>
      <c r="G529" t="s">
        <v>745</v>
      </c>
      <c r="H529" t="s">
        <v>1122</v>
      </c>
      <c r="I529" t="s">
        <v>2212</v>
      </c>
    </row>
    <row r="530" spans="1:9" x14ac:dyDescent="0.2">
      <c r="A530" t="s">
        <v>2211</v>
      </c>
      <c r="D530" t="str">
        <f>HYPERLINK("http://nlpdeep.cs.uic.edu:8080/proofing/gsii/47346-discharge-medications-2-0.pdf","gsii/47346-discharge-medications-2-0.pdf")</f>
        <v>gsii/47346-discharge-medications-2-0.pdf</v>
      </c>
      <c r="E530">
        <v>118760</v>
      </c>
      <c r="F530">
        <v>47346</v>
      </c>
      <c r="G530" t="s">
        <v>745</v>
      </c>
      <c r="H530" t="s">
        <v>1122</v>
      </c>
      <c r="I530" t="s">
        <v>2212</v>
      </c>
    </row>
    <row r="531" spans="1:9" x14ac:dyDescent="0.2">
      <c r="A531" t="s">
        <v>2213</v>
      </c>
      <c r="D531" t="str">
        <f>HYPERLINK("http://nlpdeep.cs.uic.edu:8080/proofing/t5/47346-discharge-medications-2-1.pdf","t5/47346-discharge-medications-2-1.pdf")</f>
        <v>t5/47346-discharge-medications-2-1.pdf</v>
      </c>
      <c r="E531">
        <v>118760</v>
      </c>
      <c r="F531">
        <v>47346</v>
      </c>
      <c r="G531" t="s">
        <v>745</v>
      </c>
      <c r="H531" t="s">
        <v>1122</v>
      </c>
      <c r="I531" t="s">
        <v>2214</v>
      </c>
    </row>
    <row r="532" spans="1:9" x14ac:dyDescent="0.2">
      <c r="A532" t="s">
        <v>2213</v>
      </c>
      <c r="D532" t="str">
        <f>HYPERLINK("http://nlpdeep.cs.uic.edu:8080/proofing/gsii/47346-discharge-medications-2-1.pdf","gsii/47346-discharge-medications-2-1.pdf")</f>
        <v>gsii/47346-discharge-medications-2-1.pdf</v>
      </c>
      <c r="E532">
        <v>118760</v>
      </c>
      <c r="F532">
        <v>47346</v>
      </c>
      <c r="G532" t="s">
        <v>745</v>
      </c>
      <c r="H532" t="s">
        <v>1122</v>
      </c>
      <c r="I532" t="s">
        <v>2214</v>
      </c>
    </row>
    <row r="533" spans="1:9" x14ac:dyDescent="0.2">
      <c r="A533" t="s">
        <v>2215</v>
      </c>
      <c r="D533" t="str">
        <f>HYPERLINK("http://nlpdeep.cs.uic.edu:8080/proofing/t5/47346-discharge-medications-2-2.pdf","t5/47346-discharge-medications-2-2.pdf")</f>
        <v>t5/47346-discharge-medications-2-2.pdf</v>
      </c>
      <c r="E533">
        <v>118760</v>
      </c>
      <c r="F533">
        <v>47346</v>
      </c>
      <c r="G533" t="s">
        <v>745</v>
      </c>
      <c r="H533" t="s">
        <v>1122</v>
      </c>
      <c r="I533" t="s">
        <v>2216</v>
      </c>
    </row>
    <row r="534" spans="1:9" x14ac:dyDescent="0.2">
      <c r="A534" t="s">
        <v>2215</v>
      </c>
      <c r="D534" t="str">
        <f>HYPERLINK("http://nlpdeep.cs.uic.edu:8080/proofing/gsii/47346-discharge-medications-2-2.pdf","gsii/47346-discharge-medications-2-2.pdf")</f>
        <v>gsii/47346-discharge-medications-2-2.pdf</v>
      </c>
      <c r="E534">
        <v>118760</v>
      </c>
      <c r="F534">
        <v>47346</v>
      </c>
      <c r="G534" t="s">
        <v>745</v>
      </c>
      <c r="H534" t="s">
        <v>1122</v>
      </c>
      <c r="I534" t="s">
        <v>2216</v>
      </c>
    </row>
    <row r="535" spans="1:9" x14ac:dyDescent="0.2">
      <c r="A535" t="s">
        <v>2217</v>
      </c>
      <c r="D535" t="str">
        <f>HYPERLINK("http://nlpdeep.cs.uic.edu:8080/proofing/t5/47346-discharge-medications-2-3.pdf","t5/47346-discharge-medications-2-3.pdf")</f>
        <v>t5/47346-discharge-medications-2-3.pdf</v>
      </c>
      <c r="E535">
        <v>118760</v>
      </c>
      <c r="F535">
        <v>47346</v>
      </c>
      <c r="G535" t="s">
        <v>745</v>
      </c>
      <c r="H535" t="s">
        <v>1122</v>
      </c>
      <c r="I535" t="s">
        <v>2218</v>
      </c>
    </row>
    <row r="536" spans="1:9" x14ac:dyDescent="0.2">
      <c r="A536" t="s">
        <v>2217</v>
      </c>
      <c r="D536" t="str">
        <f>HYPERLINK("http://nlpdeep.cs.uic.edu:8080/proofing/gsii/47346-discharge-medications-2-3.pdf","gsii/47346-discharge-medications-2-3.pdf")</f>
        <v>gsii/47346-discharge-medications-2-3.pdf</v>
      </c>
      <c r="E536">
        <v>118760</v>
      </c>
      <c r="F536">
        <v>47346</v>
      </c>
      <c r="G536" t="s">
        <v>745</v>
      </c>
      <c r="H536" t="s">
        <v>1122</v>
      </c>
      <c r="I536" t="s">
        <v>2218</v>
      </c>
    </row>
    <row r="537" spans="1:9" x14ac:dyDescent="0.2">
      <c r="A537" t="s">
        <v>2219</v>
      </c>
      <c r="D537" t="str">
        <f>HYPERLINK("http://nlpdeep.cs.uic.edu:8080/proofing/t5/47346-discharge-medications-2-4.pdf","t5/47346-discharge-medications-2-4.pdf")</f>
        <v>t5/47346-discharge-medications-2-4.pdf</v>
      </c>
      <c r="E537">
        <v>118760</v>
      </c>
      <c r="F537">
        <v>47346</v>
      </c>
      <c r="G537" t="s">
        <v>745</v>
      </c>
      <c r="H537" t="s">
        <v>1122</v>
      </c>
      <c r="I537" t="s">
        <v>2220</v>
      </c>
    </row>
    <row r="538" spans="1:9" x14ac:dyDescent="0.2">
      <c r="A538" t="s">
        <v>2219</v>
      </c>
      <c r="D538" t="str">
        <f>HYPERLINK("http://nlpdeep.cs.uic.edu:8080/proofing/gsii/47346-discharge-medications-2-4.pdf","gsii/47346-discharge-medications-2-4.pdf")</f>
        <v>gsii/47346-discharge-medications-2-4.pdf</v>
      </c>
      <c r="E538">
        <v>118760</v>
      </c>
      <c r="F538">
        <v>47346</v>
      </c>
      <c r="G538" t="s">
        <v>745</v>
      </c>
      <c r="H538" t="s">
        <v>1122</v>
      </c>
      <c r="I538" t="s">
        <v>2220</v>
      </c>
    </row>
    <row r="539" spans="1:9" x14ac:dyDescent="0.2">
      <c r="A539" t="s">
        <v>2221</v>
      </c>
      <c r="D539" t="str">
        <f>HYPERLINK("http://nlpdeep.cs.uic.edu:8080/proofing/t5/47346-discharge-medications-2-5.pdf","t5/47346-discharge-medications-2-5.pdf")</f>
        <v>t5/47346-discharge-medications-2-5.pdf</v>
      </c>
      <c r="E539">
        <v>118760</v>
      </c>
      <c r="F539">
        <v>47346</v>
      </c>
      <c r="G539" t="s">
        <v>745</v>
      </c>
      <c r="H539" t="s">
        <v>1122</v>
      </c>
      <c r="I539" t="s">
        <v>2222</v>
      </c>
    </row>
    <row r="540" spans="1:9" x14ac:dyDescent="0.2">
      <c r="A540" t="s">
        <v>2221</v>
      </c>
      <c r="D540" t="str">
        <f>HYPERLINK("http://nlpdeep.cs.uic.edu:8080/proofing/gsii/47346-discharge-medications-2-5.pdf","gsii/47346-discharge-medications-2-5.pdf")</f>
        <v>gsii/47346-discharge-medications-2-5.pdf</v>
      </c>
      <c r="E540">
        <v>118760</v>
      </c>
      <c r="F540">
        <v>47346</v>
      </c>
      <c r="G540" t="s">
        <v>745</v>
      </c>
      <c r="H540" t="s">
        <v>1122</v>
      </c>
      <c r="I540" t="s">
        <v>2222</v>
      </c>
    </row>
    <row r="541" spans="1:9" x14ac:dyDescent="0.2">
      <c r="A541" t="s">
        <v>2223</v>
      </c>
      <c r="D541" t="str">
        <f>HYPERLINK("http://nlpdeep.cs.uic.edu:8080/proofing/t5/47346-discharge-medications-2-6.pdf","t5/47346-discharge-medications-2-6.pdf")</f>
        <v>t5/47346-discharge-medications-2-6.pdf</v>
      </c>
      <c r="E541">
        <v>118760</v>
      </c>
      <c r="F541">
        <v>47346</v>
      </c>
      <c r="G541" t="s">
        <v>745</v>
      </c>
      <c r="H541" t="s">
        <v>1122</v>
      </c>
      <c r="I541" t="s">
        <v>2224</v>
      </c>
    </row>
    <row r="542" spans="1:9" x14ac:dyDescent="0.2">
      <c r="A542" t="s">
        <v>2223</v>
      </c>
      <c r="D542" t="str">
        <f>HYPERLINK("http://nlpdeep.cs.uic.edu:8080/proofing/gsii/47346-discharge-medications-2-6.pdf","gsii/47346-discharge-medications-2-6.pdf")</f>
        <v>gsii/47346-discharge-medications-2-6.pdf</v>
      </c>
      <c r="E542">
        <v>118760</v>
      </c>
      <c r="F542">
        <v>47346</v>
      </c>
      <c r="G542" t="s">
        <v>745</v>
      </c>
      <c r="H542" t="s">
        <v>1122</v>
      </c>
      <c r="I542" t="s">
        <v>2224</v>
      </c>
    </row>
    <row r="543" spans="1:9" x14ac:dyDescent="0.2">
      <c r="A543" t="s">
        <v>2225</v>
      </c>
      <c r="D543" t="str">
        <f>HYPERLINK("http://nlpdeep.cs.uic.edu:8080/proofing/t5/47346-discharge-medications-3-0.pdf","t5/47346-discharge-medications-3-0.pdf")</f>
        <v>t5/47346-discharge-medications-3-0.pdf</v>
      </c>
      <c r="E543">
        <v>118760</v>
      </c>
      <c r="F543">
        <v>47346</v>
      </c>
      <c r="G543" t="s">
        <v>745</v>
      </c>
      <c r="H543" t="s">
        <v>1122</v>
      </c>
      <c r="I543" t="s">
        <v>2226</v>
      </c>
    </row>
    <row r="544" spans="1:9" x14ac:dyDescent="0.2">
      <c r="A544" t="s">
        <v>2225</v>
      </c>
      <c r="D544" t="str">
        <f>HYPERLINK("http://nlpdeep.cs.uic.edu:8080/proofing/gsii/47346-discharge-medications-3-0.pdf","gsii/47346-discharge-medications-3-0.pdf")</f>
        <v>gsii/47346-discharge-medications-3-0.pdf</v>
      </c>
      <c r="E544">
        <v>118760</v>
      </c>
      <c r="F544">
        <v>47346</v>
      </c>
      <c r="G544" t="s">
        <v>745</v>
      </c>
      <c r="H544" t="s">
        <v>1122</v>
      </c>
      <c r="I544" t="s">
        <v>2226</v>
      </c>
    </row>
    <row r="545" spans="1:9" x14ac:dyDescent="0.2">
      <c r="A545" t="s">
        <v>2227</v>
      </c>
      <c r="D545" t="str">
        <f>HYPERLINK("http://nlpdeep.cs.uic.edu:8080/proofing/t5/47346-discharge-medications-3-1.pdf","t5/47346-discharge-medications-3-1.pdf")</f>
        <v>t5/47346-discharge-medications-3-1.pdf</v>
      </c>
      <c r="E545">
        <v>118760</v>
      </c>
      <c r="F545">
        <v>47346</v>
      </c>
      <c r="G545" t="s">
        <v>745</v>
      </c>
      <c r="H545" t="s">
        <v>1122</v>
      </c>
      <c r="I545" t="s">
        <v>2228</v>
      </c>
    </row>
    <row r="546" spans="1:9" x14ac:dyDescent="0.2">
      <c r="A546" t="s">
        <v>2227</v>
      </c>
      <c r="D546" t="str">
        <f>HYPERLINK("http://nlpdeep.cs.uic.edu:8080/proofing/gsii/47346-discharge-medications-3-1.pdf","gsii/47346-discharge-medications-3-1.pdf")</f>
        <v>gsii/47346-discharge-medications-3-1.pdf</v>
      </c>
      <c r="E546">
        <v>118760</v>
      </c>
      <c r="F546">
        <v>47346</v>
      </c>
      <c r="G546" t="s">
        <v>745</v>
      </c>
      <c r="H546" t="s">
        <v>1122</v>
      </c>
      <c r="I546" t="s">
        <v>2228</v>
      </c>
    </row>
    <row r="547" spans="1:9" x14ac:dyDescent="0.2">
      <c r="A547" t="s">
        <v>2229</v>
      </c>
      <c r="D547" t="str">
        <f>HYPERLINK("http://nlpdeep.cs.uic.edu:8080/proofing/t5/47346-discharge-medications-3-2.pdf","t5/47346-discharge-medications-3-2.pdf")</f>
        <v>t5/47346-discharge-medications-3-2.pdf</v>
      </c>
      <c r="E547">
        <v>118760</v>
      </c>
      <c r="F547">
        <v>47346</v>
      </c>
      <c r="G547" t="s">
        <v>745</v>
      </c>
      <c r="H547" t="s">
        <v>1122</v>
      </c>
      <c r="I547" t="s">
        <v>1133</v>
      </c>
    </row>
    <row r="548" spans="1:9" x14ac:dyDescent="0.2">
      <c r="A548" t="s">
        <v>2229</v>
      </c>
      <c r="D548" t="str">
        <f>HYPERLINK("http://nlpdeep.cs.uic.edu:8080/proofing/gsii/47346-discharge-medications-3-2.pdf","gsii/47346-discharge-medications-3-2.pdf")</f>
        <v>gsii/47346-discharge-medications-3-2.pdf</v>
      </c>
      <c r="E548">
        <v>118760</v>
      </c>
      <c r="F548">
        <v>47346</v>
      </c>
      <c r="G548" t="s">
        <v>745</v>
      </c>
      <c r="H548" t="s">
        <v>1122</v>
      </c>
      <c r="I548" t="s">
        <v>1133</v>
      </c>
    </row>
    <row r="549" spans="1:9" x14ac:dyDescent="0.2">
      <c r="A549" t="s">
        <v>2230</v>
      </c>
      <c r="D549" t="str">
        <f>HYPERLINK("http://nlpdeep.cs.uic.edu:8080/proofing/t5/47346-discharge-medications-3-3.pdf","t5/47346-discharge-medications-3-3.pdf")</f>
        <v>t5/47346-discharge-medications-3-3.pdf</v>
      </c>
      <c r="E549">
        <v>118760</v>
      </c>
      <c r="F549">
        <v>47346</v>
      </c>
      <c r="G549" t="s">
        <v>745</v>
      </c>
      <c r="H549" t="s">
        <v>1122</v>
      </c>
      <c r="I549" t="s">
        <v>2231</v>
      </c>
    </row>
    <row r="550" spans="1:9" x14ac:dyDescent="0.2">
      <c r="A550" t="s">
        <v>2230</v>
      </c>
      <c r="D550" t="str">
        <f>HYPERLINK("http://nlpdeep.cs.uic.edu:8080/proofing/gsii/47346-discharge-medications-3-3.pdf","gsii/47346-discharge-medications-3-3.pdf")</f>
        <v>gsii/47346-discharge-medications-3-3.pdf</v>
      </c>
      <c r="E550">
        <v>118760</v>
      </c>
      <c r="F550">
        <v>47346</v>
      </c>
      <c r="G550" t="s">
        <v>745</v>
      </c>
      <c r="H550" t="s">
        <v>1122</v>
      </c>
      <c r="I550" t="s">
        <v>2231</v>
      </c>
    </row>
    <row r="551" spans="1:9" x14ac:dyDescent="0.2">
      <c r="A551" t="s">
        <v>2232</v>
      </c>
      <c r="D551" t="str">
        <f>HYPERLINK("http://nlpdeep.cs.uic.edu:8080/proofing/t5/47346-discharge-medications-3-4.pdf","t5/47346-discharge-medications-3-4.pdf")</f>
        <v>t5/47346-discharge-medications-3-4.pdf</v>
      </c>
      <c r="E551">
        <v>118760</v>
      </c>
      <c r="F551">
        <v>47346</v>
      </c>
      <c r="G551" t="s">
        <v>745</v>
      </c>
      <c r="H551" t="s">
        <v>1122</v>
      </c>
      <c r="I551" t="s">
        <v>2233</v>
      </c>
    </row>
    <row r="552" spans="1:9" x14ac:dyDescent="0.2">
      <c r="A552" t="s">
        <v>2232</v>
      </c>
      <c r="D552" t="str">
        <f>HYPERLINK("http://nlpdeep.cs.uic.edu:8080/proofing/gsii/47346-discharge-medications-3-4.pdf","gsii/47346-discharge-medications-3-4.pdf")</f>
        <v>gsii/47346-discharge-medications-3-4.pdf</v>
      </c>
      <c r="E552">
        <v>118760</v>
      </c>
      <c r="F552">
        <v>47346</v>
      </c>
      <c r="G552" t="s">
        <v>745</v>
      </c>
      <c r="H552" t="s">
        <v>1122</v>
      </c>
      <c r="I552" t="s">
        <v>2233</v>
      </c>
    </row>
    <row r="553" spans="1:9" x14ac:dyDescent="0.2">
      <c r="A553" t="s">
        <v>2234</v>
      </c>
      <c r="D553" t="str">
        <f>HYPERLINK("http://nlpdeep.cs.uic.edu:8080/proofing/t5/47346-discharge-medications-3-5.pdf","t5/47346-discharge-medications-3-5.pdf")</f>
        <v>t5/47346-discharge-medications-3-5.pdf</v>
      </c>
      <c r="E553">
        <v>118760</v>
      </c>
      <c r="F553">
        <v>47346</v>
      </c>
      <c r="G553" t="s">
        <v>745</v>
      </c>
      <c r="H553" t="s">
        <v>1122</v>
      </c>
      <c r="I553" t="s">
        <v>2235</v>
      </c>
    </row>
    <row r="554" spans="1:9" x14ac:dyDescent="0.2">
      <c r="A554" t="s">
        <v>2234</v>
      </c>
      <c r="D554" t="str">
        <f>HYPERLINK("http://nlpdeep.cs.uic.edu:8080/proofing/gsii/47346-discharge-medications-3-5.pdf","gsii/47346-discharge-medications-3-5.pdf")</f>
        <v>gsii/47346-discharge-medications-3-5.pdf</v>
      </c>
      <c r="E554">
        <v>118760</v>
      </c>
      <c r="F554">
        <v>47346</v>
      </c>
      <c r="G554" t="s">
        <v>745</v>
      </c>
      <c r="H554" t="s">
        <v>1122</v>
      </c>
      <c r="I554" t="s">
        <v>2235</v>
      </c>
    </row>
    <row r="555" spans="1:9" x14ac:dyDescent="0.2">
      <c r="A555" t="s">
        <v>2236</v>
      </c>
      <c r="D555" t="str">
        <f>HYPERLINK("http://nlpdeep.cs.uic.edu:8080/proofing/t5/47346-discharge-medications-3-6.pdf","t5/47346-discharge-medications-3-6.pdf")</f>
        <v>t5/47346-discharge-medications-3-6.pdf</v>
      </c>
      <c r="E555">
        <v>118760</v>
      </c>
      <c r="F555">
        <v>47346</v>
      </c>
      <c r="G555" t="s">
        <v>745</v>
      </c>
      <c r="H555" t="s">
        <v>1122</v>
      </c>
      <c r="I555" t="s">
        <v>2237</v>
      </c>
    </row>
    <row r="556" spans="1:9" x14ac:dyDescent="0.2">
      <c r="A556" t="s">
        <v>2236</v>
      </c>
      <c r="D556" t="str">
        <f>HYPERLINK("http://nlpdeep.cs.uic.edu:8080/proofing/gsii/47346-discharge-medications-3-6.pdf","gsii/47346-discharge-medications-3-6.pdf")</f>
        <v>gsii/47346-discharge-medications-3-6.pdf</v>
      </c>
      <c r="E556">
        <v>118760</v>
      </c>
      <c r="F556">
        <v>47346</v>
      </c>
      <c r="G556" t="s">
        <v>745</v>
      </c>
      <c r="H556" t="s">
        <v>1122</v>
      </c>
      <c r="I556" t="s">
        <v>2237</v>
      </c>
    </row>
    <row r="557" spans="1:9" x14ac:dyDescent="0.2">
      <c r="A557" t="s">
        <v>2238</v>
      </c>
      <c r="D557" t="str">
        <f>HYPERLINK("http://nlpdeep.cs.uic.edu:8080/proofing/t5/47346-discharge-condition-0-0.pdf","t5/47346-discharge-condition-0-0.pdf")</f>
        <v>t5/47346-discharge-condition-0-0.pdf</v>
      </c>
      <c r="E557">
        <v>118760</v>
      </c>
      <c r="F557">
        <v>47346</v>
      </c>
      <c r="G557" t="s">
        <v>745</v>
      </c>
      <c r="H557" t="s">
        <v>1172</v>
      </c>
      <c r="I557" t="s">
        <v>2239</v>
      </c>
    </row>
    <row r="558" spans="1:9" x14ac:dyDescent="0.2">
      <c r="A558" t="s">
        <v>2238</v>
      </c>
      <c r="D558" t="str">
        <f>HYPERLINK("http://nlpdeep.cs.uic.edu:8080/proofing/gsii/47346-discharge-condition-0-0.pdf","gsii/47346-discharge-condition-0-0.pdf")</f>
        <v>gsii/47346-discharge-condition-0-0.pdf</v>
      </c>
      <c r="E558">
        <v>118760</v>
      </c>
      <c r="F558">
        <v>47346</v>
      </c>
      <c r="G558" t="s">
        <v>745</v>
      </c>
      <c r="H558" t="s">
        <v>1172</v>
      </c>
      <c r="I558" t="s">
        <v>2239</v>
      </c>
    </row>
    <row r="559" spans="1:9" x14ac:dyDescent="0.2">
      <c r="A559" t="s">
        <v>2240</v>
      </c>
      <c r="D559" t="str">
        <f>HYPERLINK("http://nlpdeep.cs.uic.edu:8080/proofing/t5/47346-discharge-condition-0-1.pdf","t5/47346-discharge-condition-0-1.pdf")</f>
        <v>t5/47346-discharge-condition-0-1.pdf</v>
      </c>
      <c r="E559">
        <v>118760</v>
      </c>
      <c r="F559">
        <v>47346</v>
      </c>
      <c r="G559" t="s">
        <v>745</v>
      </c>
      <c r="H559" t="s">
        <v>1172</v>
      </c>
      <c r="I559" t="s">
        <v>2241</v>
      </c>
    </row>
    <row r="560" spans="1:9" x14ac:dyDescent="0.2">
      <c r="A560" t="s">
        <v>2240</v>
      </c>
      <c r="D560" t="str">
        <f>HYPERLINK("http://nlpdeep.cs.uic.edu:8080/proofing/gsii/47346-discharge-condition-0-1.pdf","gsii/47346-discharge-condition-0-1.pdf")</f>
        <v>gsii/47346-discharge-condition-0-1.pdf</v>
      </c>
      <c r="E560">
        <v>118760</v>
      </c>
      <c r="F560">
        <v>47346</v>
      </c>
      <c r="G560" t="s">
        <v>745</v>
      </c>
      <c r="H560" t="s">
        <v>1172</v>
      </c>
      <c r="I560" t="s">
        <v>2241</v>
      </c>
    </row>
    <row r="561" spans="1:9" x14ac:dyDescent="0.2">
      <c r="A561" t="s">
        <v>2242</v>
      </c>
      <c r="D561" t="str">
        <f>HYPERLINK("http://nlpdeep.cs.uic.edu:8080/proofing/t5/47346-discharge-condition-0-2.pdf","t5/47346-discharge-condition-0-2.pdf")</f>
        <v>t5/47346-discharge-condition-0-2.pdf</v>
      </c>
      <c r="E561">
        <v>118760</v>
      </c>
      <c r="F561">
        <v>47346</v>
      </c>
      <c r="G561" t="s">
        <v>745</v>
      </c>
      <c r="H561" t="s">
        <v>1172</v>
      </c>
      <c r="I561" t="s">
        <v>2243</v>
      </c>
    </row>
    <row r="562" spans="1:9" x14ac:dyDescent="0.2">
      <c r="A562" t="s">
        <v>2242</v>
      </c>
      <c r="D562" t="str">
        <f>HYPERLINK("http://nlpdeep.cs.uic.edu:8080/proofing/gsii/47346-discharge-condition-0-2.pdf","gsii/47346-discharge-condition-0-2.pdf")</f>
        <v>gsii/47346-discharge-condition-0-2.pdf</v>
      </c>
      <c r="E562">
        <v>118760</v>
      </c>
      <c r="F562">
        <v>47346</v>
      </c>
      <c r="G562" t="s">
        <v>745</v>
      </c>
      <c r="H562" t="s">
        <v>1172</v>
      </c>
      <c r="I562" t="s">
        <v>2243</v>
      </c>
    </row>
    <row r="563" spans="1:9" x14ac:dyDescent="0.2">
      <c r="A563" t="s">
        <v>2244</v>
      </c>
      <c r="D563" t="str">
        <f>HYPERLINK("http://nlpdeep.cs.uic.edu:8080/proofing/t5/47346-discharge-condition-0-3.pdf","t5/47346-discharge-condition-0-3.pdf")</f>
        <v>t5/47346-discharge-condition-0-3.pdf</v>
      </c>
      <c r="E563">
        <v>118760</v>
      </c>
      <c r="F563">
        <v>47346</v>
      </c>
      <c r="G563" t="s">
        <v>745</v>
      </c>
      <c r="H563" t="s">
        <v>1172</v>
      </c>
      <c r="I563" t="s">
        <v>2245</v>
      </c>
    </row>
    <row r="564" spans="1:9" x14ac:dyDescent="0.2">
      <c r="A564" t="s">
        <v>2244</v>
      </c>
      <c r="D564" t="str">
        <f>HYPERLINK("http://nlpdeep.cs.uic.edu:8080/proofing/gsii/47346-discharge-condition-0-3.pdf","gsii/47346-discharge-condition-0-3.pdf")</f>
        <v>gsii/47346-discharge-condition-0-3.pdf</v>
      </c>
      <c r="E564">
        <v>118760</v>
      </c>
      <c r="F564">
        <v>47346</v>
      </c>
      <c r="G564" t="s">
        <v>745</v>
      </c>
      <c r="H564" t="s">
        <v>1172</v>
      </c>
      <c r="I564" t="s">
        <v>2245</v>
      </c>
    </row>
    <row r="565" spans="1:9" x14ac:dyDescent="0.2">
      <c r="A565" t="s">
        <v>2246</v>
      </c>
      <c r="D565" t="str">
        <f>HYPERLINK("http://nlpdeep.cs.uic.edu:8080/proofing/t5/47346-discharge-condition-0-4.pdf","t5/47346-discharge-condition-0-4.pdf")</f>
        <v>t5/47346-discharge-condition-0-4.pdf</v>
      </c>
      <c r="E565">
        <v>118760</v>
      </c>
      <c r="F565">
        <v>47346</v>
      </c>
      <c r="G565" t="s">
        <v>745</v>
      </c>
      <c r="H565" t="s">
        <v>1172</v>
      </c>
      <c r="I565" t="s">
        <v>2247</v>
      </c>
    </row>
    <row r="566" spans="1:9" x14ac:dyDescent="0.2">
      <c r="A566" t="s">
        <v>2246</v>
      </c>
      <c r="D566" t="str">
        <f>HYPERLINK("http://nlpdeep.cs.uic.edu:8080/proofing/gsii/47346-discharge-condition-0-4.pdf","gsii/47346-discharge-condition-0-4.pdf")</f>
        <v>gsii/47346-discharge-condition-0-4.pdf</v>
      </c>
      <c r="E566">
        <v>118760</v>
      </c>
      <c r="F566">
        <v>47346</v>
      </c>
      <c r="G566" t="s">
        <v>745</v>
      </c>
      <c r="H566" t="s">
        <v>1172</v>
      </c>
      <c r="I566" t="s">
        <v>2247</v>
      </c>
    </row>
    <row r="567" spans="1:9" x14ac:dyDescent="0.2">
      <c r="A567" t="s">
        <v>2248</v>
      </c>
      <c r="D567" t="str">
        <f>HYPERLINK("http://nlpdeep.cs.uic.edu:8080/proofing/t5/47346-facility-0-0.pdf","t5/47346-facility-0-0.pdf")</f>
        <v>t5/47346-facility-0-0.pdf</v>
      </c>
      <c r="E567">
        <v>118760</v>
      </c>
      <c r="F567">
        <v>47346</v>
      </c>
      <c r="G567" t="s">
        <v>745</v>
      </c>
      <c r="H567" t="s">
        <v>1165</v>
      </c>
      <c r="I567" t="s">
        <v>2249</v>
      </c>
    </row>
    <row r="568" spans="1:9" x14ac:dyDescent="0.2">
      <c r="A568" t="s">
        <v>2248</v>
      </c>
      <c r="D568" t="str">
        <f>HYPERLINK("http://nlpdeep.cs.uic.edu:8080/proofing/gsii/47346-facility-0-0.pdf","gsii/47346-facility-0-0.pdf")</f>
        <v>gsii/47346-facility-0-0.pdf</v>
      </c>
      <c r="E568">
        <v>118760</v>
      </c>
      <c r="F568">
        <v>47346</v>
      </c>
      <c r="G568" t="s">
        <v>745</v>
      </c>
      <c r="H568" t="s">
        <v>1165</v>
      </c>
      <c r="I568" t="s">
        <v>2249</v>
      </c>
    </row>
    <row r="569" spans="1:9" x14ac:dyDescent="0.2">
      <c r="A569" t="s">
        <v>2250</v>
      </c>
      <c r="D569" t="str">
        <f>HYPERLINK("http://nlpdeep.cs.uic.edu:8080/proofing/t5/47346-discharge-diagnosis-0-0.pdf","t5/47346-discharge-diagnosis-0-0.pdf")</f>
        <v>t5/47346-discharge-diagnosis-0-0.pdf</v>
      </c>
      <c r="E569">
        <v>118760</v>
      </c>
      <c r="F569">
        <v>47346</v>
      </c>
      <c r="G569" t="s">
        <v>745</v>
      </c>
      <c r="H569" t="s">
        <v>1168</v>
      </c>
      <c r="I569" t="s">
        <v>2251</v>
      </c>
    </row>
    <row r="570" spans="1:9" x14ac:dyDescent="0.2">
      <c r="A570" t="s">
        <v>2250</v>
      </c>
      <c r="D570" t="str">
        <f>HYPERLINK("http://nlpdeep.cs.uic.edu:8080/proofing/gsii/47346-discharge-diagnosis-0-0.pdf","gsii/47346-discharge-diagnosis-0-0.pdf")</f>
        <v>gsii/47346-discharge-diagnosis-0-0.pdf</v>
      </c>
      <c r="E570">
        <v>118760</v>
      </c>
      <c r="F570">
        <v>47346</v>
      </c>
      <c r="G570" t="s">
        <v>745</v>
      </c>
      <c r="H570" t="s">
        <v>1168</v>
      </c>
      <c r="I570" t="s">
        <v>2251</v>
      </c>
    </row>
    <row r="571" spans="1:9" x14ac:dyDescent="0.2">
      <c r="A571" t="s">
        <v>2252</v>
      </c>
      <c r="D571" t="str">
        <f>HYPERLINK("http://nlpdeep.cs.uic.edu:8080/proofing/t5/47346-discharge-diagnosis-0-1.pdf","t5/47346-discharge-diagnosis-0-1.pdf")</f>
        <v>t5/47346-discharge-diagnosis-0-1.pdf</v>
      </c>
      <c r="E571">
        <v>118760</v>
      </c>
      <c r="F571">
        <v>47346</v>
      </c>
      <c r="G571" t="s">
        <v>745</v>
      </c>
      <c r="H571" t="s">
        <v>1168</v>
      </c>
      <c r="I571" t="s">
        <v>2253</v>
      </c>
    </row>
    <row r="572" spans="1:9" x14ac:dyDescent="0.2">
      <c r="A572" t="s">
        <v>2252</v>
      </c>
      <c r="D572" t="str">
        <f>HYPERLINK("http://nlpdeep.cs.uic.edu:8080/proofing/gsii/47346-discharge-diagnosis-0-1.pdf","gsii/47346-discharge-diagnosis-0-1.pdf")</f>
        <v>gsii/47346-discharge-diagnosis-0-1.pdf</v>
      </c>
      <c r="E572">
        <v>118760</v>
      </c>
      <c r="F572">
        <v>47346</v>
      </c>
      <c r="G572" t="s">
        <v>745</v>
      </c>
      <c r="H572" t="s">
        <v>1168</v>
      </c>
      <c r="I572" t="s">
        <v>2253</v>
      </c>
    </row>
    <row r="573" spans="1:9" x14ac:dyDescent="0.2">
      <c r="A573" t="s">
        <v>2254</v>
      </c>
      <c r="D573" t="str">
        <f>HYPERLINK("http://nlpdeep.cs.uic.edu:8080/proofing/t5/47346-discharge-diagnosis-0-2.pdf","t5/47346-discharge-diagnosis-0-2.pdf")</f>
        <v>t5/47346-discharge-diagnosis-0-2.pdf</v>
      </c>
      <c r="E573">
        <v>118760</v>
      </c>
      <c r="F573">
        <v>47346</v>
      </c>
      <c r="G573" t="s">
        <v>745</v>
      </c>
      <c r="H573" t="s">
        <v>1168</v>
      </c>
      <c r="I573" t="s">
        <v>2255</v>
      </c>
    </row>
    <row r="574" spans="1:9" x14ac:dyDescent="0.2">
      <c r="A574" t="s">
        <v>2254</v>
      </c>
      <c r="D574" t="str">
        <f>HYPERLINK("http://nlpdeep.cs.uic.edu:8080/proofing/gsii/47346-discharge-diagnosis-0-2.pdf","gsii/47346-discharge-diagnosis-0-2.pdf")</f>
        <v>gsii/47346-discharge-diagnosis-0-2.pdf</v>
      </c>
      <c r="E574">
        <v>118760</v>
      </c>
      <c r="F574">
        <v>47346</v>
      </c>
      <c r="G574" t="s">
        <v>745</v>
      </c>
      <c r="H574" t="s">
        <v>1168</v>
      </c>
      <c r="I574" t="s">
        <v>2255</v>
      </c>
    </row>
    <row r="575" spans="1:9" x14ac:dyDescent="0.2">
      <c r="A575" t="s">
        <v>2256</v>
      </c>
      <c r="D575" t="str">
        <f>HYPERLINK("http://nlpdeep.cs.uic.edu:8080/proofing/t5/47346-discharge-diagnosis-0-3.pdf","t5/47346-discharge-diagnosis-0-3.pdf")</f>
        <v>t5/47346-discharge-diagnosis-0-3.pdf</v>
      </c>
      <c r="E575">
        <v>118760</v>
      </c>
      <c r="F575">
        <v>47346</v>
      </c>
      <c r="G575" t="s">
        <v>745</v>
      </c>
      <c r="H575" t="s">
        <v>1168</v>
      </c>
    </row>
    <row r="576" spans="1:9" x14ac:dyDescent="0.2">
      <c r="A576" t="s">
        <v>2256</v>
      </c>
      <c r="D576" t="str">
        <f>HYPERLINK("http://nlpdeep.cs.uic.edu:8080/proofing/gsii/47346-discharge-diagnosis-0-3.pdf","gsii/47346-discharge-diagnosis-0-3.pdf")</f>
        <v>gsii/47346-discharge-diagnosis-0-3.pdf</v>
      </c>
      <c r="E576">
        <v>118760</v>
      </c>
      <c r="F576">
        <v>47346</v>
      </c>
      <c r="G576" t="s">
        <v>745</v>
      </c>
      <c r="H576" t="s">
        <v>1168</v>
      </c>
    </row>
    <row r="577" spans="1:9" x14ac:dyDescent="0.2">
      <c r="A577" t="s">
        <v>2257</v>
      </c>
      <c r="D577" t="str">
        <f>HYPERLINK("http://nlpdeep.cs.uic.edu:8080/proofing/t5/47346-discharge-diagnosis-1-0.pdf","t5/47346-discharge-diagnosis-1-0.pdf")</f>
        <v>t5/47346-discharge-diagnosis-1-0.pdf</v>
      </c>
      <c r="E577">
        <v>118760</v>
      </c>
      <c r="F577">
        <v>47346</v>
      </c>
      <c r="G577" t="s">
        <v>745</v>
      </c>
      <c r="H577" t="s">
        <v>1168</v>
      </c>
    </row>
    <row r="578" spans="1:9" x14ac:dyDescent="0.2">
      <c r="A578" t="s">
        <v>2257</v>
      </c>
      <c r="D578" t="str">
        <f>HYPERLINK("http://nlpdeep.cs.uic.edu:8080/proofing/gsii/47346-discharge-diagnosis-1-0.pdf","gsii/47346-discharge-diagnosis-1-0.pdf")</f>
        <v>gsii/47346-discharge-diagnosis-1-0.pdf</v>
      </c>
      <c r="E578">
        <v>118760</v>
      </c>
      <c r="F578">
        <v>47346</v>
      </c>
      <c r="G578" t="s">
        <v>745</v>
      </c>
      <c r="H578" t="s">
        <v>1168</v>
      </c>
    </row>
    <row r="579" spans="1:9" x14ac:dyDescent="0.2">
      <c r="A579" t="s">
        <v>2258</v>
      </c>
      <c r="D579" t="str">
        <f>HYPERLINK("http://nlpdeep.cs.uic.edu:8080/proofing/t5/47346-discharge-diagnosis-1-1.pdf","t5/47346-discharge-diagnosis-1-1.pdf")</f>
        <v>t5/47346-discharge-diagnosis-1-1.pdf</v>
      </c>
      <c r="E579">
        <v>118760</v>
      </c>
      <c r="F579">
        <v>47346</v>
      </c>
      <c r="G579" t="s">
        <v>745</v>
      </c>
      <c r="H579" t="s">
        <v>1168</v>
      </c>
      <c r="I579" t="s">
        <v>2259</v>
      </c>
    </row>
    <row r="580" spans="1:9" x14ac:dyDescent="0.2">
      <c r="A580" t="s">
        <v>2258</v>
      </c>
      <c r="D580" t="str">
        <f>HYPERLINK("http://nlpdeep.cs.uic.edu:8080/proofing/gsii/47346-discharge-diagnosis-1-1.pdf","gsii/47346-discharge-diagnosis-1-1.pdf")</f>
        <v>gsii/47346-discharge-diagnosis-1-1.pdf</v>
      </c>
      <c r="E580">
        <v>118760</v>
      </c>
      <c r="F580">
        <v>47346</v>
      </c>
      <c r="G580" t="s">
        <v>745</v>
      </c>
      <c r="H580" t="s">
        <v>1168</v>
      </c>
      <c r="I580" t="s">
        <v>2259</v>
      </c>
    </row>
    <row r="581" spans="1:9" x14ac:dyDescent="0.2">
      <c r="A581" t="s">
        <v>2260</v>
      </c>
      <c r="D581" t="str">
        <f>HYPERLINK("http://nlpdeep.cs.uic.edu:8080/proofing/t5/47346-discharge-instructions-0-0.pdf","t5/47346-discharge-instructions-0-0.pdf")</f>
        <v>t5/47346-discharge-instructions-0-0.pdf</v>
      </c>
      <c r="E581">
        <v>118760</v>
      </c>
      <c r="F581">
        <v>47346</v>
      </c>
      <c r="G581" t="s">
        <v>745</v>
      </c>
      <c r="H581" t="s">
        <v>1179</v>
      </c>
      <c r="I581" t="s">
        <v>2261</v>
      </c>
    </row>
    <row r="582" spans="1:9" x14ac:dyDescent="0.2">
      <c r="A582" t="s">
        <v>2260</v>
      </c>
      <c r="D582" t="str">
        <f>HYPERLINK("http://nlpdeep.cs.uic.edu:8080/proofing/gsii/47346-discharge-instructions-0-0.pdf","gsii/47346-discharge-instructions-0-0.pdf")</f>
        <v>gsii/47346-discharge-instructions-0-0.pdf</v>
      </c>
      <c r="E582">
        <v>118760</v>
      </c>
      <c r="F582">
        <v>47346</v>
      </c>
      <c r="G582" t="s">
        <v>745</v>
      </c>
      <c r="H582" t="s">
        <v>1179</v>
      </c>
      <c r="I582" t="s">
        <v>2261</v>
      </c>
    </row>
    <row r="583" spans="1:9" x14ac:dyDescent="0.2">
      <c r="A583" t="s">
        <v>2262</v>
      </c>
      <c r="D583" t="str">
        <f>HYPERLINK("http://nlpdeep.cs.uic.edu:8080/proofing/t5/47346-discharge-instructions-0-1.pdf","t5/47346-discharge-instructions-0-1.pdf")</f>
        <v>t5/47346-discharge-instructions-0-1.pdf</v>
      </c>
      <c r="E583">
        <v>118760</v>
      </c>
      <c r="F583">
        <v>47346</v>
      </c>
      <c r="G583" t="s">
        <v>745</v>
      </c>
      <c r="H583" t="s">
        <v>1179</v>
      </c>
      <c r="I583" t="s">
        <v>2263</v>
      </c>
    </row>
    <row r="584" spans="1:9" x14ac:dyDescent="0.2">
      <c r="A584" t="s">
        <v>2262</v>
      </c>
      <c r="D584" t="str">
        <f>HYPERLINK("http://nlpdeep.cs.uic.edu:8080/proofing/gsii/47346-discharge-instructions-0-1.pdf","gsii/47346-discharge-instructions-0-1.pdf")</f>
        <v>gsii/47346-discharge-instructions-0-1.pdf</v>
      </c>
      <c r="E584">
        <v>118760</v>
      </c>
      <c r="F584">
        <v>47346</v>
      </c>
      <c r="G584" t="s">
        <v>745</v>
      </c>
      <c r="H584" t="s">
        <v>1179</v>
      </c>
      <c r="I584" t="s">
        <v>2263</v>
      </c>
    </row>
    <row r="585" spans="1:9" x14ac:dyDescent="0.2">
      <c r="A585" t="s">
        <v>2264</v>
      </c>
      <c r="D585" t="str">
        <f>HYPERLINK("http://nlpdeep.cs.uic.edu:8080/proofing/t5/47346-discharge-instructions-0-2.pdf","t5/47346-discharge-instructions-0-2.pdf")</f>
        <v>t5/47346-discharge-instructions-0-2.pdf</v>
      </c>
      <c r="E585">
        <v>118760</v>
      </c>
      <c r="F585">
        <v>47346</v>
      </c>
      <c r="G585" t="s">
        <v>745</v>
      </c>
      <c r="H585" t="s">
        <v>1179</v>
      </c>
      <c r="I585" t="s">
        <v>2265</v>
      </c>
    </row>
    <row r="586" spans="1:9" x14ac:dyDescent="0.2">
      <c r="A586" t="s">
        <v>2264</v>
      </c>
      <c r="D586" t="str">
        <f>HYPERLINK("http://nlpdeep.cs.uic.edu:8080/proofing/gsii/47346-discharge-instructions-0-2.pdf","gsii/47346-discharge-instructions-0-2.pdf")</f>
        <v>gsii/47346-discharge-instructions-0-2.pdf</v>
      </c>
      <c r="E586">
        <v>118760</v>
      </c>
      <c r="F586">
        <v>47346</v>
      </c>
      <c r="G586" t="s">
        <v>745</v>
      </c>
      <c r="H586" t="s">
        <v>1179</v>
      </c>
      <c r="I586" t="s">
        <v>2265</v>
      </c>
    </row>
    <row r="587" spans="1:9" x14ac:dyDescent="0.2">
      <c r="A587" t="s">
        <v>2266</v>
      </c>
      <c r="D587" t="str">
        <f>HYPERLINK("http://nlpdeep.cs.uic.edu:8080/proofing/t5/47346-discharge-instructions-0-3.pdf","t5/47346-discharge-instructions-0-3.pdf")</f>
        <v>t5/47346-discharge-instructions-0-3.pdf</v>
      </c>
      <c r="E587">
        <v>118760</v>
      </c>
      <c r="F587">
        <v>47346</v>
      </c>
      <c r="G587" t="s">
        <v>745</v>
      </c>
      <c r="H587" t="s">
        <v>1179</v>
      </c>
      <c r="I587" t="s">
        <v>2267</v>
      </c>
    </row>
    <row r="588" spans="1:9" x14ac:dyDescent="0.2">
      <c r="A588" t="s">
        <v>2266</v>
      </c>
      <c r="D588" t="str">
        <f>HYPERLINK("http://nlpdeep.cs.uic.edu:8080/proofing/gsii/47346-discharge-instructions-0-3.pdf","gsii/47346-discharge-instructions-0-3.pdf")</f>
        <v>gsii/47346-discharge-instructions-0-3.pdf</v>
      </c>
      <c r="E588">
        <v>118760</v>
      </c>
      <c r="F588">
        <v>47346</v>
      </c>
      <c r="G588" t="s">
        <v>745</v>
      </c>
      <c r="H588" t="s">
        <v>1179</v>
      </c>
      <c r="I588" t="s">
        <v>2267</v>
      </c>
    </row>
    <row r="589" spans="1:9" x14ac:dyDescent="0.2">
      <c r="A589" t="s">
        <v>2268</v>
      </c>
      <c r="D589" t="str">
        <f>HYPERLINK("http://nlpdeep.cs.uic.edu:8080/proofing/t5/47346-discharge-instructions-0-4.pdf","t5/47346-discharge-instructions-0-4.pdf")</f>
        <v>t5/47346-discharge-instructions-0-4.pdf</v>
      </c>
      <c r="E589">
        <v>118760</v>
      </c>
      <c r="F589">
        <v>47346</v>
      </c>
      <c r="G589" t="s">
        <v>745</v>
      </c>
      <c r="H589" t="s">
        <v>1179</v>
      </c>
      <c r="I589" t="s">
        <v>2269</v>
      </c>
    </row>
    <row r="590" spans="1:9" x14ac:dyDescent="0.2">
      <c r="A590" t="s">
        <v>2268</v>
      </c>
      <c r="D590" t="str">
        <f>HYPERLINK("http://nlpdeep.cs.uic.edu:8080/proofing/gsii/47346-discharge-instructions-0-4.pdf","gsii/47346-discharge-instructions-0-4.pdf")</f>
        <v>gsii/47346-discharge-instructions-0-4.pdf</v>
      </c>
      <c r="E590">
        <v>118760</v>
      </c>
      <c r="F590">
        <v>47346</v>
      </c>
      <c r="G590" t="s">
        <v>745</v>
      </c>
      <c r="H590" t="s">
        <v>1179</v>
      </c>
      <c r="I590" t="s">
        <v>2269</v>
      </c>
    </row>
    <row r="591" spans="1:9" x14ac:dyDescent="0.2">
      <c r="A591" t="s">
        <v>2270</v>
      </c>
      <c r="D591" t="str">
        <f>HYPERLINK("http://nlpdeep.cs.uic.edu:8080/proofing/t5/47346-discharge-instructions-0-5.pdf","t5/47346-discharge-instructions-0-5.pdf")</f>
        <v>t5/47346-discharge-instructions-0-5.pdf</v>
      </c>
      <c r="E591">
        <v>118760</v>
      </c>
      <c r="F591">
        <v>47346</v>
      </c>
      <c r="G591" t="s">
        <v>745</v>
      </c>
      <c r="H591" t="s">
        <v>1179</v>
      </c>
      <c r="I591" t="s">
        <v>2271</v>
      </c>
    </row>
    <row r="592" spans="1:9" x14ac:dyDescent="0.2">
      <c r="A592" t="s">
        <v>2270</v>
      </c>
      <c r="D592" t="str">
        <f>HYPERLINK("http://nlpdeep.cs.uic.edu:8080/proofing/gsii/47346-discharge-instructions-0-5.pdf","gsii/47346-discharge-instructions-0-5.pdf")</f>
        <v>gsii/47346-discharge-instructions-0-5.pdf</v>
      </c>
      <c r="E592">
        <v>118760</v>
      </c>
      <c r="F592">
        <v>47346</v>
      </c>
      <c r="G592" t="s">
        <v>745</v>
      </c>
      <c r="H592" t="s">
        <v>1179</v>
      </c>
      <c r="I592" t="s">
        <v>2271</v>
      </c>
    </row>
    <row r="593" spans="1:9" x14ac:dyDescent="0.2">
      <c r="A593" t="s">
        <v>2272</v>
      </c>
      <c r="D593" t="str">
        <f>HYPERLINK("http://nlpdeep.cs.uic.edu:8080/proofing/t5/47346-discharge-instructions-1-0.pdf","t5/47346-discharge-instructions-1-0.pdf")</f>
        <v>t5/47346-discharge-instructions-1-0.pdf</v>
      </c>
      <c r="E593">
        <v>118760</v>
      </c>
      <c r="F593">
        <v>47346</v>
      </c>
      <c r="G593" t="s">
        <v>745</v>
      </c>
      <c r="H593" t="s">
        <v>1179</v>
      </c>
      <c r="I593" t="s">
        <v>2273</v>
      </c>
    </row>
    <row r="594" spans="1:9" x14ac:dyDescent="0.2">
      <c r="A594" t="s">
        <v>2272</v>
      </c>
      <c r="D594" t="str">
        <f>HYPERLINK("http://nlpdeep.cs.uic.edu:8080/proofing/gsii/47346-discharge-instructions-1-0.pdf","gsii/47346-discharge-instructions-1-0.pdf")</f>
        <v>gsii/47346-discharge-instructions-1-0.pdf</v>
      </c>
      <c r="E594">
        <v>118760</v>
      </c>
      <c r="F594">
        <v>47346</v>
      </c>
      <c r="G594" t="s">
        <v>745</v>
      </c>
      <c r="H594" t="s">
        <v>1179</v>
      </c>
      <c r="I594" t="s">
        <v>2273</v>
      </c>
    </row>
    <row r="595" spans="1:9" x14ac:dyDescent="0.2">
      <c r="A595" t="s">
        <v>2274</v>
      </c>
      <c r="D595" t="str">
        <f>HYPERLINK("http://nlpdeep.cs.uic.edu:8080/proofing/t5/47346-discharge-instructions-1-1.pdf","t5/47346-discharge-instructions-1-1.pdf")</f>
        <v>t5/47346-discharge-instructions-1-1.pdf</v>
      </c>
      <c r="E595">
        <v>118760</v>
      </c>
      <c r="F595">
        <v>47346</v>
      </c>
      <c r="G595" t="s">
        <v>745</v>
      </c>
      <c r="H595" t="s">
        <v>1179</v>
      </c>
      <c r="I595" t="s">
        <v>2275</v>
      </c>
    </row>
    <row r="596" spans="1:9" x14ac:dyDescent="0.2">
      <c r="A596" t="s">
        <v>2274</v>
      </c>
      <c r="D596" t="str">
        <f>HYPERLINK("http://nlpdeep.cs.uic.edu:8080/proofing/gsii/47346-discharge-instructions-1-1.pdf","gsii/47346-discharge-instructions-1-1.pdf")</f>
        <v>gsii/47346-discharge-instructions-1-1.pdf</v>
      </c>
      <c r="E596">
        <v>118760</v>
      </c>
      <c r="F596">
        <v>47346</v>
      </c>
      <c r="G596" t="s">
        <v>745</v>
      </c>
      <c r="H596" t="s">
        <v>1179</v>
      </c>
      <c r="I596" t="s">
        <v>2275</v>
      </c>
    </row>
    <row r="597" spans="1:9" x14ac:dyDescent="0.2">
      <c r="A597" t="s">
        <v>2276</v>
      </c>
      <c r="D597" t="str">
        <f>HYPERLINK("http://nlpdeep.cs.uic.edu:8080/proofing/t5/47346-discharge-instructions-1-2.pdf","t5/47346-discharge-instructions-1-2.pdf")</f>
        <v>t5/47346-discharge-instructions-1-2.pdf</v>
      </c>
      <c r="E597">
        <v>118760</v>
      </c>
      <c r="F597">
        <v>47346</v>
      </c>
      <c r="G597" t="s">
        <v>745</v>
      </c>
      <c r="H597" t="s">
        <v>1179</v>
      </c>
      <c r="I597" t="s">
        <v>2277</v>
      </c>
    </row>
    <row r="598" spans="1:9" x14ac:dyDescent="0.2">
      <c r="A598" t="s">
        <v>2276</v>
      </c>
      <c r="D598" t="str">
        <f>HYPERLINK("http://nlpdeep.cs.uic.edu:8080/proofing/gsii/47346-discharge-instructions-1-2.pdf","gsii/47346-discharge-instructions-1-2.pdf")</f>
        <v>gsii/47346-discharge-instructions-1-2.pdf</v>
      </c>
      <c r="E598">
        <v>118760</v>
      </c>
      <c r="F598">
        <v>47346</v>
      </c>
      <c r="G598" t="s">
        <v>745</v>
      </c>
      <c r="H598" t="s">
        <v>1179</v>
      </c>
      <c r="I598" t="s">
        <v>2277</v>
      </c>
    </row>
    <row r="599" spans="1:9" x14ac:dyDescent="0.2">
      <c r="A599" t="s">
        <v>2278</v>
      </c>
      <c r="D599" t="str">
        <f>HYPERLINK("http://nlpdeep.cs.uic.edu:8080/proofing/t5/47346-discharge-instructions-1-3.pdf","t5/47346-discharge-instructions-1-3.pdf")</f>
        <v>t5/47346-discharge-instructions-1-3.pdf</v>
      </c>
      <c r="E599">
        <v>118760</v>
      </c>
      <c r="F599">
        <v>47346</v>
      </c>
      <c r="G599" t="s">
        <v>745</v>
      </c>
      <c r="H599" t="s">
        <v>1179</v>
      </c>
      <c r="I599" t="s">
        <v>2279</v>
      </c>
    </row>
    <row r="600" spans="1:9" x14ac:dyDescent="0.2">
      <c r="A600" t="s">
        <v>2278</v>
      </c>
      <c r="D600" t="str">
        <f>HYPERLINK("http://nlpdeep.cs.uic.edu:8080/proofing/gsii/47346-discharge-instructions-1-3.pdf","gsii/47346-discharge-instructions-1-3.pdf")</f>
        <v>gsii/47346-discharge-instructions-1-3.pdf</v>
      </c>
      <c r="E600">
        <v>118760</v>
      </c>
      <c r="F600">
        <v>47346</v>
      </c>
      <c r="G600" t="s">
        <v>745</v>
      </c>
      <c r="H600" t="s">
        <v>1179</v>
      </c>
      <c r="I600" t="s">
        <v>2279</v>
      </c>
    </row>
    <row r="601" spans="1:9" x14ac:dyDescent="0.2">
      <c r="A601" t="s">
        <v>2280</v>
      </c>
      <c r="D601" t="str">
        <f>HYPERLINK("http://nlpdeep.cs.uic.edu:8080/proofing/t5/47346-discharge-instructions-1-4.pdf","t5/47346-discharge-instructions-1-4.pdf")</f>
        <v>t5/47346-discharge-instructions-1-4.pdf</v>
      </c>
      <c r="E601">
        <v>118760</v>
      </c>
      <c r="F601">
        <v>47346</v>
      </c>
      <c r="G601" t="s">
        <v>745</v>
      </c>
      <c r="H601" t="s">
        <v>1179</v>
      </c>
      <c r="I601" t="s">
        <v>2281</v>
      </c>
    </row>
    <row r="602" spans="1:9" x14ac:dyDescent="0.2">
      <c r="A602" t="s">
        <v>2280</v>
      </c>
      <c r="D602" t="str">
        <f>HYPERLINK("http://nlpdeep.cs.uic.edu:8080/proofing/gsii/47346-discharge-instructions-1-4.pdf","gsii/47346-discharge-instructions-1-4.pdf")</f>
        <v>gsii/47346-discharge-instructions-1-4.pdf</v>
      </c>
      <c r="E602">
        <v>118760</v>
      </c>
      <c r="F602">
        <v>47346</v>
      </c>
      <c r="G602" t="s">
        <v>745</v>
      </c>
      <c r="H602" t="s">
        <v>1179</v>
      </c>
      <c r="I602" t="s">
        <v>2281</v>
      </c>
    </row>
    <row r="603" spans="1:9" x14ac:dyDescent="0.2">
      <c r="A603" t="s">
        <v>2282</v>
      </c>
      <c r="D603" t="str">
        <f>HYPERLINK("http://nlpdeep.cs.uic.edu:8080/proofing/t5/47346-discharge-instructions-1-5.pdf","t5/47346-discharge-instructions-1-5.pdf")</f>
        <v>t5/47346-discharge-instructions-1-5.pdf</v>
      </c>
      <c r="E603">
        <v>118760</v>
      </c>
      <c r="F603">
        <v>47346</v>
      </c>
      <c r="G603" t="s">
        <v>745</v>
      </c>
      <c r="H603" t="s">
        <v>1179</v>
      </c>
      <c r="I603" t="s">
        <v>2283</v>
      </c>
    </row>
    <row r="604" spans="1:9" x14ac:dyDescent="0.2">
      <c r="A604" t="s">
        <v>2282</v>
      </c>
      <c r="D604" t="str">
        <f>HYPERLINK("http://nlpdeep.cs.uic.edu:8080/proofing/gsii/47346-discharge-instructions-1-5.pdf","gsii/47346-discharge-instructions-1-5.pdf")</f>
        <v>gsii/47346-discharge-instructions-1-5.pdf</v>
      </c>
      <c r="E604">
        <v>118760</v>
      </c>
      <c r="F604">
        <v>47346</v>
      </c>
      <c r="G604" t="s">
        <v>745</v>
      </c>
      <c r="H604" t="s">
        <v>1179</v>
      </c>
      <c r="I604" t="s">
        <v>2283</v>
      </c>
    </row>
    <row r="605" spans="1:9" x14ac:dyDescent="0.2">
      <c r="A605" t="s">
        <v>2284</v>
      </c>
      <c r="D605" t="str">
        <f>HYPERLINK("http://nlpdeep.cs.uic.edu:8080/proofing/t5/47346-discharge-instructions-1-6.pdf","t5/47346-discharge-instructions-1-6.pdf")</f>
        <v>t5/47346-discharge-instructions-1-6.pdf</v>
      </c>
      <c r="E605">
        <v>118760</v>
      </c>
      <c r="F605">
        <v>47346</v>
      </c>
      <c r="G605" t="s">
        <v>745</v>
      </c>
      <c r="H605" t="s">
        <v>1179</v>
      </c>
      <c r="I605" t="s">
        <v>2285</v>
      </c>
    </row>
    <row r="606" spans="1:9" x14ac:dyDescent="0.2">
      <c r="A606" t="s">
        <v>2284</v>
      </c>
      <c r="D606" t="str">
        <f>HYPERLINK("http://nlpdeep.cs.uic.edu:8080/proofing/gsii/47346-discharge-instructions-1-6.pdf","gsii/47346-discharge-instructions-1-6.pdf")</f>
        <v>gsii/47346-discharge-instructions-1-6.pdf</v>
      </c>
      <c r="E606">
        <v>118760</v>
      </c>
      <c r="F606">
        <v>47346</v>
      </c>
      <c r="G606" t="s">
        <v>745</v>
      </c>
      <c r="H606" t="s">
        <v>1179</v>
      </c>
      <c r="I606" t="s">
        <v>2285</v>
      </c>
    </row>
    <row r="607" spans="1:9" x14ac:dyDescent="0.2">
      <c r="A607" t="s">
        <v>2286</v>
      </c>
      <c r="D607" t="str">
        <f>HYPERLINK("http://nlpdeep.cs.uic.edu:8080/proofing/t5/47346-discharge-instructions-1-7.pdf","t5/47346-discharge-instructions-1-7.pdf")</f>
        <v>t5/47346-discharge-instructions-1-7.pdf</v>
      </c>
      <c r="E607">
        <v>118760</v>
      </c>
      <c r="F607">
        <v>47346</v>
      </c>
      <c r="G607" t="s">
        <v>745</v>
      </c>
      <c r="H607" t="s">
        <v>1179</v>
      </c>
      <c r="I607" t="s">
        <v>2287</v>
      </c>
    </row>
    <row r="608" spans="1:9" x14ac:dyDescent="0.2">
      <c r="A608" t="s">
        <v>2286</v>
      </c>
      <c r="D608" t="str">
        <f>HYPERLINK("http://nlpdeep.cs.uic.edu:8080/proofing/gsii/47346-discharge-instructions-1-7.pdf","gsii/47346-discharge-instructions-1-7.pdf")</f>
        <v>gsii/47346-discharge-instructions-1-7.pdf</v>
      </c>
      <c r="E608">
        <v>118760</v>
      </c>
      <c r="F608">
        <v>47346</v>
      </c>
      <c r="G608" t="s">
        <v>745</v>
      </c>
      <c r="H608" t="s">
        <v>1179</v>
      </c>
      <c r="I608" t="s">
        <v>2287</v>
      </c>
    </row>
    <row r="609" spans="1:9" x14ac:dyDescent="0.2">
      <c r="A609" t="s">
        <v>2288</v>
      </c>
      <c r="D609" t="str">
        <f>HYPERLINK("http://nlpdeep.cs.uic.edu:8080/proofing/t5/47346-discharge-instructions-1-8.pdf","t5/47346-discharge-instructions-1-8.pdf")</f>
        <v>t5/47346-discharge-instructions-1-8.pdf</v>
      </c>
      <c r="E609">
        <v>118760</v>
      </c>
      <c r="F609">
        <v>47346</v>
      </c>
      <c r="G609" t="s">
        <v>745</v>
      </c>
      <c r="H609" t="s">
        <v>1179</v>
      </c>
      <c r="I609" t="s">
        <v>2289</v>
      </c>
    </row>
    <row r="610" spans="1:9" x14ac:dyDescent="0.2">
      <c r="A610" t="s">
        <v>2288</v>
      </c>
      <c r="D610" t="str">
        <f>HYPERLINK("http://nlpdeep.cs.uic.edu:8080/proofing/gsii/47346-discharge-instructions-1-8.pdf","gsii/47346-discharge-instructions-1-8.pdf")</f>
        <v>gsii/47346-discharge-instructions-1-8.pdf</v>
      </c>
      <c r="E610">
        <v>118760</v>
      </c>
      <c r="F610">
        <v>47346</v>
      </c>
      <c r="G610" t="s">
        <v>745</v>
      </c>
      <c r="H610" t="s">
        <v>1179</v>
      </c>
      <c r="I610" t="s">
        <v>2289</v>
      </c>
    </row>
    <row r="611" spans="1:9" x14ac:dyDescent="0.2">
      <c r="A611" t="s">
        <v>2290</v>
      </c>
      <c r="D611" t="str">
        <f>HYPERLINK("http://nlpdeep.cs.uic.edu:8080/proofing/t5/47346-discharge-instructions-1-9.pdf","t5/47346-discharge-instructions-1-9.pdf")</f>
        <v>t5/47346-discharge-instructions-1-9.pdf</v>
      </c>
      <c r="E611">
        <v>118760</v>
      </c>
      <c r="F611">
        <v>47346</v>
      </c>
      <c r="G611" t="s">
        <v>745</v>
      </c>
      <c r="H611" t="s">
        <v>1179</v>
      </c>
      <c r="I611" t="s">
        <v>2291</v>
      </c>
    </row>
    <row r="612" spans="1:9" x14ac:dyDescent="0.2">
      <c r="A612" t="s">
        <v>2290</v>
      </c>
      <c r="D612" t="str">
        <f>HYPERLINK("http://nlpdeep.cs.uic.edu:8080/proofing/gsii/47346-discharge-instructions-1-9.pdf","gsii/47346-discharge-instructions-1-9.pdf")</f>
        <v>gsii/47346-discharge-instructions-1-9.pdf</v>
      </c>
      <c r="E612">
        <v>118760</v>
      </c>
      <c r="F612">
        <v>47346</v>
      </c>
      <c r="G612" t="s">
        <v>745</v>
      </c>
      <c r="H612" t="s">
        <v>1179</v>
      </c>
      <c r="I612" t="s">
        <v>2291</v>
      </c>
    </row>
    <row r="613" spans="1:9" x14ac:dyDescent="0.2">
      <c r="A613" t="s">
        <v>2292</v>
      </c>
      <c r="D613" t="str">
        <f>HYPERLINK("http://nlpdeep.cs.uic.edu:8080/proofing/t5/47346-discharge-instructions-2-0.pdf","t5/47346-discharge-instructions-2-0.pdf")</f>
        <v>t5/47346-discharge-instructions-2-0.pdf</v>
      </c>
      <c r="E613">
        <v>118760</v>
      </c>
      <c r="F613">
        <v>47346</v>
      </c>
      <c r="G613" t="s">
        <v>745</v>
      </c>
      <c r="H613" t="s">
        <v>1179</v>
      </c>
      <c r="I613" t="s">
        <v>2293</v>
      </c>
    </row>
    <row r="614" spans="1:9" x14ac:dyDescent="0.2">
      <c r="A614" t="s">
        <v>2292</v>
      </c>
      <c r="D614" t="str">
        <f>HYPERLINK("http://nlpdeep.cs.uic.edu:8080/proofing/gsii/47346-discharge-instructions-2-0.pdf","gsii/47346-discharge-instructions-2-0.pdf")</f>
        <v>gsii/47346-discharge-instructions-2-0.pdf</v>
      </c>
      <c r="E614">
        <v>118760</v>
      </c>
      <c r="F614">
        <v>47346</v>
      </c>
      <c r="G614" t="s">
        <v>745</v>
      </c>
      <c r="H614" t="s">
        <v>1179</v>
      </c>
      <c r="I614" t="s">
        <v>2293</v>
      </c>
    </row>
    <row r="615" spans="1:9" x14ac:dyDescent="0.2">
      <c r="A615" t="s">
        <v>2294</v>
      </c>
      <c r="D615" t="str">
        <f>HYPERLINK("http://nlpdeep.cs.uic.edu:8080/proofing/t5/47346-discharge-instructions-3-0.pdf","t5/47346-discharge-instructions-3-0.pdf")</f>
        <v>t5/47346-discharge-instructions-3-0.pdf</v>
      </c>
      <c r="E615">
        <v>118760</v>
      </c>
      <c r="F615">
        <v>47346</v>
      </c>
      <c r="G615" t="s">
        <v>745</v>
      </c>
      <c r="H615" t="s">
        <v>1179</v>
      </c>
    </row>
    <row r="616" spans="1:9" x14ac:dyDescent="0.2">
      <c r="A616" t="s">
        <v>2294</v>
      </c>
      <c r="D616" t="str">
        <f>HYPERLINK("http://nlpdeep.cs.uic.edu:8080/proofing/gsii/47346-discharge-instructions-3-0.pdf","gsii/47346-discharge-instructions-3-0.pdf")</f>
        <v>gsii/47346-discharge-instructions-3-0.pdf</v>
      </c>
      <c r="E616">
        <v>118760</v>
      </c>
      <c r="F616">
        <v>47346</v>
      </c>
      <c r="G616" t="s">
        <v>745</v>
      </c>
      <c r="H616" t="s">
        <v>1179</v>
      </c>
    </row>
    <row r="617" spans="1:9" x14ac:dyDescent="0.2">
      <c r="A617" t="s">
        <v>2295</v>
      </c>
      <c r="D617" t="str">
        <f>HYPERLINK("http://nlpdeep.cs.uic.edu:8080/proofing/t5/47346-discharge-instructions-4-0.pdf","t5/47346-discharge-instructions-4-0.pdf")</f>
        <v>t5/47346-discharge-instructions-4-0.pdf</v>
      </c>
      <c r="E617">
        <v>118760</v>
      </c>
      <c r="F617">
        <v>47346</v>
      </c>
      <c r="G617" t="s">
        <v>745</v>
      </c>
      <c r="H617" t="s">
        <v>1179</v>
      </c>
    </row>
    <row r="618" spans="1:9" x14ac:dyDescent="0.2">
      <c r="A618" t="s">
        <v>2295</v>
      </c>
      <c r="D618" t="str">
        <f>HYPERLINK("http://nlpdeep.cs.uic.edu:8080/proofing/gsii/47346-discharge-instructions-4-0.pdf","gsii/47346-discharge-instructions-4-0.pdf")</f>
        <v>gsii/47346-discharge-instructions-4-0.pdf</v>
      </c>
      <c r="E618">
        <v>118760</v>
      </c>
      <c r="F618">
        <v>47346</v>
      </c>
      <c r="G618" t="s">
        <v>745</v>
      </c>
      <c r="H618" t="s">
        <v>1179</v>
      </c>
    </row>
    <row r="619" spans="1:9" x14ac:dyDescent="0.2">
      <c r="A619" t="s">
        <v>2296</v>
      </c>
      <c r="D619" t="str">
        <f>HYPERLINK("http://nlpdeep.cs.uic.edu:8080/proofing/t5/47346-discharge-instructions-5-0.pdf","t5/47346-discharge-instructions-5-0.pdf")</f>
        <v>t5/47346-discharge-instructions-5-0.pdf</v>
      </c>
      <c r="E619">
        <v>118760</v>
      </c>
      <c r="F619">
        <v>47346</v>
      </c>
      <c r="G619" t="s">
        <v>745</v>
      </c>
      <c r="H619" t="s">
        <v>1179</v>
      </c>
    </row>
    <row r="620" spans="1:9" x14ac:dyDescent="0.2">
      <c r="A620" t="s">
        <v>2296</v>
      </c>
      <c r="D620" t="str">
        <f>HYPERLINK("http://nlpdeep.cs.uic.edu:8080/proofing/gsii/47346-discharge-instructions-5-0.pdf","gsii/47346-discharge-instructions-5-0.pdf")</f>
        <v>gsii/47346-discharge-instructions-5-0.pdf</v>
      </c>
      <c r="E620">
        <v>118760</v>
      </c>
      <c r="F620">
        <v>47346</v>
      </c>
      <c r="G620" t="s">
        <v>745</v>
      </c>
      <c r="H620" t="s">
        <v>1179</v>
      </c>
    </row>
    <row r="621" spans="1:9" x14ac:dyDescent="0.2">
      <c r="A621" t="s">
        <v>2297</v>
      </c>
      <c r="D621" t="str">
        <f>HYPERLINK("http://nlpdeep.cs.uic.edu:8080/proofing/t5/47346-discharge-instructions-5-1.pdf","t5/47346-discharge-instructions-5-1.pdf")</f>
        <v>t5/47346-discharge-instructions-5-1.pdf</v>
      </c>
      <c r="E621">
        <v>118760</v>
      </c>
      <c r="F621">
        <v>47346</v>
      </c>
      <c r="G621" t="s">
        <v>745</v>
      </c>
      <c r="H621" t="s">
        <v>1179</v>
      </c>
      <c r="I621" t="s">
        <v>2298</v>
      </c>
    </row>
    <row r="622" spans="1:9" x14ac:dyDescent="0.2">
      <c r="A622" t="s">
        <v>2297</v>
      </c>
      <c r="D622" t="str">
        <f>HYPERLINK("http://nlpdeep.cs.uic.edu:8080/proofing/gsii/47346-discharge-instructions-5-1.pdf","gsii/47346-discharge-instructions-5-1.pdf")</f>
        <v>gsii/47346-discharge-instructions-5-1.pdf</v>
      </c>
      <c r="E622">
        <v>118760</v>
      </c>
      <c r="F622">
        <v>47346</v>
      </c>
      <c r="G622" t="s">
        <v>745</v>
      </c>
      <c r="H622" t="s">
        <v>1179</v>
      </c>
      <c r="I622" t="s">
        <v>2298</v>
      </c>
    </row>
    <row r="623" spans="1:9" x14ac:dyDescent="0.2">
      <c r="A623" t="s">
        <v>2299</v>
      </c>
      <c r="D623" t="str">
        <f>HYPERLINK("http://nlpdeep.cs.uic.edu:8080/proofing/t5/47346-discharge-instructions-5-2.pdf","t5/47346-discharge-instructions-5-2.pdf")</f>
        <v>t5/47346-discharge-instructions-5-2.pdf</v>
      </c>
      <c r="E623">
        <v>118760</v>
      </c>
      <c r="F623">
        <v>47346</v>
      </c>
      <c r="G623" t="s">
        <v>745</v>
      </c>
      <c r="H623" t="s">
        <v>1179</v>
      </c>
    </row>
    <row r="624" spans="1:9" x14ac:dyDescent="0.2">
      <c r="A624" t="s">
        <v>2299</v>
      </c>
      <c r="D624" t="str">
        <f>HYPERLINK("http://nlpdeep.cs.uic.edu:8080/proofing/gsii/47346-discharge-instructions-5-2.pdf","gsii/47346-discharge-instructions-5-2.pdf")</f>
        <v>gsii/47346-discharge-instructions-5-2.pdf</v>
      </c>
      <c r="E624">
        <v>118760</v>
      </c>
      <c r="F624">
        <v>47346</v>
      </c>
      <c r="G624" t="s">
        <v>745</v>
      </c>
      <c r="H624" t="s">
        <v>1179</v>
      </c>
    </row>
    <row r="625" spans="1:9" x14ac:dyDescent="0.2">
      <c r="A625" t="s">
        <v>2300</v>
      </c>
      <c r="D625" t="str">
        <f>HYPERLINK("http://nlpdeep.cs.uic.edu:8080/proofing/t5/47346-discharge-instructions-6-0.pdf","t5/47346-discharge-instructions-6-0.pdf")</f>
        <v>t5/47346-discharge-instructions-6-0.pdf</v>
      </c>
      <c r="E625">
        <v>118760</v>
      </c>
      <c r="F625">
        <v>47346</v>
      </c>
      <c r="G625" t="s">
        <v>745</v>
      </c>
      <c r="H625" t="s">
        <v>1179</v>
      </c>
    </row>
    <row r="626" spans="1:9" x14ac:dyDescent="0.2">
      <c r="A626" t="s">
        <v>2300</v>
      </c>
      <c r="D626" t="str">
        <f>HYPERLINK("http://nlpdeep.cs.uic.edu:8080/proofing/gsii/47346-discharge-instructions-6-0.pdf","gsii/47346-discharge-instructions-6-0.pdf")</f>
        <v>gsii/47346-discharge-instructions-6-0.pdf</v>
      </c>
      <c r="E626">
        <v>118760</v>
      </c>
      <c r="F626">
        <v>47346</v>
      </c>
      <c r="G626" t="s">
        <v>745</v>
      </c>
      <c r="H626" t="s">
        <v>1179</v>
      </c>
    </row>
    <row r="627" spans="1:9" x14ac:dyDescent="0.2">
      <c r="A627" t="s">
        <v>2301</v>
      </c>
      <c r="D627" t="str">
        <f>HYPERLINK("http://nlpdeep.cs.uic.edu:8080/proofing/t5/47346-discharge-instructions-6-1.pdf","t5/47346-discharge-instructions-6-1.pdf")</f>
        <v>t5/47346-discharge-instructions-6-1.pdf</v>
      </c>
      <c r="E627">
        <v>118760</v>
      </c>
      <c r="F627">
        <v>47346</v>
      </c>
      <c r="G627" t="s">
        <v>745</v>
      </c>
      <c r="H627" t="s">
        <v>1179</v>
      </c>
      <c r="I627" t="s">
        <v>2302</v>
      </c>
    </row>
    <row r="628" spans="1:9" x14ac:dyDescent="0.2">
      <c r="A628" t="s">
        <v>2301</v>
      </c>
      <c r="D628" t="str">
        <f>HYPERLINK("http://nlpdeep.cs.uic.edu:8080/proofing/gsii/47346-discharge-instructions-6-1.pdf","gsii/47346-discharge-instructions-6-1.pdf")</f>
        <v>gsii/47346-discharge-instructions-6-1.pdf</v>
      </c>
      <c r="E628">
        <v>118760</v>
      </c>
      <c r="F628">
        <v>47346</v>
      </c>
      <c r="G628" t="s">
        <v>745</v>
      </c>
      <c r="H628" t="s">
        <v>1179</v>
      </c>
      <c r="I628" t="s">
        <v>2302</v>
      </c>
    </row>
    <row r="629" spans="1:9" x14ac:dyDescent="0.2">
      <c r="A629" t="s">
        <v>2303</v>
      </c>
      <c r="D629" t="str">
        <f>HYPERLINK("http://nlpdeep.cs.uic.edu:8080/proofing/t5/47346-discharge-instructions-6-2.pdf","t5/47346-discharge-instructions-6-2.pdf")</f>
        <v>t5/47346-discharge-instructions-6-2.pdf</v>
      </c>
      <c r="E629">
        <v>118760</v>
      </c>
      <c r="F629">
        <v>47346</v>
      </c>
      <c r="G629" t="s">
        <v>745</v>
      </c>
      <c r="H629" t="s">
        <v>1179</v>
      </c>
      <c r="I629" t="s">
        <v>2304</v>
      </c>
    </row>
    <row r="630" spans="1:9" x14ac:dyDescent="0.2">
      <c r="A630" t="s">
        <v>2303</v>
      </c>
      <c r="D630" t="str">
        <f>HYPERLINK("http://nlpdeep.cs.uic.edu:8080/proofing/gsii/47346-discharge-instructions-6-2.pdf","gsii/47346-discharge-instructions-6-2.pdf")</f>
        <v>gsii/47346-discharge-instructions-6-2.pdf</v>
      </c>
      <c r="E630">
        <v>118760</v>
      </c>
      <c r="F630">
        <v>47346</v>
      </c>
      <c r="G630" t="s">
        <v>745</v>
      </c>
      <c r="H630" t="s">
        <v>1179</v>
      </c>
      <c r="I630" t="s">
        <v>2304</v>
      </c>
    </row>
    <row r="631" spans="1:9" x14ac:dyDescent="0.2">
      <c r="A631" t="s">
        <v>2305</v>
      </c>
      <c r="D631" t="str">
        <f>HYPERLINK("http://nlpdeep.cs.uic.edu:8080/proofing/t5/495027-critical-care-attending-addendum-0-0.pdf","t5/495027-critical-care-attending-addendum-0-0.pdf")</f>
        <v>t5/495027-critical-care-attending-addendum-0-0.pdf</v>
      </c>
      <c r="E631">
        <v>118760</v>
      </c>
      <c r="F631">
        <v>495027</v>
      </c>
      <c r="G631" t="s">
        <v>306</v>
      </c>
      <c r="H631" t="s">
        <v>1563</v>
      </c>
      <c r="I631" t="s">
        <v>2306</v>
      </c>
    </row>
    <row r="632" spans="1:9" x14ac:dyDescent="0.2">
      <c r="A632" t="s">
        <v>2305</v>
      </c>
      <c r="D632" t="str">
        <f>HYPERLINK("http://nlpdeep.cs.uic.edu:8080/proofing/gsii/495027-critical-care-attending-addendum-0-0.pdf","gsii/495027-critical-care-attending-addendum-0-0.pdf")</f>
        <v>gsii/495027-critical-care-attending-addendum-0-0.pdf</v>
      </c>
      <c r="E632">
        <v>118760</v>
      </c>
      <c r="F632">
        <v>495027</v>
      </c>
      <c r="G632" t="s">
        <v>306</v>
      </c>
      <c r="H632" t="s">
        <v>1563</v>
      </c>
      <c r="I632" t="s">
        <v>2306</v>
      </c>
    </row>
    <row r="633" spans="1:9" x14ac:dyDescent="0.2">
      <c r="A633" t="s">
        <v>2307</v>
      </c>
      <c r="D633" t="str">
        <f>HYPERLINK("http://nlpdeep.cs.uic.edu:8080/proofing/t5/495027-critical-care-attending-addendum-0-1.pdf","t5/495027-critical-care-attending-addendum-0-1.pdf")</f>
        <v>t5/495027-critical-care-attending-addendum-0-1.pdf</v>
      </c>
      <c r="E633">
        <v>118760</v>
      </c>
      <c r="F633">
        <v>495027</v>
      </c>
      <c r="G633" t="s">
        <v>306</v>
      </c>
      <c r="H633" t="s">
        <v>1563</v>
      </c>
      <c r="I633" t="s">
        <v>2308</v>
      </c>
    </row>
    <row r="634" spans="1:9" x14ac:dyDescent="0.2">
      <c r="A634" t="s">
        <v>2307</v>
      </c>
      <c r="D634" t="str">
        <f>HYPERLINK("http://nlpdeep.cs.uic.edu:8080/proofing/gsii/495027-critical-care-attending-addendum-0-1.pdf","gsii/495027-critical-care-attending-addendum-0-1.pdf")</f>
        <v>gsii/495027-critical-care-attending-addendum-0-1.pdf</v>
      </c>
      <c r="E634">
        <v>118760</v>
      </c>
      <c r="F634">
        <v>495027</v>
      </c>
      <c r="G634" t="s">
        <v>306</v>
      </c>
      <c r="H634" t="s">
        <v>1563</v>
      </c>
      <c r="I634" t="s">
        <v>2308</v>
      </c>
    </row>
    <row r="635" spans="1:9" x14ac:dyDescent="0.2">
      <c r="A635" t="s">
        <v>2309</v>
      </c>
      <c r="D635" t="str">
        <f>HYPERLINK("http://nlpdeep.cs.uic.edu:8080/proofing/t5/495027-critical-care-attending-addendum-0-2.pdf","t5/495027-critical-care-attending-addendum-0-2.pdf")</f>
        <v>t5/495027-critical-care-attending-addendum-0-2.pdf</v>
      </c>
      <c r="E635">
        <v>118760</v>
      </c>
      <c r="F635">
        <v>495027</v>
      </c>
      <c r="G635" t="s">
        <v>306</v>
      </c>
      <c r="H635" t="s">
        <v>1563</v>
      </c>
      <c r="I635" t="s">
        <v>2310</v>
      </c>
    </row>
    <row r="636" spans="1:9" x14ac:dyDescent="0.2">
      <c r="A636" t="s">
        <v>2309</v>
      </c>
      <c r="D636" t="str">
        <f>HYPERLINK("http://nlpdeep.cs.uic.edu:8080/proofing/gsii/495027-critical-care-attending-addendum-0-2.pdf","gsii/495027-critical-care-attending-addendum-0-2.pdf")</f>
        <v>gsii/495027-critical-care-attending-addendum-0-2.pdf</v>
      </c>
      <c r="E636">
        <v>118760</v>
      </c>
      <c r="F636">
        <v>495027</v>
      </c>
      <c r="G636" t="s">
        <v>306</v>
      </c>
      <c r="H636" t="s">
        <v>1563</v>
      </c>
      <c r="I636" t="s">
        <v>2310</v>
      </c>
    </row>
    <row r="637" spans="1:9" x14ac:dyDescent="0.2">
      <c r="A637" t="s">
        <v>2311</v>
      </c>
      <c r="D637" t="str">
        <f>HYPERLINK("http://nlpdeep.cs.uic.edu:8080/proofing/t5/495027-critical-care-attending-addendum-0-3.pdf","t5/495027-critical-care-attending-addendum-0-3.pdf")</f>
        <v>t5/495027-critical-care-attending-addendum-0-3.pdf</v>
      </c>
      <c r="E637">
        <v>118760</v>
      </c>
      <c r="F637">
        <v>495027</v>
      </c>
      <c r="G637" t="s">
        <v>306</v>
      </c>
      <c r="H637" t="s">
        <v>1563</v>
      </c>
      <c r="I637" t="s">
        <v>2312</v>
      </c>
    </row>
    <row r="638" spans="1:9" x14ac:dyDescent="0.2">
      <c r="A638" t="s">
        <v>2311</v>
      </c>
      <c r="D638" t="str">
        <f>HYPERLINK("http://nlpdeep.cs.uic.edu:8080/proofing/gsii/495027-critical-care-attending-addendum-0-3.pdf","gsii/495027-critical-care-attending-addendum-0-3.pdf")</f>
        <v>gsii/495027-critical-care-attending-addendum-0-3.pdf</v>
      </c>
      <c r="E638">
        <v>118760</v>
      </c>
      <c r="F638">
        <v>495027</v>
      </c>
      <c r="G638" t="s">
        <v>306</v>
      </c>
      <c r="H638" t="s">
        <v>1563</v>
      </c>
      <c r="I638" t="s">
        <v>2312</v>
      </c>
    </row>
    <row r="639" spans="1:9" x14ac:dyDescent="0.2">
      <c r="A639" t="s">
        <v>2313</v>
      </c>
      <c r="D639" t="str">
        <f>HYPERLINK("http://nlpdeep.cs.uic.edu:8080/proofing/t5/495027-critical-care-attending-addendum-0-4.pdf","t5/495027-critical-care-attending-addendum-0-4.pdf")</f>
        <v>t5/495027-critical-care-attending-addendum-0-4.pdf</v>
      </c>
      <c r="E639">
        <v>118760</v>
      </c>
      <c r="F639">
        <v>495027</v>
      </c>
      <c r="G639" t="s">
        <v>306</v>
      </c>
      <c r="H639" t="s">
        <v>1563</v>
      </c>
      <c r="I639" t="s">
        <v>2314</v>
      </c>
    </row>
    <row r="640" spans="1:9" x14ac:dyDescent="0.2">
      <c r="A640" t="s">
        <v>2313</v>
      </c>
      <c r="D640" t="str">
        <f>HYPERLINK("http://nlpdeep.cs.uic.edu:8080/proofing/gsii/495027-critical-care-attending-addendum-0-4.pdf","gsii/495027-critical-care-attending-addendum-0-4.pdf")</f>
        <v>gsii/495027-critical-care-attending-addendum-0-4.pdf</v>
      </c>
      <c r="E640">
        <v>118760</v>
      </c>
      <c r="F640">
        <v>495027</v>
      </c>
      <c r="G640" t="s">
        <v>306</v>
      </c>
      <c r="H640" t="s">
        <v>1563</v>
      </c>
      <c r="I640" t="s">
        <v>2314</v>
      </c>
    </row>
    <row r="641" spans="1:9" x14ac:dyDescent="0.2">
      <c r="A641" t="s">
        <v>2315</v>
      </c>
      <c r="D641" t="str">
        <f>HYPERLINK("http://nlpdeep.cs.uic.edu:8080/proofing/t5/495027-critical-care-attending-addendum-0-5.pdf","t5/495027-critical-care-attending-addendum-0-5.pdf")</f>
        <v>t5/495027-critical-care-attending-addendum-0-5.pdf</v>
      </c>
      <c r="E641">
        <v>118760</v>
      </c>
      <c r="F641">
        <v>495027</v>
      </c>
      <c r="G641" t="s">
        <v>306</v>
      </c>
      <c r="H641" t="s">
        <v>1563</v>
      </c>
      <c r="I641" t="s">
        <v>2316</v>
      </c>
    </row>
    <row r="642" spans="1:9" x14ac:dyDescent="0.2">
      <c r="A642" t="s">
        <v>2315</v>
      </c>
      <c r="D642" t="str">
        <f>HYPERLINK("http://nlpdeep.cs.uic.edu:8080/proofing/gsii/495027-critical-care-attending-addendum-0-5.pdf","gsii/495027-critical-care-attending-addendum-0-5.pdf")</f>
        <v>gsii/495027-critical-care-attending-addendum-0-5.pdf</v>
      </c>
      <c r="E642">
        <v>118760</v>
      </c>
      <c r="F642">
        <v>495027</v>
      </c>
      <c r="G642" t="s">
        <v>306</v>
      </c>
      <c r="H642" t="s">
        <v>1563</v>
      </c>
      <c r="I642" t="s">
        <v>2316</v>
      </c>
    </row>
    <row r="643" spans="1:9" x14ac:dyDescent="0.2">
      <c r="A643" t="s">
        <v>2317</v>
      </c>
      <c r="D643" t="str">
        <f>HYPERLINK("http://nlpdeep.cs.uic.edu:8080/proofing/t5/495027-critical-care-attending-addendum-0-6.pdf","t5/495027-critical-care-attending-addendum-0-6.pdf")</f>
        <v>t5/495027-critical-care-attending-addendum-0-6.pdf</v>
      </c>
      <c r="E643">
        <v>118760</v>
      </c>
      <c r="F643">
        <v>495027</v>
      </c>
      <c r="G643" t="s">
        <v>306</v>
      </c>
      <c r="H643" t="s">
        <v>1563</v>
      </c>
      <c r="I643" t="s">
        <v>2318</v>
      </c>
    </row>
    <row r="644" spans="1:9" x14ac:dyDescent="0.2">
      <c r="A644" t="s">
        <v>2317</v>
      </c>
      <c r="D644" t="str">
        <f>HYPERLINK("http://nlpdeep.cs.uic.edu:8080/proofing/gsii/495027-critical-care-attending-addendum-0-6.pdf","gsii/495027-critical-care-attending-addendum-0-6.pdf")</f>
        <v>gsii/495027-critical-care-attending-addendum-0-6.pdf</v>
      </c>
      <c r="E644">
        <v>118760</v>
      </c>
      <c r="F644">
        <v>495027</v>
      </c>
      <c r="G644" t="s">
        <v>306</v>
      </c>
      <c r="H644" t="s">
        <v>1563</v>
      </c>
      <c r="I644" t="s">
        <v>2318</v>
      </c>
    </row>
    <row r="645" spans="1:9" x14ac:dyDescent="0.2">
      <c r="A645" t="s">
        <v>2319</v>
      </c>
      <c r="D645" t="str">
        <f>HYPERLINK("http://nlpdeep.cs.uic.edu:8080/proofing/t5/495027-critical-care-attending-addendum-0-7.pdf","t5/495027-critical-care-attending-addendum-0-7.pdf")</f>
        <v>t5/495027-critical-care-attending-addendum-0-7.pdf</v>
      </c>
      <c r="E645">
        <v>118760</v>
      </c>
      <c r="F645">
        <v>495027</v>
      </c>
      <c r="G645" t="s">
        <v>306</v>
      </c>
      <c r="H645" t="s">
        <v>1563</v>
      </c>
      <c r="I645" t="s">
        <v>2320</v>
      </c>
    </row>
    <row r="646" spans="1:9" x14ac:dyDescent="0.2">
      <c r="A646" t="s">
        <v>2319</v>
      </c>
      <c r="D646" t="str">
        <f>HYPERLINK("http://nlpdeep.cs.uic.edu:8080/proofing/gsii/495027-critical-care-attending-addendum-0-7.pdf","gsii/495027-critical-care-attending-addendum-0-7.pdf")</f>
        <v>gsii/495027-critical-care-attending-addendum-0-7.pdf</v>
      </c>
      <c r="E646">
        <v>118760</v>
      </c>
      <c r="F646">
        <v>495027</v>
      </c>
      <c r="G646" t="s">
        <v>306</v>
      </c>
      <c r="H646" t="s">
        <v>1563</v>
      </c>
      <c r="I646" t="s">
        <v>2320</v>
      </c>
    </row>
    <row r="647" spans="1:9" x14ac:dyDescent="0.2">
      <c r="A647" t="s">
        <v>2321</v>
      </c>
      <c r="D647" t="str">
        <f>HYPERLINK("http://nlpdeep.cs.uic.edu:8080/proofing/t5/495027-critical-care-attending-addendum-0-8.pdf","t5/495027-critical-care-attending-addendum-0-8.pdf")</f>
        <v>t5/495027-critical-care-attending-addendum-0-8.pdf</v>
      </c>
      <c r="E647">
        <v>118760</v>
      </c>
      <c r="F647">
        <v>495027</v>
      </c>
      <c r="G647" t="s">
        <v>306</v>
      </c>
      <c r="H647" t="s">
        <v>1563</v>
      </c>
      <c r="I647" t="s">
        <v>2322</v>
      </c>
    </row>
    <row r="648" spans="1:9" x14ac:dyDescent="0.2">
      <c r="A648" t="s">
        <v>2321</v>
      </c>
      <c r="D648" t="str">
        <f>HYPERLINK("http://nlpdeep.cs.uic.edu:8080/proofing/gsii/495027-critical-care-attending-addendum-0-8.pdf","gsii/495027-critical-care-attending-addendum-0-8.pdf")</f>
        <v>gsii/495027-critical-care-attending-addendum-0-8.pdf</v>
      </c>
      <c r="E648">
        <v>118760</v>
      </c>
      <c r="F648">
        <v>495027</v>
      </c>
      <c r="G648" t="s">
        <v>306</v>
      </c>
      <c r="H648" t="s">
        <v>1563</v>
      </c>
      <c r="I648" t="s">
        <v>2322</v>
      </c>
    </row>
    <row r="649" spans="1:9" x14ac:dyDescent="0.2">
      <c r="A649" t="s">
        <v>2323</v>
      </c>
      <c r="D649" t="str">
        <f>HYPERLINK("http://nlpdeep.cs.uic.edu:8080/proofing/t5/495027-chief-complaint-0-0.pdf","t5/495027-chief-complaint-0-0.pdf")</f>
        <v>t5/495027-chief-complaint-0-0.pdf</v>
      </c>
      <c r="E649">
        <v>118760</v>
      </c>
      <c r="F649">
        <v>495027</v>
      </c>
      <c r="G649" t="s">
        <v>306</v>
      </c>
      <c r="H649" t="s">
        <v>10</v>
      </c>
      <c r="I649" t="s">
        <v>2324</v>
      </c>
    </row>
    <row r="650" spans="1:9" x14ac:dyDescent="0.2">
      <c r="A650" t="s">
        <v>2323</v>
      </c>
      <c r="D650" t="str">
        <f>HYPERLINK("http://nlpdeep.cs.uic.edu:8080/proofing/gsii/495027-chief-complaint-0-0.pdf","gsii/495027-chief-complaint-0-0.pdf")</f>
        <v>gsii/495027-chief-complaint-0-0.pdf</v>
      </c>
      <c r="E650">
        <v>118760</v>
      </c>
      <c r="F650">
        <v>495027</v>
      </c>
      <c r="G650" t="s">
        <v>306</v>
      </c>
      <c r="H650" t="s">
        <v>10</v>
      </c>
      <c r="I650" t="s">
        <v>2324</v>
      </c>
    </row>
    <row r="651" spans="1:9" x14ac:dyDescent="0.2">
      <c r="A651" t="s">
        <v>2325</v>
      </c>
      <c r="D651" t="str">
        <f>HYPERLINK("http://nlpdeep.cs.uic.edu:8080/proofing/t5/495027-chief-complaint-0-1.pdf","t5/495027-chief-complaint-0-1.pdf")</f>
        <v>t5/495027-chief-complaint-0-1.pdf</v>
      </c>
      <c r="E651">
        <v>118760</v>
      </c>
      <c r="F651">
        <v>495027</v>
      </c>
      <c r="G651" t="s">
        <v>306</v>
      </c>
      <c r="H651" t="s">
        <v>10</v>
      </c>
      <c r="I651" t="s">
        <v>2326</v>
      </c>
    </row>
    <row r="652" spans="1:9" x14ac:dyDescent="0.2">
      <c r="A652" t="s">
        <v>2325</v>
      </c>
      <c r="D652" t="str">
        <f>HYPERLINK("http://nlpdeep.cs.uic.edu:8080/proofing/gsii/495027-chief-complaint-0-1.pdf","gsii/495027-chief-complaint-0-1.pdf")</f>
        <v>gsii/495027-chief-complaint-0-1.pdf</v>
      </c>
      <c r="E652">
        <v>118760</v>
      </c>
      <c r="F652">
        <v>495027</v>
      </c>
      <c r="G652" t="s">
        <v>306</v>
      </c>
      <c r="H652" t="s">
        <v>10</v>
      </c>
      <c r="I652" t="s">
        <v>2326</v>
      </c>
    </row>
    <row r="653" spans="1:9" x14ac:dyDescent="0.2">
      <c r="A653" t="s">
        <v>2327</v>
      </c>
      <c r="D653" t="str">
        <f>HYPERLINK("http://nlpdeep.cs.uic.edu:8080/proofing/t5/495027-history-of-present-illness-0-0.pdf","t5/495027-history-of-present-illness-0-0.pdf")</f>
        <v>t5/495027-history-of-present-illness-0-0.pdf</v>
      </c>
      <c r="E653">
        <v>118760</v>
      </c>
      <c r="F653">
        <v>495027</v>
      </c>
      <c r="G653" t="s">
        <v>306</v>
      </c>
      <c r="H653" t="s">
        <v>13</v>
      </c>
      <c r="I653" t="s">
        <v>2328</v>
      </c>
    </row>
    <row r="654" spans="1:9" x14ac:dyDescent="0.2">
      <c r="A654" t="s">
        <v>2327</v>
      </c>
      <c r="D654" t="str">
        <f>HYPERLINK("http://nlpdeep.cs.uic.edu:8080/proofing/gsii/495027-history-of-present-illness-0-0.pdf","gsii/495027-history-of-present-illness-0-0.pdf")</f>
        <v>gsii/495027-history-of-present-illness-0-0.pdf</v>
      </c>
      <c r="E654">
        <v>118760</v>
      </c>
      <c r="F654">
        <v>495027</v>
      </c>
      <c r="G654" t="s">
        <v>306</v>
      </c>
      <c r="H654" t="s">
        <v>13</v>
      </c>
      <c r="I654" t="s">
        <v>2328</v>
      </c>
    </row>
    <row r="655" spans="1:9" x14ac:dyDescent="0.2">
      <c r="A655" t="s">
        <v>2329</v>
      </c>
      <c r="D655" t="str">
        <f>HYPERLINK("http://nlpdeep.cs.uic.edu:8080/proofing/t5/495027-history-of-present-illness-0-1.pdf","t5/495027-history-of-present-illness-0-1.pdf")</f>
        <v>t5/495027-history-of-present-illness-0-1.pdf</v>
      </c>
      <c r="E655">
        <v>118760</v>
      </c>
      <c r="F655">
        <v>495027</v>
      </c>
      <c r="G655" t="s">
        <v>306</v>
      </c>
      <c r="H655" t="s">
        <v>13</v>
      </c>
      <c r="I655" t="s">
        <v>2330</v>
      </c>
    </row>
    <row r="656" spans="1:9" x14ac:dyDescent="0.2">
      <c r="A656" t="s">
        <v>2329</v>
      </c>
      <c r="D656" t="str">
        <f>HYPERLINK("http://nlpdeep.cs.uic.edu:8080/proofing/gsii/495027-history-of-present-illness-0-1.pdf","gsii/495027-history-of-present-illness-0-1.pdf")</f>
        <v>gsii/495027-history-of-present-illness-0-1.pdf</v>
      </c>
      <c r="E656">
        <v>118760</v>
      </c>
      <c r="F656">
        <v>495027</v>
      </c>
      <c r="G656" t="s">
        <v>306</v>
      </c>
      <c r="H656" t="s">
        <v>13</v>
      </c>
      <c r="I656" t="s">
        <v>2330</v>
      </c>
    </row>
    <row r="657" spans="1:9" x14ac:dyDescent="0.2">
      <c r="A657" t="s">
        <v>2331</v>
      </c>
      <c r="D657" t="str">
        <f>HYPERLINK("http://nlpdeep.cs.uic.edu:8080/proofing/t5/495027-history-of-present-illness-0-2.pdf","t5/495027-history-of-present-illness-0-2.pdf")</f>
        <v>t5/495027-history-of-present-illness-0-2.pdf</v>
      </c>
      <c r="E657">
        <v>118760</v>
      </c>
      <c r="F657">
        <v>495027</v>
      </c>
      <c r="G657" t="s">
        <v>306</v>
      </c>
      <c r="H657" t="s">
        <v>13</v>
      </c>
      <c r="I657" t="s">
        <v>2332</v>
      </c>
    </row>
    <row r="658" spans="1:9" x14ac:dyDescent="0.2">
      <c r="A658" t="s">
        <v>2331</v>
      </c>
      <c r="D658" t="str">
        <f>HYPERLINK("http://nlpdeep.cs.uic.edu:8080/proofing/gsii/495027-history-of-present-illness-0-2.pdf","gsii/495027-history-of-present-illness-0-2.pdf")</f>
        <v>gsii/495027-history-of-present-illness-0-2.pdf</v>
      </c>
      <c r="E658">
        <v>118760</v>
      </c>
      <c r="F658">
        <v>495027</v>
      </c>
      <c r="G658" t="s">
        <v>306</v>
      </c>
      <c r="H658" t="s">
        <v>13</v>
      </c>
      <c r="I658" t="s">
        <v>2332</v>
      </c>
    </row>
    <row r="659" spans="1:9" x14ac:dyDescent="0.2">
      <c r="A659" t="s">
        <v>2333</v>
      </c>
      <c r="D659" t="str">
        <f>HYPERLINK("http://nlpdeep.cs.uic.edu:8080/proofing/t5/495027-history-of-present-illness-0-3.pdf","t5/495027-history-of-present-illness-0-3.pdf")</f>
        <v>t5/495027-history-of-present-illness-0-3.pdf</v>
      </c>
      <c r="E659">
        <v>118760</v>
      </c>
      <c r="F659">
        <v>495027</v>
      </c>
      <c r="G659" t="s">
        <v>306</v>
      </c>
      <c r="H659" t="s">
        <v>13</v>
      </c>
      <c r="I659" t="s">
        <v>2334</v>
      </c>
    </row>
    <row r="660" spans="1:9" x14ac:dyDescent="0.2">
      <c r="A660" t="s">
        <v>2333</v>
      </c>
      <c r="D660" t="str">
        <f>HYPERLINK("http://nlpdeep.cs.uic.edu:8080/proofing/gsii/495027-history-of-present-illness-0-3.pdf","gsii/495027-history-of-present-illness-0-3.pdf")</f>
        <v>gsii/495027-history-of-present-illness-0-3.pdf</v>
      </c>
      <c r="E660">
        <v>118760</v>
      </c>
      <c r="F660">
        <v>495027</v>
      </c>
      <c r="G660" t="s">
        <v>306</v>
      </c>
      <c r="H660" t="s">
        <v>13</v>
      </c>
      <c r="I660" t="s">
        <v>2334</v>
      </c>
    </row>
    <row r="661" spans="1:9" x14ac:dyDescent="0.2">
      <c r="A661" t="s">
        <v>2335</v>
      </c>
      <c r="D661" t="str">
        <f>HYPERLINK("http://nlpdeep.cs.uic.edu:8080/proofing/t5/495027-history-of-present-illness-0-4.pdf","t5/495027-history-of-present-illness-0-4.pdf")</f>
        <v>t5/495027-history-of-present-illness-0-4.pdf</v>
      </c>
      <c r="E661">
        <v>118760</v>
      </c>
      <c r="F661">
        <v>495027</v>
      </c>
      <c r="G661" t="s">
        <v>306</v>
      </c>
      <c r="H661" t="s">
        <v>13</v>
      </c>
      <c r="I661" t="s">
        <v>2336</v>
      </c>
    </row>
    <row r="662" spans="1:9" x14ac:dyDescent="0.2">
      <c r="A662" t="s">
        <v>2335</v>
      </c>
      <c r="D662" t="str">
        <f>HYPERLINK("http://nlpdeep.cs.uic.edu:8080/proofing/gsii/495027-history-of-present-illness-0-4.pdf","gsii/495027-history-of-present-illness-0-4.pdf")</f>
        <v>gsii/495027-history-of-present-illness-0-4.pdf</v>
      </c>
      <c r="E662">
        <v>118760</v>
      </c>
      <c r="F662">
        <v>495027</v>
      </c>
      <c r="G662" t="s">
        <v>306</v>
      </c>
      <c r="H662" t="s">
        <v>13</v>
      </c>
      <c r="I662" t="s">
        <v>2336</v>
      </c>
    </row>
    <row r="663" spans="1:9" x14ac:dyDescent="0.2">
      <c r="A663" t="s">
        <v>2337</v>
      </c>
      <c r="D663" t="str">
        <f>HYPERLINK("http://nlpdeep.cs.uic.edu:8080/proofing/t5/495027-history-of-present-illness-0-5.pdf","t5/495027-history-of-present-illness-0-5.pdf")</f>
        <v>t5/495027-history-of-present-illness-0-5.pdf</v>
      </c>
      <c r="E663">
        <v>118760</v>
      </c>
      <c r="F663">
        <v>495027</v>
      </c>
      <c r="G663" t="s">
        <v>306</v>
      </c>
      <c r="H663" t="s">
        <v>13</v>
      </c>
      <c r="I663" t="s">
        <v>2338</v>
      </c>
    </row>
    <row r="664" spans="1:9" x14ac:dyDescent="0.2">
      <c r="A664" t="s">
        <v>2337</v>
      </c>
      <c r="D664" t="str">
        <f>HYPERLINK("http://nlpdeep.cs.uic.edu:8080/proofing/gsii/495027-history-of-present-illness-0-5.pdf","gsii/495027-history-of-present-illness-0-5.pdf")</f>
        <v>gsii/495027-history-of-present-illness-0-5.pdf</v>
      </c>
      <c r="E664">
        <v>118760</v>
      </c>
      <c r="F664">
        <v>495027</v>
      </c>
      <c r="G664" t="s">
        <v>306</v>
      </c>
      <c r="H664" t="s">
        <v>13</v>
      </c>
      <c r="I664" t="s">
        <v>2338</v>
      </c>
    </row>
    <row r="665" spans="1:9" x14ac:dyDescent="0.2">
      <c r="A665" t="s">
        <v>2339</v>
      </c>
      <c r="D665" t="str">
        <f>HYPERLINK("http://nlpdeep.cs.uic.edu:8080/proofing/t5/495027-history-of-present-illness-0-6.pdf","t5/495027-history-of-present-illness-0-6.pdf")</f>
        <v>t5/495027-history-of-present-illness-0-6.pdf</v>
      </c>
      <c r="E665">
        <v>118760</v>
      </c>
      <c r="F665">
        <v>495027</v>
      </c>
      <c r="G665" t="s">
        <v>306</v>
      </c>
      <c r="H665" t="s">
        <v>13</v>
      </c>
      <c r="I665" t="s">
        <v>2340</v>
      </c>
    </row>
    <row r="666" spans="1:9" x14ac:dyDescent="0.2">
      <c r="A666" t="s">
        <v>2339</v>
      </c>
      <c r="D666" t="str">
        <f>HYPERLINK("http://nlpdeep.cs.uic.edu:8080/proofing/gsii/495027-history-of-present-illness-0-6.pdf","gsii/495027-history-of-present-illness-0-6.pdf")</f>
        <v>gsii/495027-history-of-present-illness-0-6.pdf</v>
      </c>
      <c r="E666">
        <v>118760</v>
      </c>
      <c r="F666">
        <v>495027</v>
      </c>
      <c r="G666" t="s">
        <v>306</v>
      </c>
      <c r="H666" t="s">
        <v>13</v>
      </c>
      <c r="I666" t="s">
        <v>2340</v>
      </c>
    </row>
    <row r="667" spans="1:9" x14ac:dyDescent="0.2">
      <c r="A667" t="s">
        <v>2341</v>
      </c>
      <c r="D667" t="str">
        <f>HYPERLINK("http://nlpdeep.cs.uic.edu:8080/proofing/t5/495027-history-of-present-illness-0-7.pdf","t5/495027-history-of-present-illness-0-7.pdf")</f>
        <v>t5/495027-history-of-present-illness-0-7.pdf</v>
      </c>
      <c r="E667">
        <v>118760</v>
      </c>
      <c r="F667">
        <v>495027</v>
      </c>
      <c r="G667" t="s">
        <v>306</v>
      </c>
      <c r="H667" t="s">
        <v>13</v>
      </c>
      <c r="I667" t="s">
        <v>2342</v>
      </c>
    </row>
    <row r="668" spans="1:9" x14ac:dyDescent="0.2">
      <c r="A668" t="s">
        <v>2341</v>
      </c>
      <c r="D668" t="str">
        <f>HYPERLINK("http://nlpdeep.cs.uic.edu:8080/proofing/gsii/495027-history-of-present-illness-0-7.pdf","gsii/495027-history-of-present-illness-0-7.pdf")</f>
        <v>gsii/495027-history-of-present-illness-0-7.pdf</v>
      </c>
      <c r="E668">
        <v>118760</v>
      </c>
      <c r="F668">
        <v>495027</v>
      </c>
      <c r="G668" t="s">
        <v>306</v>
      </c>
      <c r="H668" t="s">
        <v>13</v>
      </c>
      <c r="I668" t="s">
        <v>2342</v>
      </c>
    </row>
    <row r="669" spans="1:9" x14ac:dyDescent="0.2">
      <c r="A669" t="s">
        <v>2343</v>
      </c>
      <c r="D669" t="str">
        <f>HYPERLINK("http://nlpdeep.cs.uic.edu:8080/proofing/t5/495027-allergies-0-0.pdf","t5/495027-allergies-0-0.pdf")</f>
        <v>t5/495027-allergies-0-0.pdf</v>
      </c>
      <c r="E669">
        <v>118760</v>
      </c>
      <c r="F669">
        <v>495027</v>
      </c>
      <c r="G669" t="s">
        <v>306</v>
      </c>
      <c r="H669" t="s">
        <v>64</v>
      </c>
      <c r="I669" t="s">
        <v>2344</v>
      </c>
    </row>
    <row r="670" spans="1:9" x14ac:dyDescent="0.2">
      <c r="A670" t="s">
        <v>2343</v>
      </c>
      <c r="D670" t="str">
        <f>HYPERLINK("http://nlpdeep.cs.uic.edu:8080/proofing/gsii/495027-allergies-0-0.pdf","gsii/495027-allergies-0-0.pdf")</f>
        <v>gsii/495027-allergies-0-0.pdf</v>
      </c>
      <c r="E670">
        <v>118760</v>
      </c>
      <c r="F670">
        <v>495027</v>
      </c>
      <c r="G670" t="s">
        <v>306</v>
      </c>
      <c r="H670" t="s">
        <v>64</v>
      </c>
      <c r="I670" t="s">
        <v>2344</v>
      </c>
    </row>
    <row r="671" spans="1:9" x14ac:dyDescent="0.2">
      <c r="A671" t="s">
        <v>2345</v>
      </c>
      <c r="D671" t="str">
        <f>HYPERLINK("http://nlpdeep.cs.uic.edu:8080/proofing/t5/495027-medication-history-0-0.pdf","t5/495027-medication-history-0-0.pdf")</f>
        <v>t5/495027-medication-history-0-0.pdf</v>
      </c>
      <c r="E671">
        <v>118760</v>
      </c>
      <c r="F671">
        <v>495027</v>
      </c>
      <c r="G671" t="s">
        <v>306</v>
      </c>
      <c r="H671" t="s">
        <v>336</v>
      </c>
      <c r="I671" t="s">
        <v>2346</v>
      </c>
    </row>
    <row r="672" spans="1:9" x14ac:dyDescent="0.2">
      <c r="A672" t="s">
        <v>2345</v>
      </c>
      <c r="D672" t="str">
        <f>HYPERLINK("http://nlpdeep.cs.uic.edu:8080/proofing/gsii/495027-medication-history-0-0.pdf","gsii/495027-medication-history-0-0.pdf")</f>
        <v>gsii/495027-medication-history-0-0.pdf</v>
      </c>
      <c r="E672">
        <v>118760</v>
      </c>
      <c r="F672">
        <v>495027</v>
      </c>
      <c r="G672" t="s">
        <v>306</v>
      </c>
      <c r="H672" t="s">
        <v>336</v>
      </c>
      <c r="I672" t="s">
        <v>2346</v>
      </c>
    </row>
    <row r="673" spans="1:9" x14ac:dyDescent="0.2">
      <c r="A673" t="s">
        <v>2347</v>
      </c>
      <c r="D673" t="str">
        <f>HYPERLINK("http://nlpdeep.cs.uic.edu:8080/proofing/t5/495027-medication-history-0-1.pdf","t5/495027-medication-history-0-1.pdf")</f>
        <v>t5/495027-medication-history-0-1.pdf</v>
      </c>
      <c r="E673">
        <v>118760</v>
      </c>
      <c r="F673">
        <v>495027</v>
      </c>
      <c r="G673" t="s">
        <v>306</v>
      </c>
      <c r="H673" t="s">
        <v>336</v>
      </c>
      <c r="I673" t="s">
        <v>2348</v>
      </c>
    </row>
    <row r="674" spans="1:9" x14ac:dyDescent="0.2">
      <c r="A674" t="s">
        <v>2347</v>
      </c>
      <c r="D674" t="str">
        <f>HYPERLINK("http://nlpdeep.cs.uic.edu:8080/proofing/gsii/495027-medication-history-0-1.pdf","gsii/495027-medication-history-0-1.pdf")</f>
        <v>gsii/495027-medication-history-0-1.pdf</v>
      </c>
      <c r="E674">
        <v>118760</v>
      </c>
      <c r="F674">
        <v>495027</v>
      </c>
      <c r="G674" t="s">
        <v>306</v>
      </c>
      <c r="H674" t="s">
        <v>336</v>
      </c>
      <c r="I674" t="s">
        <v>2348</v>
      </c>
    </row>
    <row r="675" spans="1:9" x14ac:dyDescent="0.2">
      <c r="A675" t="s">
        <v>2349</v>
      </c>
      <c r="D675" t="str">
        <f>HYPERLINK("http://nlpdeep.cs.uic.edu:8080/proofing/t5/495027-current-medications-0-0.pdf","t5/495027-current-medications-0-0.pdf")</f>
        <v>t5/495027-current-medications-0-0.pdf</v>
      </c>
      <c r="E675">
        <v>118760</v>
      </c>
      <c r="F675">
        <v>495027</v>
      </c>
      <c r="G675" t="s">
        <v>306</v>
      </c>
      <c r="H675" t="s">
        <v>365</v>
      </c>
      <c r="I675" t="s">
        <v>2350</v>
      </c>
    </row>
    <row r="676" spans="1:9" x14ac:dyDescent="0.2">
      <c r="A676" t="s">
        <v>2349</v>
      </c>
      <c r="D676" t="str">
        <f>HYPERLINK("http://nlpdeep.cs.uic.edu:8080/proofing/gsii/495027-current-medications-0-0.pdf","gsii/495027-current-medications-0-0.pdf")</f>
        <v>gsii/495027-current-medications-0-0.pdf</v>
      </c>
      <c r="E676">
        <v>118760</v>
      </c>
      <c r="F676">
        <v>495027</v>
      </c>
      <c r="G676" t="s">
        <v>306</v>
      </c>
      <c r="H676" t="s">
        <v>365</v>
      </c>
      <c r="I676" t="s">
        <v>2350</v>
      </c>
    </row>
    <row r="677" spans="1:9" x14ac:dyDescent="0.2">
      <c r="A677" t="s">
        <v>2351</v>
      </c>
      <c r="D677" t="str">
        <f>HYPERLINK("http://nlpdeep.cs.uic.edu:8080/proofing/t5/495027-past-medical-history-0-0.pdf","t5/495027-past-medical-history-0-0.pdf")</f>
        <v>t5/495027-past-medical-history-0-0.pdf</v>
      </c>
      <c r="E677">
        <v>118760</v>
      </c>
      <c r="F677">
        <v>495027</v>
      </c>
      <c r="G677" t="s">
        <v>306</v>
      </c>
      <c r="H677" t="s">
        <v>76</v>
      </c>
      <c r="I677" t="s">
        <v>2352</v>
      </c>
    </row>
    <row r="678" spans="1:9" x14ac:dyDescent="0.2">
      <c r="A678" t="s">
        <v>2351</v>
      </c>
      <c r="D678" t="str">
        <f>HYPERLINK("http://nlpdeep.cs.uic.edu:8080/proofing/gsii/495027-past-medical-history-0-0.pdf","gsii/495027-past-medical-history-0-0.pdf")</f>
        <v>gsii/495027-past-medical-history-0-0.pdf</v>
      </c>
      <c r="E678">
        <v>118760</v>
      </c>
      <c r="F678">
        <v>495027</v>
      </c>
      <c r="G678" t="s">
        <v>306</v>
      </c>
      <c r="H678" t="s">
        <v>76</v>
      </c>
      <c r="I678" t="s">
        <v>2352</v>
      </c>
    </row>
    <row r="679" spans="1:9" x14ac:dyDescent="0.2">
      <c r="A679" t="s">
        <v>2353</v>
      </c>
      <c r="D679" t="str">
        <f>HYPERLINK("http://nlpdeep.cs.uic.edu:8080/proofing/t5/495027-past-medical-history-0-1.pdf","t5/495027-past-medical-history-0-1.pdf")</f>
        <v>t5/495027-past-medical-history-0-1.pdf</v>
      </c>
      <c r="E679">
        <v>118760</v>
      </c>
      <c r="F679">
        <v>495027</v>
      </c>
      <c r="G679" t="s">
        <v>306</v>
      </c>
      <c r="H679" t="s">
        <v>76</v>
      </c>
      <c r="I679" t="s">
        <v>2354</v>
      </c>
    </row>
    <row r="680" spans="1:9" x14ac:dyDescent="0.2">
      <c r="A680" t="s">
        <v>2353</v>
      </c>
      <c r="D680" t="str">
        <f>HYPERLINK("http://nlpdeep.cs.uic.edu:8080/proofing/gsii/495027-past-medical-history-0-1.pdf","gsii/495027-past-medical-history-0-1.pdf")</f>
        <v>gsii/495027-past-medical-history-0-1.pdf</v>
      </c>
      <c r="E680">
        <v>118760</v>
      </c>
      <c r="F680">
        <v>495027</v>
      </c>
      <c r="G680" t="s">
        <v>306</v>
      </c>
      <c r="H680" t="s">
        <v>76</v>
      </c>
      <c r="I680" t="s">
        <v>2354</v>
      </c>
    </row>
    <row r="681" spans="1:9" x14ac:dyDescent="0.2">
      <c r="A681" t="s">
        <v>2355</v>
      </c>
      <c r="D681" t="str">
        <f>HYPERLINK("http://nlpdeep.cs.uic.edu:8080/proofing/t5/495027-past-medical-history-0-2.pdf","t5/495027-past-medical-history-0-2.pdf")</f>
        <v>t5/495027-past-medical-history-0-2.pdf</v>
      </c>
      <c r="E681">
        <v>118760</v>
      </c>
      <c r="F681">
        <v>495027</v>
      </c>
      <c r="G681" t="s">
        <v>306</v>
      </c>
      <c r="H681" t="s">
        <v>76</v>
      </c>
      <c r="I681" t="s">
        <v>2356</v>
      </c>
    </row>
    <row r="682" spans="1:9" x14ac:dyDescent="0.2">
      <c r="A682" t="s">
        <v>2355</v>
      </c>
      <c r="D682" t="str">
        <f>HYPERLINK("http://nlpdeep.cs.uic.edu:8080/proofing/gsii/495027-past-medical-history-0-2.pdf","gsii/495027-past-medical-history-0-2.pdf")</f>
        <v>gsii/495027-past-medical-history-0-2.pdf</v>
      </c>
      <c r="E682">
        <v>118760</v>
      </c>
      <c r="F682">
        <v>495027</v>
      </c>
      <c r="G682" t="s">
        <v>306</v>
      </c>
      <c r="H682" t="s">
        <v>76</v>
      </c>
      <c r="I682" t="s">
        <v>2356</v>
      </c>
    </row>
    <row r="683" spans="1:9" x14ac:dyDescent="0.2">
      <c r="A683" t="s">
        <v>2357</v>
      </c>
      <c r="D683" t="str">
        <f>HYPERLINK("http://nlpdeep.cs.uic.edu:8080/proofing/t5/495027-past-medical-history-0-3.pdf","t5/495027-past-medical-history-0-3.pdf")</f>
        <v>t5/495027-past-medical-history-0-3.pdf</v>
      </c>
      <c r="E683">
        <v>118760</v>
      </c>
      <c r="F683">
        <v>495027</v>
      </c>
      <c r="G683" t="s">
        <v>306</v>
      </c>
      <c r="H683" t="s">
        <v>76</v>
      </c>
      <c r="I683" t="s">
        <v>2358</v>
      </c>
    </row>
    <row r="684" spans="1:9" x14ac:dyDescent="0.2">
      <c r="A684" t="s">
        <v>2357</v>
      </c>
      <c r="D684" t="str">
        <f>HYPERLINK("http://nlpdeep.cs.uic.edu:8080/proofing/gsii/495027-past-medical-history-0-3.pdf","gsii/495027-past-medical-history-0-3.pdf")</f>
        <v>gsii/495027-past-medical-history-0-3.pdf</v>
      </c>
      <c r="E684">
        <v>118760</v>
      </c>
      <c r="F684">
        <v>495027</v>
      </c>
      <c r="G684" t="s">
        <v>306</v>
      </c>
      <c r="H684" t="s">
        <v>76</v>
      </c>
      <c r="I684" t="s">
        <v>2358</v>
      </c>
    </row>
    <row r="685" spans="1:9" x14ac:dyDescent="0.2">
      <c r="A685" t="s">
        <v>2359</v>
      </c>
      <c r="D685" t="str">
        <f>HYPERLINK("http://nlpdeep.cs.uic.edu:8080/proofing/t5/495027-past-medical-history-0-4.pdf","t5/495027-past-medical-history-0-4.pdf")</f>
        <v>t5/495027-past-medical-history-0-4.pdf</v>
      </c>
      <c r="E685">
        <v>118760</v>
      </c>
      <c r="F685">
        <v>495027</v>
      </c>
      <c r="G685" t="s">
        <v>306</v>
      </c>
      <c r="H685" t="s">
        <v>76</v>
      </c>
      <c r="I685" t="s">
        <v>2360</v>
      </c>
    </row>
    <row r="686" spans="1:9" x14ac:dyDescent="0.2">
      <c r="A686" t="s">
        <v>2359</v>
      </c>
      <c r="D686" t="str">
        <f>HYPERLINK("http://nlpdeep.cs.uic.edu:8080/proofing/gsii/495027-past-medical-history-0-4.pdf","gsii/495027-past-medical-history-0-4.pdf")</f>
        <v>gsii/495027-past-medical-history-0-4.pdf</v>
      </c>
      <c r="E686">
        <v>118760</v>
      </c>
      <c r="F686">
        <v>495027</v>
      </c>
      <c r="G686" t="s">
        <v>306</v>
      </c>
      <c r="H686" t="s">
        <v>76</v>
      </c>
      <c r="I686" t="s">
        <v>2360</v>
      </c>
    </row>
    <row r="687" spans="1:9" x14ac:dyDescent="0.2">
      <c r="A687" t="s">
        <v>2361</v>
      </c>
      <c r="D687" t="str">
        <f>HYPERLINK("http://nlpdeep.cs.uic.edu:8080/proofing/t5/495027-past-medical-history-0-5.pdf","t5/495027-past-medical-history-0-5.pdf")</f>
        <v>t5/495027-past-medical-history-0-5.pdf</v>
      </c>
      <c r="E687">
        <v>118760</v>
      </c>
      <c r="F687">
        <v>495027</v>
      </c>
      <c r="G687" t="s">
        <v>306</v>
      </c>
      <c r="H687" t="s">
        <v>76</v>
      </c>
      <c r="I687" t="s">
        <v>2362</v>
      </c>
    </row>
    <row r="688" spans="1:9" x14ac:dyDescent="0.2">
      <c r="A688" t="s">
        <v>2361</v>
      </c>
      <c r="D688" t="str">
        <f>HYPERLINK("http://nlpdeep.cs.uic.edu:8080/proofing/gsii/495027-past-medical-history-0-5.pdf","gsii/495027-past-medical-history-0-5.pdf")</f>
        <v>gsii/495027-past-medical-history-0-5.pdf</v>
      </c>
      <c r="E688">
        <v>118760</v>
      </c>
      <c r="F688">
        <v>495027</v>
      </c>
      <c r="G688" t="s">
        <v>306</v>
      </c>
      <c r="H688" t="s">
        <v>76</v>
      </c>
      <c r="I688" t="s">
        <v>2362</v>
      </c>
    </row>
    <row r="689" spans="1:9" x14ac:dyDescent="0.2">
      <c r="A689" t="s">
        <v>2363</v>
      </c>
      <c r="D689" t="str">
        <f>HYPERLINK("http://nlpdeep.cs.uic.edu:8080/proofing/t5/495027-past-medical-history-0-6.pdf","t5/495027-past-medical-history-0-6.pdf")</f>
        <v>t5/495027-past-medical-history-0-6.pdf</v>
      </c>
      <c r="E689">
        <v>118760</v>
      </c>
      <c r="F689">
        <v>495027</v>
      </c>
      <c r="G689" t="s">
        <v>306</v>
      </c>
      <c r="H689" t="s">
        <v>76</v>
      </c>
      <c r="I689" t="s">
        <v>2364</v>
      </c>
    </row>
    <row r="690" spans="1:9" x14ac:dyDescent="0.2">
      <c r="A690" t="s">
        <v>2363</v>
      </c>
      <c r="D690" t="str">
        <f>HYPERLINK("http://nlpdeep.cs.uic.edu:8080/proofing/gsii/495027-past-medical-history-0-6.pdf","gsii/495027-past-medical-history-0-6.pdf")</f>
        <v>gsii/495027-past-medical-history-0-6.pdf</v>
      </c>
      <c r="E690">
        <v>118760</v>
      </c>
      <c r="F690">
        <v>495027</v>
      </c>
      <c r="G690" t="s">
        <v>306</v>
      </c>
      <c r="H690" t="s">
        <v>76</v>
      </c>
      <c r="I690" t="s">
        <v>2364</v>
      </c>
    </row>
    <row r="691" spans="1:9" x14ac:dyDescent="0.2">
      <c r="A691" t="s">
        <v>2365</v>
      </c>
      <c r="D691" t="str">
        <f>HYPERLINK("http://nlpdeep.cs.uic.edu:8080/proofing/t5/495027-past-medical-history-0-7.pdf","t5/495027-past-medical-history-0-7.pdf")</f>
        <v>t5/495027-past-medical-history-0-7.pdf</v>
      </c>
      <c r="E691">
        <v>118760</v>
      </c>
      <c r="F691">
        <v>495027</v>
      </c>
      <c r="G691" t="s">
        <v>306</v>
      </c>
      <c r="H691" t="s">
        <v>76</v>
      </c>
      <c r="I691" t="s">
        <v>2366</v>
      </c>
    </row>
    <row r="692" spans="1:9" x14ac:dyDescent="0.2">
      <c r="A692" t="s">
        <v>2365</v>
      </c>
      <c r="D692" t="str">
        <f>HYPERLINK("http://nlpdeep.cs.uic.edu:8080/proofing/gsii/495027-past-medical-history-0-7.pdf","gsii/495027-past-medical-history-0-7.pdf")</f>
        <v>gsii/495027-past-medical-history-0-7.pdf</v>
      </c>
      <c r="E692">
        <v>118760</v>
      </c>
      <c r="F692">
        <v>495027</v>
      </c>
      <c r="G692" t="s">
        <v>306</v>
      </c>
      <c r="H692" t="s">
        <v>76</v>
      </c>
      <c r="I692" t="s">
        <v>2366</v>
      </c>
    </row>
    <row r="693" spans="1:9" x14ac:dyDescent="0.2">
      <c r="A693" t="s">
        <v>2367</v>
      </c>
      <c r="D693" t="str">
        <f>HYPERLINK("http://nlpdeep.cs.uic.edu:8080/proofing/t5/495027-past-medical-history-0-8.pdf","t5/495027-past-medical-history-0-8.pdf")</f>
        <v>t5/495027-past-medical-history-0-8.pdf</v>
      </c>
      <c r="E693">
        <v>118760</v>
      </c>
      <c r="F693">
        <v>495027</v>
      </c>
      <c r="G693" t="s">
        <v>306</v>
      </c>
      <c r="H693" t="s">
        <v>76</v>
      </c>
      <c r="I693" t="s">
        <v>2368</v>
      </c>
    </row>
    <row r="694" spans="1:9" x14ac:dyDescent="0.2">
      <c r="A694" t="s">
        <v>2367</v>
      </c>
      <c r="D694" t="str">
        <f>HYPERLINK("http://nlpdeep.cs.uic.edu:8080/proofing/gsii/495027-past-medical-history-0-8.pdf","gsii/495027-past-medical-history-0-8.pdf")</f>
        <v>gsii/495027-past-medical-history-0-8.pdf</v>
      </c>
      <c r="E694">
        <v>118760</v>
      </c>
      <c r="F694">
        <v>495027</v>
      </c>
      <c r="G694" t="s">
        <v>306</v>
      </c>
      <c r="H694" t="s">
        <v>76</v>
      </c>
      <c r="I694" t="s">
        <v>2368</v>
      </c>
    </row>
    <row r="695" spans="1:9" x14ac:dyDescent="0.2">
      <c r="A695" t="s">
        <v>2369</v>
      </c>
      <c r="D695" t="str">
        <f>HYPERLINK("http://nlpdeep.cs.uic.edu:8080/proofing/t5/495027-social-history-0-0.pdf","t5/495027-social-history-0-0.pdf")</f>
        <v>t5/495027-social-history-0-0.pdf</v>
      </c>
      <c r="E695">
        <v>118760</v>
      </c>
      <c r="F695">
        <v>495027</v>
      </c>
      <c r="G695" t="s">
        <v>306</v>
      </c>
      <c r="H695" t="s">
        <v>118</v>
      </c>
      <c r="I695" t="s">
        <v>2370</v>
      </c>
    </row>
    <row r="696" spans="1:9" x14ac:dyDescent="0.2">
      <c r="A696" t="s">
        <v>2369</v>
      </c>
      <c r="D696" t="str">
        <f>HYPERLINK("http://nlpdeep.cs.uic.edu:8080/proofing/gsii/495027-social-history-0-0.pdf","gsii/495027-social-history-0-0.pdf")</f>
        <v>gsii/495027-social-history-0-0.pdf</v>
      </c>
      <c r="E696">
        <v>118760</v>
      </c>
      <c r="F696">
        <v>495027</v>
      </c>
      <c r="G696" t="s">
        <v>306</v>
      </c>
      <c r="H696" t="s">
        <v>118</v>
      </c>
      <c r="I696" t="s">
        <v>2370</v>
      </c>
    </row>
    <row r="697" spans="1:9" x14ac:dyDescent="0.2">
      <c r="A697" t="s">
        <v>2371</v>
      </c>
      <c r="D697" t="str">
        <f>HYPERLINK("http://nlpdeep.cs.uic.edu:8080/proofing/t5/495027-social-history-0-1.pdf","t5/495027-social-history-0-1.pdf")</f>
        <v>t5/495027-social-history-0-1.pdf</v>
      </c>
      <c r="E697">
        <v>118760</v>
      </c>
      <c r="F697">
        <v>495027</v>
      </c>
      <c r="G697" t="s">
        <v>306</v>
      </c>
      <c r="H697" t="s">
        <v>118</v>
      </c>
      <c r="I697" t="s">
        <v>2372</v>
      </c>
    </row>
    <row r="698" spans="1:9" x14ac:dyDescent="0.2">
      <c r="A698" t="s">
        <v>2371</v>
      </c>
      <c r="D698" t="str">
        <f>HYPERLINK("http://nlpdeep.cs.uic.edu:8080/proofing/gsii/495027-social-history-0-1.pdf","gsii/495027-social-history-0-1.pdf")</f>
        <v>gsii/495027-social-history-0-1.pdf</v>
      </c>
      <c r="E698">
        <v>118760</v>
      </c>
      <c r="F698">
        <v>495027</v>
      </c>
      <c r="G698" t="s">
        <v>306</v>
      </c>
      <c r="H698" t="s">
        <v>118</v>
      </c>
      <c r="I698" t="s">
        <v>2372</v>
      </c>
    </row>
    <row r="699" spans="1:9" x14ac:dyDescent="0.2">
      <c r="A699" t="s">
        <v>2373</v>
      </c>
      <c r="D699" t="str">
        <f>HYPERLINK("http://nlpdeep.cs.uic.edu:8080/proofing/t5/495027-social-history-0-2.pdf","t5/495027-social-history-0-2.pdf")</f>
        <v>t5/495027-social-history-0-2.pdf</v>
      </c>
      <c r="E699">
        <v>118760</v>
      </c>
      <c r="F699">
        <v>495027</v>
      </c>
      <c r="G699" t="s">
        <v>306</v>
      </c>
      <c r="H699" t="s">
        <v>118</v>
      </c>
      <c r="I699" t="s">
        <v>2374</v>
      </c>
    </row>
    <row r="700" spans="1:9" x14ac:dyDescent="0.2">
      <c r="A700" t="s">
        <v>2373</v>
      </c>
      <c r="D700" t="str">
        <f>HYPERLINK("http://nlpdeep.cs.uic.edu:8080/proofing/gsii/495027-social-history-0-2.pdf","gsii/495027-social-history-0-2.pdf")</f>
        <v>gsii/495027-social-history-0-2.pdf</v>
      </c>
      <c r="E700">
        <v>118760</v>
      </c>
      <c r="F700">
        <v>495027</v>
      </c>
      <c r="G700" t="s">
        <v>306</v>
      </c>
      <c r="H700" t="s">
        <v>118</v>
      </c>
      <c r="I700" t="s">
        <v>2374</v>
      </c>
    </row>
    <row r="701" spans="1:9" x14ac:dyDescent="0.2">
      <c r="A701" t="s">
        <v>2375</v>
      </c>
      <c r="D701" t="str">
        <f>HYPERLINK("http://nlpdeep.cs.uic.edu:8080/proofing/t5/495027-family-history-0-0.pdf","t5/495027-family-history-0-0.pdf")</f>
        <v>t5/495027-family-history-0-0.pdf</v>
      </c>
      <c r="E701">
        <v>118760</v>
      </c>
      <c r="F701">
        <v>495027</v>
      </c>
      <c r="G701" t="s">
        <v>306</v>
      </c>
      <c r="H701" t="s">
        <v>107</v>
      </c>
      <c r="I701" t="s">
        <v>2376</v>
      </c>
    </row>
    <row r="702" spans="1:9" x14ac:dyDescent="0.2">
      <c r="A702" t="s">
        <v>2375</v>
      </c>
      <c r="D702" t="str">
        <f>HYPERLINK("http://nlpdeep.cs.uic.edu:8080/proofing/gsii/495027-family-history-0-0.pdf","gsii/495027-family-history-0-0.pdf")</f>
        <v>gsii/495027-family-history-0-0.pdf</v>
      </c>
      <c r="E702">
        <v>118760</v>
      </c>
      <c r="F702">
        <v>495027</v>
      </c>
      <c r="G702" t="s">
        <v>306</v>
      </c>
      <c r="H702" t="s">
        <v>107</v>
      </c>
      <c r="I702" t="s">
        <v>2376</v>
      </c>
    </row>
    <row r="703" spans="1:9" x14ac:dyDescent="0.2">
      <c r="A703" t="s">
        <v>2377</v>
      </c>
      <c r="D703" t="str">
        <f>HYPERLINK("http://nlpdeep.cs.uic.edu:8080/proofing/t5/495027-review-of-systems-0-0.pdf","t5/495027-review-of-systems-0-0.pdf")</f>
        <v>t5/495027-review-of-systems-0-0.pdf</v>
      </c>
      <c r="E703">
        <v>118760</v>
      </c>
      <c r="F703">
        <v>495027</v>
      </c>
      <c r="G703" t="s">
        <v>306</v>
      </c>
      <c r="H703" t="s">
        <v>393</v>
      </c>
      <c r="I703" t="s">
        <v>2378</v>
      </c>
    </row>
    <row r="704" spans="1:9" x14ac:dyDescent="0.2">
      <c r="A704" t="s">
        <v>2377</v>
      </c>
      <c r="D704" t="str">
        <f>HYPERLINK("http://nlpdeep.cs.uic.edu:8080/proofing/gsii/495027-review-of-systems-0-0.pdf","gsii/495027-review-of-systems-0-0.pdf")</f>
        <v>gsii/495027-review-of-systems-0-0.pdf</v>
      </c>
      <c r="E704">
        <v>118760</v>
      </c>
      <c r="F704">
        <v>495027</v>
      </c>
      <c r="G704" t="s">
        <v>306</v>
      </c>
      <c r="H704" t="s">
        <v>393</v>
      </c>
      <c r="I704" t="s">
        <v>2378</v>
      </c>
    </row>
    <row r="705" spans="1:9" x14ac:dyDescent="0.2">
      <c r="A705" t="s">
        <v>2379</v>
      </c>
      <c r="D705" t="str">
        <f>HYPERLINK("http://nlpdeep.cs.uic.edu:8080/proofing/t5/495027-review-of-systems-0-1.pdf","t5/495027-review-of-systems-0-1.pdf")</f>
        <v>t5/495027-review-of-systems-0-1.pdf</v>
      </c>
      <c r="E705">
        <v>118760</v>
      </c>
      <c r="F705">
        <v>495027</v>
      </c>
      <c r="G705" t="s">
        <v>306</v>
      </c>
      <c r="H705" t="s">
        <v>393</v>
      </c>
      <c r="I705" t="s">
        <v>2380</v>
      </c>
    </row>
    <row r="706" spans="1:9" x14ac:dyDescent="0.2">
      <c r="A706" t="s">
        <v>2379</v>
      </c>
      <c r="D706" t="str">
        <f>HYPERLINK("http://nlpdeep.cs.uic.edu:8080/proofing/gsii/495027-review-of-systems-0-1.pdf","gsii/495027-review-of-systems-0-1.pdf")</f>
        <v>gsii/495027-review-of-systems-0-1.pdf</v>
      </c>
      <c r="E706">
        <v>118760</v>
      </c>
      <c r="F706">
        <v>495027</v>
      </c>
      <c r="G706" t="s">
        <v>306</v>
      </c>
      <c r="H706" t="s">
        <v>393</v>
      </c>
      <c r="I706" t="s">
        <v>2380</v>
      </c>
    </row>
    <row r="707" spans="1:9" x14ac:dyDescent="0.2">
      <c r="A707" t="s">
        <v>2381</v>
      </c>
      <c r="D707" t="str">
        <f>HYPERLINK("http://nlpdeep.cs.uic.edu:8080/proofing/t5/495027-review-of-systems-0-2.pdf","t5/495027-review-of-systems-0-2.pdf")</f>
        <v>t5/495027-review-of-systems-0-2.pdf</v>
      </c>
      <c r="E707">
        <v>118760</v>
      </c>
      <c r="F707">
        <v>495027</v>
      </c>
      <c r="G707" t="s">
        <v>306</v>
      </c>
      <c r="H707" t="s">
        <v>393</v>
      </c>
      <c r="I707" t="s">
        <v>2382</v>
      </c>
    </row>
    <row r="708" spans="1:9" x14ac:dyDescent="0.2">
      <c r="A708" t="s">
        <v>2381</v>
      </c>
      <c r="D708" t="str">
        <f>HYPERLINK("http://nlpdeep.cs.uic.edu:8080/proofing/gsii/495027-review-of-systems-0-2.pdf","gsii/495027-review-of-systems-0-2.pdf")</f>
        <v>gsii/495027-review-of-systems-0-2.pdf</v>
      </c>
      <c r="E708">
        <v>118760</v>
      </c>
      <c r="F708">
        <v>495027</v>
      </c>
      <c r="G708" t="s">
        <v>306</v>
      </c>
      <c r="H708" t="s">
        <v>393</v>
      </c>
      <c r="I708" t="s">
        <v>2382</v>
      </c>
    </row>
    <row r="709" spans="1:9" x14ac:dyDescent="0.2">
      <c r="A709" t="s">
        <v>2383</v>
      </c>
      <c r="D709" t="str">
        <f>HYPERLINK("http://nlpdeep.cs.uic.edu:8080/proofing/t5/495027-review-of-systems-0-3.pdf","t5/495027-review-of-systems-0-3.pdf")</f>
        <v>t5/495027-review-of-systems-0-3.pdf</v>
      </c>
      <c r="E709">
        <v>118760</v>
      </c>
      <c r="F709">
        <v>495027</v>
      </c>
      <c r="G709" t="s">
        <v>306</v>
      </c>
      <c r="H709" t="s">
        <v>393</v>
      </c>
      <c r="I709" t="s">
        <v>2384</v>
      </c>
    </row>
    <row r="710" spans="1:9" x14ac:dyDescent="0.2">
      <c r="A710" t="s">
        <v>2383</v>
      </c>
      <c r="D710" t="str">
        <f>HYPERLINK("http://nlpdeep.cs.uic.edu:8080/proofing/gsii/495027-review-of-systems-0-3.pdf","gsii/495027-review-of-systems-0-3.pdf")</f>
        <v>gsii/495027-review-of-systems-0-3.pdf</v>
      </c>
      <c r="E710">
        <v>118760</v>
      </c>
      <c r="F710">
        <v>495027</v>
      </c>
      <c r="G710" t="s">
        <v>306</v>
      </c>
      <c r="H710" t="s">
        <v>393</v>
      </c>
      <c r="I710" t="s">
        <v>2384</v>
      </c>
    </row>
    <row r="711" spans="1:9" x14ac:dyDescent="0.2">
      <c r="A711" t="s">
        <v>2385</v>
      </c>
      <c r="D711" t="str">
        <f>HYPERLINK("http://nlpdeep.cs.uic.edu:8080/proofing/t5/495027-review-of-systems-0-4.pdf","t5/495027-review-of-systems-0-4.pdf")</f>
        <v>t5/495027-review-of-systems-0-4.pdf</v>
      </c>
      <c r="E711">
        <v>118760</v>
      </c>
      <c r="F711">
        <v>495027</v>
      </c>
      <c r="G711" t="s">
        <v>306</v>
      </c>
      <c r="H711" t="s">
        <v>393</v>
      </c>
      <c r="I711" t="s">
        <v>2386</v>
      </c>
    </row>
    <row r="712" spans="1:9" x14ac:dyDescent="0.2">
      <c r="A712" t="s">
        <v>2385</v>
      </c>
      <c r="D712" t="str">
        <f>HYPERLINK("http://nlpdeep.cs.uic.edu:8080/proofing/gsii/495027-review-of-systems-0-4.pdf","gsii/495027-review-of-systems-0-4.pdf")</f>
        <v>gsii/495027-review-of-systems-0-4.pdf</v>
      </c>
      <c r="E712">
        <v>118760</v>
      </c>
      <c r="F712">
        <v>495027</v>
      </c>
      <c r="G712" t="s">
        <v>306</v>
      </c>
      <c r="H712" t="s">
        <v>393</v>
      </c>
      <c r="I712" t="s">
        <v>2386</v>
      </c>
    </row>
    <row r="713" spans="1:9" x14ac:dyDescent="0.2">
      <c r="A713" t="s">
        <v>2387</v>
      </c>
      <c r="D713" t="str">
        <f>HYPERLINK("http://nlpdeep.cs.uic.edu:8080/proofing/t5/495027-physical-examination-0-0.pdf","t5/495027-physical-examination-0-0.pdf")</f>
        <v>t5/495027-physical-examination-0-0.pdf</v>
      </c>
      <c r="E713">
        <v>118760</v>
      </c>
      <c r="F713">
        <v>495027</v>
      </c>
      <c r="G713" t="s">
        <v>306</v>
      </c>
      <c r="H713" t="s">
        <v>138</v>
      </c>
      <c r="I713" t="s">
        <v>2388</v>
      </c>
    </row>
    <row r="714" spans="1:9" x14ac:dyDescent="0.2">
      <c r="A714" t="s">
        <v>2387</v>
      </c>
      <c r="D714" t="str">
        <f>HYPERLINK("http://nlpdeep.cs.uic.edu:8080/proofing/gsii/495027-physical-examination-0-0.pdf","gsii/495027-physical-examination-0-0.pdf")</f>
        <v>gsii/495027-physical-examination-0-0.pdf</v>
      </c>
      <c r="E714">
        <v>118760</v>
      </c>
      <c r="F714">
        <v>495027</v>
      </c>
      <c r="G714" t="s">
        <v>306</v>
      </c>
      <c r="H714" t="s">
        <v>138</v>
      </c>
      <c r="I714" t="s">
        <v>2388</v>
      </c>
    </row>
    <row r="715" spans="1:9" x14ac:dyDescent="0.2">
      <c r="A715" t="s">
        <v>2389</v>
      </c>
      <c r="D715" t="str">
        <f>HYPERLINK("http://nlpdeep.cs.uic.edu:8080/proofing/t5/495027-physical-examination-0-1.pdf","t5/495027-physical-examination-0-1.pdf")</f>
        <v>t5/495027-physical-examination-0-1.pdf</v>
      </c>
      <c r="E715">
        <v>118760</v>
      </c>
      <c r="F715">
        <v>495027</v>
      </c>
      <c r="G715" t="s">
        <v>306</v>
      </c>
      <c r="H715" t="s">
        <v>138</v>
      </c>
      <c r="I715" t="s">
        <v>2390</v>
      </c>
    </row>
    <row r="716" spans="1:9" x14ac:dyDescent="0.2">
      <c r="A716" t="s">
        <v>2389</v>
      </c>
      <c r="D716" t="str">
        <f>HYPERLINK("http://nlpdeep.cs.uic.edu:8080/proofing/gsii/495027-physical-examination-0-1.pdf","gsii/495027-physical-examination-0-1.pdf")</f>
        <v>gsii/495027-physical-examination-0-1.pdf</v>
      </c>
      <c r="E716">
        <v>118760</v>
      </c>
      <c r="F716">
        <v>495027</v>
      </c>
      <c r="G716" t="s">
        <v>306</v>
      </c>
      <c r="H716" t="s">
        <v>138</v>
      </c>
      <c r="I716" t="s">
        <v>2390</v>
      </c>
    </row>
    <row r="717" spans="1:9" x14ac:dyDescent="0.2">
      <c r="A717" t="s">
        <v>2391</v>
      </c>
      <c r="D717" t="str">
        <f>HYPERLINK("http://nlpdeep.cs.uic.edu:8080/proofing/t5/495027-physical-examination-0-2.pdf","t5/495027-physical-examination-0-2.pdf")</f>
        <v>t5/495027-physical-examination-0-2.pdf</v>
      </c>
      <c r="E717">
        <v>118760</v>
      </c>
      <c r="F717">
        <v>495027</v>
      </c>
      <c r="G717" t="s">
        <v>306</v>
      </c>
      <c r="H717" t="s">
        <v>138</v>
      </c>
      <c r="I717" t="s">
        <v>2392</v>
      </c>
    </row>
    <row r="718" spans="1:9" x14ac:dyDescent="0.2">
      <c r="A718" t="s">
        <v>2391</v>
      </c>
      <c r="D718" t="str">
        <f>HYPERLINK("http://nlpdeep.cs.uic.edu:8080/proofing/gsii/495027-physical-examination-0-2.pdf","gsii/495027-physical-examination-0-2.pdf")</f>
        <v>gsii/495027-physical-examination-0-2.pdf</v>
      </c>
      <c r="E718">
        <v>118760</v>
      </c>
      <c r="F718">
        <v>495027</v>
      </c>
      <c r="G718" t="s">
        <v>306</v>
      </c>
      <c r="H718" t="s">
        <v>138</v>
      </c>
      <c r="I718" t="s">
        <v>2392</v>
      </c>
    </row>
    <row r="719" spans="1:9" x14ac:dyDescent="0.2">
      <c r="A719" t="s">
        <v>2393</v>
      </c>
      <c r="D719" t="str">
        <f>HYPERLINK("http://nlpdeep.cs.uic.edu:8080/proofing/t5/495027-physical-examination-0-3.pdf","t5/495027-physical-examination-0-3.pdf")</f>
        <v>t5/495027-physical-examination-0-3.pdf</v>
      </c>
      <c r="E719">
        <v>118760</v>
      </c>
      <c r="F719">
        <v>495027</v>
      </c>
      <c r="G719" t="s">
        <v>306</v>
      </c>
      <c r="H719" t="s">
        <v>138</v>
      </c>
      <c r="I719" t="s">
        <v>432</v>
      </c>
    </row>
    <row r="720" spans="1:9" x14ac:dyDescent="0.2">
      <c r="A720" t="s">
        <v>2393</v>
      </c>
      <c r="D720" t="str">
        <f>HYPERLINK("http://nlpdeep.cs.uic.edu:8080/proofing/gsii/495027-physical-examination-0-3.pdf","gsii/495027-physical-examination-0-3.pdf")</f>
        <v>gsii/495027-physical-examination-0-3.pdf</v>
      </c>
      <c r="E720">
        <v>118760</v>
      </c>
      <c r="F720">
        <v>495027</v>
      </c>
      <c r="G720" t="s">
        <v>306</v>
      </c>
      <c r="H720" t="s">
        <v>138</v>
      </c>
      <c r="I720" t="s">
        <v>432</v>
      </c>
    </row>
    <row r="721" spans="1:9" x14ac:dyDescent="0.2">
      <c r="A721" t="s">
        <v>2394</v>
      </c>
      <c r="D721" t="str">
        <f>HYPERLINK("http://nlpdeep.cs.uic.edu:8080/proofing/t5/495027-physical-examination-0-4.pdf","t5/495027-physical-examination-0-4.pdf")</f>
        <v>t5/495027-physical-examination-0-4.pdf</v>
      </c>
      <c r="E721">
        <v>118760</v>
      </c>
      <c r="F721">
        <v>495027</v>
      </c>
      <c r="G721" t="s">
        <v>306</v>
      </c>
      <c r="H721" t="s">
        <v>138</v>
      </c>
      <c r="I721" t="s">
        <v>2395</v>
      </c>
    </row>
    <row r="722" spans="1:9" x14ac:dyDescent="0.2">
      <c r="A722" t="s">
        <v>2394</v>
      </c>
      <c r="D722" t="str">
        <f>HYPERLINK("http://nlpdeep.cs.uic.edu:8080/proofing/gsii/495027-physical-examination-0-4.pdf","gsii/495027-physical-examination-0-4.pdf")</f>
        <v>gsii/495027-physical-examination-0-4.pdf</v>
      </c>
      <c r="E722">
        <v>118760</v>
      </c>
      <c r="F722">
        <v>495027</v>
      </c>
      <c r="G722" t="s">
        <v>306</v>
      </c>
      <c r="H722" t="s">
        <v>138</v>
      </c>
      <c r="I722" t="s">
        <v>2395</v>
      </c>
    </row>
    <row r="723" spans="1:9" x14ac:dyDescent="0.2">
      <c r="A723" t="s">
        <v>2396</v>
      </c>
      <c r="D723" t="str">
        <f>HYPERLINK("http://nlpdeep.cs.uic.edu:8080/proofing/t5/495027-physical-examination-0-5.pdf","t5/495027-physical-examination-0-5.pdf")</f>
        <v>t5/495027-physical-examination-0-5.pdf</v>
      </c>
      <c r="E723">
        <v>118760</v>
      </c>
      <c r="F723">
        <v>495027</v>
      </c>
      <c r="G723" t="s">
        <v>306</v>
      </c>
      <c r="H723" t="s">
        <v>138</v>
      </c>
      <c r="I723" t="s">
        <v>436</v>
      </c>
    </row>
    <row r="724" spans="1:9" x14ac:dyDescent="0.2">
      <c r="A724" t="s">
        <v>2396</v>
      </c>
      <c r="D724" t="str">
        <f>HYPERLINK("http://nlpdeep.cs.uic.edu:8080/proofing/gsii/495027-physical-examination-0-5.pdf","gsii/495027-physical-examination-0-5.pdf")</f>
        <v>gsii/495027-physical-examination-0-5.pdf</v>
      </c>
      <c r="E724">
        <v>118760</v>
      </c>
      <c r="F724">
        <v>495027</v>
      </c>
      <c r="G724" t="s">
        <v>306</v>
      </c>
      <c r="H724" t="s">
        <v>138</v>
      </c>
      <c r="I724" t="s">
        <v>436</v>
      </c>
    </row>
    <row r="725" spans="1:9" x14ac:dyDescent="0.2">
      <c r="A725" t="s">
        <v>2397</v>
      </c>
      <c r="D725" t="str">
        <f>HYPERLINK("http://nlpdeep.cs.uic.edu:8080/proofing/t5/495027-physical-examination-0-6.pdf","t5/495027-physical-examination-0-6.pdf")</f>
        <v>t5/495027-physical-examination-0-6.pdf</v>
      </c>
      <c r="E725">
        <v>118760</v>
      </c>
      <c r="F725">
        <v>495027</v>
      </c>
      <c r="G725" t="s">
        <v>306</v>
      </c>
      <c r="H725" t="s">
        <v>138</v>
      </c>
      <c r="I725" t="s">
        <v>2398</v>
      </c>
    </row>
    <row r="726" spans="1:9" x14ac:dyDescent="0.2">
      <c r="A726" t="s">
        <v>2397</v>
      </c>
      <c r="D726" t="str">
        <f>HYPERLINK("http://nlpdeep.cs.uic.edu:8080/proofing/gsii/495027-physical-examination-0-6.pdf","gsii/495027-physical-examination-0-6.pdf")</f>
        <v>gsii/495027-physical-examination-0-6.pdf</v>
      </c>
      <c r="E726">
        <v>118760</v>
      </c>
      <c r="F726">
        <v>495027</v>
      </c>
      <c r="G726" t="s">
        <v>306</v>
      </c>
      <c r="H726" t="s">
        <v>138</v>
      </c>
      <c r="I726" t="s">
        <v>2398</v>
      </c>
    </row>
    <row r="727" spans="1:9" x14ac:dyDescent="0.2">
      <c r="A727" t="s">
        <v>2399</v>
      </c>
      <c r="D727" t="str">
        <f>HYPERLINK("http://nlpdeep.cs.uic.edu:8080/proofing/t5/495027-physical-examination-0-7.pdf","t5/495027-physical-examination-0-7.pdf")</f>
        <v>t5/495027-physical-examination-0-7.pdf</v>
      </c>
      <c r="E727">
        <v>118760</v>
      </c>
      <c r="F727">
        <v>495027</v>
      </c>
      <c r="G727" t="s">
        <v>306</v>
      </c>
      <c r="H727" t="s">
        <v>138</v>
      </c>
      <c r="I727" t="s">
        <v>2400</v>
      </c>
    </row>
    <row r="728" spans="1:9" x14ac:dyDescent="0.2">
      <c r="A728" t="s">
        <v>2399</v>
      </c>
      <c r="D728" t="str">
        <f>HYPERLINK("http://nlpdeep.cs.uic.edu:8080/proofing/gsii/495027-physical-examination-0-7.pdf","gsii/495027-physical-examination-0-7.pdf")</f>
        <v>gsii/495027-physical-examination-0-7.pdf</v>
      </c>
      <c r="E728">
        <v>118760</v>
      </c>
      <c r="F728">
        <v>495027</v>
      </c>
      <c r="G728" t="s">
        <v>306</v>
      </c>
      <c r="H728" t="s">
        <v>138</v>
      </c>
      <c r="I728" t="s">
        <v>2400</v>
      </c>
    </row>
    <row r="729" spans="1:9" x14ac:dyDescent="0.2">
      <c r="A729" t="s">
        <v>2401</v>
      </c>
      <c r="D729" t="str">
        <f>HYPERLINK("http://nlpdeep.cs.uic.edu:8080/proofing/t5/495027-physical-examination-0-8.pdf","t5/495027-physical-examination-0-8.pdf")</f>
        <v>t5/495027-physical-examination-0-8.pdf</v>
      </c>
      <c r="E729">
        <v>118760</v>
      </c>
      <c r="F729">
        <v>495027</v>
      </c>
      <c r="G729" t="s">
        <v>306</v>
      </c>
      <c r="H729" t="s">
        <v>138</v>
      </c>
      <c r="I729" t="s">
        <v>2402</v>
      </c>
    </row>
    <row r="730" spans="1:9" x14ac:dyDescent="0.2">
      <c r="A730" t="s">
        <v>2401</v>
      </c>
      <c r="D730" t="str">
        <f>HYPERLINK("http://nlpdeep.cs.uic.edu:8080/proofing/gsii/495027-physical-examination-0-8.pdf","gsii/495027-physical-examination-0-8.pdf")</f>
        <v>gsii/495027-physical-examination-0-8.pdf</v>
      </c>
      <c r="E730">
        <v>118760</v>
      </c>
      <c r="F730">
        <v>495027</v>
      </c>
      <c r="G730" t="s">
        <v>306</v>
      </c>
      <c r="H730" t="s">
        <v>138</v>
      </c>
      <c r="I730" t="s">
        <v>2402</v>
      </c>
    </row>
    <row r="731" spans="1:9" x14ac:dyDescent="0.2">
      <c r="A731" t="s">
        <v>2403</v>
      </c>
      <c r="D731" t="str">
        <f>HYPERLINK("http://nlpdeep.cs.uic.edu:8080/proofing/t5/495027-physical-examination-0-9.pdf","t5/495027-physical-examination-0-9.pdf")</f>
        <v>t5/495027-physical-examination-0-9.pdf</v>
      </c>
      <c r="E731">
        <v>118760</v>
      </c>
      <c r="F731">
        <v>495027</v>
      </c>
      <c r="G731" t="s">
        <v>306</v>
      </c>
      <c r="H731" t="s">
        <v>138</v>
      </c>
      <c r="I731" t="s">
        <v>2404</v>
      </c>
    </row>
    <row r="732" spans="1:9" x14ac:dyDescent="0.2">
      <c r="A732" t="s">
        <v>2403</v>
      </c>
      <c r="D732" t="str">
        <f>HYPERLINK("http://nlpdeep.cs.uic.edu:8080/proofing/gsii/495027-physical-examination-0-9.pdf","gsii/495027-physical-examination-0-9.pdf")</f>
        <v>gsii/495027-physical-examination-0-9.pdf</v>
      </c>
      <c r="E732">
        <v>118760</v>
      </c>
      <c r="F732">
        <v>495027</v>
      </c>
      <c r="G732" t="s">
        <v>306</v>
      </c>
      <c r="H732" t="s">
        <v>138</v>
      </c>
      <c r="I732" t="s">
        <v>2404</v>
      </c>
    </row>
    <row r="733" spans="1:9" x14ac:dyDescent="0.2">
      <c r="A733" t="s">
        <v>2405</v>
      </c>
      <c r="D733" t="str">
        <f>HYPERLINK("http://nlpdeep.cs.uic.edu:8080/proofing/t5/495027-physical-examination-0-10.pdf","t5/495027-physical-examination-0-10.pdf")</f>
        <v>t5/495027-physical-examination-0-10.pdf</v>
      </c>
      <c r="E733">
        <v>118760</v>
      </c>
      <c r="F733">
        <v>495027</v>
      </c>
      <c r="G733" t="s">
        <v>306</v>
      </c>
      <c r="H733" t="s">
        <v>138</v>
      </c>
      <c r="I733" t="s">
        <v>2406</v>
      </c>
    </row>
    <row r="734" spans="1:9" x14ac:dyDescent="0.2">
      <c r="A734" t="s">
        <v>2405</v>
      </c>
      <c r="D734" t="str">
        <f>HYPERLINK("http://nlpdeep.cs.uic.edu:8080/proofing/gsii/495027-physical-examination-0-10.pdf","gsii/495027-physical-examination-0-10.pdf")</f>
        <v>gsii/495027-physical-examination-0-10.pdf</v>
      </c>
      <c r="E734">
        <v>118760</v>
      </c>
      <c r="F734">
        <v>495027</v>
      </c>
      <c r="G734" t="s">
        <v>306</v>
      </c>
      <c r="H734" t="s">
        <v>138</v>
      </c>
      <c r="I734" t="s">
        <v>2406</v>
      </c>
    </row>
    <row r="735" spans="1:9" x14ac:dyDescent="0.2">
      <c r="A735" t="s">
        <v>2407</v>
      </c>
      <c r="D735" t="str">
        <f>HYPERLINK("http://nlpdeep.cs.uic.edu:8080/proofing/t5/495027-physical-examination-0-11.pdf","t5/495027-physical-examination-0-11.pdf")</f>
        <v>t5/495027-physical-examination-0-11.pdf</v>
      </c>
      <c r="E735">
        <v>118760</v>
      </c>
      <c r="F735">
        <v>495027</v>
      </c>
      <c r="G735" t="s">
        <v>306</v>
      </c>
      <c r="H735" t="s">
        <v>138</v>
      </c>
      <c r="I735" t="s">
        <v>2408</v>
      </c>
    </row>
    <row r="736" spans="1:9" x14ac:dyDescent="0.2">
      <c r="A736" t="s">
        <v>2407</v>
      </c>
      <c r="D736" t="str">
        <f>HYPERLINK("http://nlpdeep.cs.uic.edu:8080/proofing/gsii/495027-physical-examination-0-11.pdf","gsii/495027-physical-examination-0-11.pdf")</f>
        <v>gsii/495027-physical-examination-0-11.pdf</v>
      </c>
      <c r="E736">
        <v>118760</v>
      </c>
      <c r="F736">
        <v>495027</v>
      </c>
      <c r="G736" t="s">
        <v>306</v>
      </c>
      <c r="H736" t="s">
        <v>138</v>
      </c>
      <c r="I736" t="s">
        <v>2408</v>
      </c>
    </row>
    <row r="737" spans="1:9" x14ac:dyDescent="0.2">
      <c r="A737" t="s">
        <v>2409</v>
      </c>
      <c r="D737" t="str">
        <f>HYPERLINK("http://nlpdeep.cs.uic.edu:8080/proofing/t5/495027-physical-examination-0-12.pdf","t5/495027-physical-examination-0-12.pdf")</f>
        <v>t5/495027-physical-examination-0-12.pdf</v>
      </c>
      <c r="E737">
        <v>118760</v>
      </c>
      <c r="F737">
        <v>495027</v>
      </c>
      <c r="G737" t="s">
        <v>306</v>
      </c>
      <c r="H737" t="s">
        <v>138</v>
      </c>
      <c r="I737" t="s">
        <v>446</v>
      </c>
    </row>
    <row r="738" spans="1:9" x14ac:dyDescent="0.2">
      <c r="A738" t="s">
        <v>2409</v>
      </c>
      <c r="D738" t="str">
        <f>HYPERLINK("http://nlpdeep.cs.uic.edu:8080/proofing/gsii/495027-physical-examination-0-12.pdf","gsii/495027-physical-examination-0-12.pdf")</f>
        <v>gsii/495027-physical-examination-0-12.pdf</v>
      </c>
      <c r="E738">
        <v>118760</v>
      </c>
      <c r="F738">
        <v>495027</v>
      </c>
      <c r="G738" t="s">
        <v>306</v>
      </c>
      <c r="H738" t="s">
        <v>138</v>
      </c>
      <c r="I738" t="s">
        <v>446</v>
      </c>
    </row>
    <row r="739" spans="1:9" x14ac:dyDescent="0.2">
      <c r="A739" t="s">
        <v>2410</v>
      </c>
      <c r="D739" t="str">
        <f>HYPERLINK("http://nlpdeep.cs.uic.edu:8080/proofing/t5/495027-physical-examination-0-13.pdf","t5/495027-physical-examination-0-13.pdf")</f>
        <v>t5/495027-physical-examination-0-13.pdf</v>
      </c>
      <c r="E739">
        <v>118760</v>
      </c>
      <c r="F739">
        <v>495027</v>
      </c>
      <c r="G739" t="s">
        <v>306</v>
      </c>
      <c r="H739" t="s">
        <v>138</v>
      </c>
      <c r="I739" t="s">
        <v>2411</v>
      </c>
    </row>
    <row r="740" spans="1:9" x14ac:dyDescent="0.2">
      <c r="A740" t="s">
        <v>2410</v>
      </c>
      <c r="D740" t="str">
        <f>HYPERLINK("http://nlpdeep.cs.uic.edu:8080/proofing/gsii/495027-physical-examination-0-13.pdf","gsii/495027-physical-examination-0-13.pdf")</f>
        <v>gsii/495027-physical-examination-0-13.pdf</v>
      </c>
      <c r="E740">
        <v>118760</v>
      </c>
      <c r="F740">
        <v>495027</v>
      </c>
      <c r="G740" t="s">
        <v>306</v>
      </c>
      <c r="H740" t="s">
        <v>138</v>
      </c>
      <c r="I740" t="s">
        <v>2411</v>
      </c>
    </row>
    <row r="741" spans="1:9" x14ac:dyDescent="0.2">
      <c r="A741" t="s">
        <v>2412</v>
      </c>
      <c r="D741" t="str">
        <f>HYPERLINK("http://nlpdeep.cs.uic.edu:8080/proofing/t5/495027-physical-examination-0-14.pdf","t5/495027-physical-examination-0-14.pdf")</f>
        <v>t5/495027-physical-examination-0-14.pdf</v>
      </c>
      <c r="E741">
        <v>118760</v>
      </c>
      <c r="F741">
        <v>495027</v>
      </c>
      <c r="G741" t="s">
        <v>306</v>
      </c>
      <c r="H741" t="s">
        <v>138</v>
      </c>
      <c r="I741" t="s">
        <v>2413</v>
      </c>
    </row>
    <row r="742" spans="1:9" x14ac:dyDescent="0.2">
      <c r="A742" t="s">
        <v>2412</v>
      </c>
      <c r="D742" t="str">
        <f>HYPERLINK("http://nlpdeep.cs.uic.edu:8080/proofing/gsii/495027-physical-examination-0-14.pdf","gsii/495027-physical-examination-0-14.pdf")</f>
        <v>gsii/495027-physical-examination-0-14.pdf</v>
      </c>
      <c r="E742">
        <v>118760</v>
      </c>
      <c r="F742">
        <v>495027</v>
      </c>
      <c r="G742" t="s">
        <v>306</v>
      </c>
      <c r="H742" t="s">
        <v>138</v>
      </c>
      <c r="I742" t="s">
        <v>2413</v>
      </c>
    </row>
    <row r="743" spans="1:9" x14ac:dyDescent="0.2">
      <c r="A743" t="s">
        <v>2414</v>
      </c>
      <c r="D743" t="str">
        <f>HYPERLINK("http://nlpdeep.cs.uic.edu:8080/proofing/t5/495027-physical-examination-0-15.pdf","t5/495027-physical-examination-0-15.pdf")</f>
        <v>t5/495027-physical-examination-0-15.pdf</v>
      </c>
      <c r="E743">
        <v>118760</v>
      </c>
      <c r="F743">
        <v>495027</v>
      </c>
      <c r="G743" t="s">
        <v>306</v>
      </c>
      <c r="H743" t="s">
        <v>138</v>
      </c>
      <c r="I743" t="s">
        <v>2415</v>
      </c>
    </row>
    <row r="744" spans="1:9" x14ac:dyDescent="0.2">
      <c r="A744" t="s">
        <v>2414</v>
      </c>
      <c r="D744" t="str">
        <f>HYPERLINK("http://nlpdeep.cs.uic.edu:8080/proofing/gsii/495027-physical-examination-0-15.pdf","gsii/495027-physical-examination-0-15.pdf")</f>
        <v>gsii/495027-physical-examination-0-15.pdf</v>
      </c>
      <c r="E744">
        <v>118760</v>
      </c>
      <c r="F744">
        <v>495027</v>
      </c>
      <c r="G744" t="s">
        <v>306</v>
      </c>
      <c r="H744" t="s">
        <v>138</v>
      </c>
      <c r="I744" t="s">
        <v>2415</v>
      </c>
    </row>
    <row r="745" spans="1:9" x14ac:dyDescent="0.2">
      <c r="A745" t="s">
        <v>2416</v>
      </c>
      <c r="D745" t="str">
        <f>HYPERLINK("http://nlpdeep.cs.uic.edu:8080/proofing/t5/495027-physical-examination-0-16.pdf","t5/495027-physical-examination-0-16.pdf")</f>
        <v>t5/495027-physical-examination-0-16.pdf</v>
      </c>
      <c r="E745">
        <v>118760</v>
      </c>
      <c r="F745">
        <v>495027</v>
      </c>
      <c r="G745" t="s">
        <v>306</v>
      </c>
      <c r="H745" t="s">
        <v>138</v>
      </c>
      <c r="I745" t="s">
        <v>2417</v>
      </c>
    </row>
    <row r="746" spans="1:9" x14ac:dyDescent="0.2">
      <c r="A746" t="s">
        <v>2416</v>
      </c>
      <c r="D746" t="str">
        <f>HYPERLINK("http://nlpdeep.cs.uic.edu:8080/proofing/gsii/495027-physical-examination-0-16.pdf","gsii/495027-physical-examination-0-16.pdf")</f>
        <v>gsii/495027-physical-examination-0-16.pdf</v>
      </c>
      <c r="E746">
        <v>118760</v>
      </c>
      <c r="F746">
        <v>495027</v>
      </c>
      <c r="G746" t="s">
        <v>306</v>
      </c>
      <c r="H746" t="s">
        <v>138</v>
      </c>
      <c r="I746" t="s">
        <v>2417</v>
      </c>
    </row>
    <row r="747" spans="1:9" x14ac:dyDescent="0.2">
      <c r="A747" t="s">
        <v>2418</v>
      </c>
      <c r="D747" t="str">
        <f>HYPERLINK("http://nlpdeep.cs.uic.edu:8080/proofing/t5/495027-physical-examination-0-17.pdf","t5/495027-physical-examination-0-17.pdf")</f>
        <v>t5/495027-physical-examination-0-17.pdf</v>
      </c>
      <c r="E747">
        <v>118760</v>
      </c>
      <c r="F747">
        <v>495027</v>
      </c>
      <c r="G747" t="s">
        <v>306</v>
      </c>
      <c r="H747" t="s">
        <v>138</v>
      </c>
      <c r="I747" t="s">
        <v>2419</v>
      </c>
    </row>
    <row r="748" spans="1:9" x14ac:dyDescent="0.2">
      <c r="A748" t="s">
        <v>2418</v>
      </c>
      <c r="D748" t="str">
        <f>HYPERLINK("http://nlpdeep.cs.uic.edu:8080/proofing/gsii/495027-physical-examination-0-17.pdf","gsii/495027-physical-examination-0-17.pdf")</f>
        <v>gsii/495027-physical-examination-0-17.pdf</v>
      </c>
      <c r="E748">
        <v>118760</v>
      </c>
      <c r="F748">
        <v>495027</v>
      </c>
      <c r="G748" t="s">
        <v>306</v>
      </c>
      <c r="H748" t="s">
        <v>138</v>
      </c>
      <c r="I748" t="s">
        <v>2419</v>
      </c>
    </row>
    <row r="749" spans="1:9" x14ac:dyDescent="0.2">
      <c r="A749" t="s">
        <v>2420</v>
      </c>
      <c r="D749" t="str">
        <f>HYPERLINK("http://nlpdeep.cs.uic.edu:8080/proofing/t5/495027-physical-examination-0-18.pdf","t5/495027-physical-examination-0-18.pdf")</f>
        <v>t5/495027-physical-examination-0-18.pdf</v>
      </c>
      <c r="E749">
        <v>118760</v>
      </c>
      <c r="F749">
        <v>495027</v>
      </c>
      <c r="G749" t="s">
        <v>306</v>
      </c>
      <c r="H749" t="s">
        <v>138</v>
      </c>
      <c r="I749" t="s">
        <v>462</v>
      </c>
    </row>
    <row r="750" spans="1:9" x14ac:dyDescent="0.2">
      <c r="A750" t="s">
        <v>2420</v>
      </c>
      <c r="D750" t="str">
        <f>HYPERLINK("http://nlpdeep.cs.uic.edu:8080/proofing/gsii/495027-physical-examination-0-18.pdf","gsii/495027-physical-examination-0-18.pdf")</f>
        <v>gsii/495027-physical-examination-0-18.pdf</v>
      </c>
      <c r="E750">
        <v>118760</v>
      </c>
      <c r="F750">
        <v>495027</v>
      </c>
      <c r="G750" t="s">
        <v>306</v>
      </c>
      <c r="H750" t="s">
        <v>138</v>
      </c>
      <c r="I750" t="s">
        <v>462</v>
      </c>
    </row>
    <row r="751" spans="1:9" x14ac:dyDescent="0.2">
      <c r="A751" t="s">
        <v>2421</v>
      </c>
      <c r="D751" t="str">
        <f>HYPERLINK("http://nlpdeep.cs.uic.edu:8080/proofing/t5/495027-physical-examination-0-19.pdf","t5/495027-physical-examination-0-19.pdf")</f>
        <v>t5/495027-physical-examination-0-19.pdf</v>
      </c>
      <c r="E751">
        <v>118760</v>
      </c>
      <c r="F751">
        <v>495027</v>
      </c>
      <c r="G751" t="s">
        <v>306</v>
      </c>
      <c r="H751" t="s">
        <v>138</v>
      </c>
      <c r="I751" t="s">
        <v>464</v>
      </c>
    </row>
    <row r="752" spans="1:9" x14ac:dyDescent="0.2">
      <c r="A752" t="s">
        <v>2421</v>
      </c>
      <c r="D752" t="str">
        <f>HYPERLINK("http://nlpdeep.cs.uic.edu:8080/proofing/gsii/495027-physical-examination-0-19.pdf","gsii/495027-physical-examination-0-19.pdf")</f>
        <v>gsii/495027-physical-examination-0-19.pdf</v>
      </c>
      <c r="E752">
        <v>118760</v>
      </c>
      <c r="F752">
        <v>495027</v>
      </c>
      <c r="G752" t="s">
        <v>306</v>
      </c>
      <c r="H752" t="s">
        <v>138</v>
      </c>
      <c r="I752" t="s">
        <v>464</v>
      </c>
    </row>
    <row r="753" spans="1:9" x14ac:dyDescent="0.2">
      <c r="A753" t="s">
        <v>2422</v>
      </c>
      <c r="D753" t="str">
        <f>HYPERLINK("http://nlpdeep.cs.uic.edu:8080/proofing/t5/495027-physical-examination-0-20.pdf","t5/495027-physical-examination-0-20.pdf")</f>
        <v>t5/495027-physical-examination-0-20.pdf</v>
      </c>
      <c r="E753">
        <v>118760</v>
      </c>
      <c r="F753">
        <v>495027</v>
      </c>
      <c r="G753" t="s">
        <v>306</v>
      </c>
      <c r="H753" t="s">
        <v>138</v>
      </c>
      <c r="I753" t="s">
        <v>2423</v>
      </c>
    </row>
    <row r="754" spans="1:9" x14ac:dyDescent="0.2">
      <c r="A754" t="s">
        <v>2422</v>
      </c>
      <c r="D754" t="str">
        <f>HYPERLINK("http://nlpdeep.cs.uic.edu:8080/proofing/gsii/495027-physical-examination-0-20.pdf","gsii/495027-physical-examination-0-20.pdf")</f>
        <v>gsii/495027-physical-examination-0-20.pdf</v>
      </c>
      <c r="E754">
        <v>118760</v>
      </c>
      <c r="F754">
        <v>495027</v>
      </c>
      <c r="G754" t="s">
        <v>306</v>
      </c>
      <c r="H754" t="s">
        <v>138</v>
      </c>
      <c r="I754" t="s">
        <v>2423</v>
      </c>
    </row>
    <row r="755" spans="1:9" x14ac:dyDescent="0.2">
      <c r="A755" t="s">
        <v>2424</v>
      </c>
      <c r="D755" t="str">
        <f>HYPERLINK("http://nlpdeep.cs.uic.edu:8080/proofing/t5/495027-physical-examination-0-21.pdf","t5/495027-physical-examination-0-21.pdf")</f>
        <v>t5/495027-physical-examination-0-21.pdf</v>
      </c>
      <c r="E755">
        <v>118760</v>
      </c>
      <c r="F755">
        <v>495027</v>
      </c>
      <c r="G755" t="s">
        <v>306</v>
      </c>
      <c r="H755" t="s">
        <v>138</v>
      </c>
      <c r="I755" t="s">
        <v>466</v>
      </c>
    </row>
    <row r="756" spans="1:9" x14ac:dyDescent="0.2">
      <c r="A756" t="s">
        <v>2424</v>
      </c>
      <c r="D756" t="str">
        <f>HYPERLINK("http://nlpdeep.cs.uic.edu:8080/proofing/gsii/495027-physical-examination-0-21.pdf","gsii/495027-physical-examination-0-21.pdf")</f>
        <v>gsii/495027-physical-examination-0-21.pdf</v>
      </c>
      <c r="E756">
        <v>118760</v>
      </c>
      <c r="F756">
        <v>495027</v>
      </c>
      <c r="G756" t="s">
        <v>306</v>
      </c>
      <c r="H756" t="s">
        <v>138</v>
      </c>
      <c r="I756" t="s">
        <v>466</v>
      </c>
    </row>
    <row r="757" spans="1:9" x14ac:dyDescent="0.2">
      <c r="A757" t="s">
        <v>2425</v>
      </c>
      <c r="D757" t="str">
        <f>HYPERLINK("http://nlpdeep.cs.uic.edu:8080/proofing/t5/495027-physical-examination-0-22.pdf","t5/495027-physical-examination-0-22.pdf")</f>
        <v>t5/495027-physical-examination-0-22.pdf</v>
      </c>
      <c r="E757">
        <v>118760</v>
      </c>
      <c r="F757">
        <v>495027</v>
      </c>
      <c r="G757" t="s">
        <v>306</v>
      </c>
      <c r="H757" t="s">
        <v>138</v>
      </c>
      <c r="I757" t="s">
        <v>2426</v>
      </c>
    </row>
    <row r="758" spans="1:9" x14ac:dyDescent="0.2">
      <c r="A758" t="s">
        <v>2425</v>
      </c>
      <c r="D758" t="str">
        <f>HYPERLINK("http://nlpdeep.cs.uic.edu:8080/proofing/gsii/495027-physical-examination-0-22.pdf","gsii/495027-physical-examination-0-22.pdf")</f>
        <v>gsii/495027-physical-examination-0-22.pdf</v>
      </c>
      <c r="E758">
        <v>118760</v>
      </c>
      <c r="F758">
        <v>495027</v>
      </c>
      <c r="G758" t="s">
        <v>306</v>
      </c>
      <c r="H758" t="s">
        <v>138</v>
      </c>
      <c r="I758" t="s">
        <v>2426</v>
      </c>
    </row>
    <row r="759" spans="1:9" x14ac:dyDescent="0.2">
      <c r="A759" t="s">
        <v>2427</v>
      </c>
      <c r="D759" t="str">
        <f>HYPERLINK("http://nlpdeep.cs.uic.edu:8080/proofing/t5/495027-physical-examination-0-23.pdf","t5/495027-physical-examination-0-23.pdf")</f>
        <v>t5/495027-physical-examination-0-23.pdf</v>
      </c>
      <c r="E759">
        <v>118760</v>
      </c>
      <c r="F759">
        <v>495027</v>
      </c>
      <c r="G759" t="s">
        <v>306</v>
      </c>
      <c r="H759" t="s">
        <v>138</v>
      </c>
      <c r="I759" t="s">
        <v>2428</v>
      </c>
    </row>
    <row r="760" spans="1:9" x14ac:dyDescent="0.2">
      <c r="A760" t="s">
        <v>2427</v>
      </c>
      <c r="D760" t="str">
        <f>HYPERLINK("http://nlpdeep.cs.uic.edu:8080/proofing/gsii/495027-physical-examination-0-23.pdf","gsii/495027-physical-examination-0-23.pdf")</f>
        <v>gsii/495027-physical-examination-0-23.pdf</v>
      </c>
      <c r="E760">
        <v>118760</v>
      </c>
      <c r="F760">
        <v>495027</v>
      </c>
      <c r="G760" t="s">
        <v>306</v>
      </c>
      <c r="H760" t="s">
        <v>138</v>
      </c>
      <c r="I760" t="s">
        <v>2428</v>
      </c>
    </row>
    <row r="761" spans="1:9" x14ac:dyDescent="0.2">
      <c r="A761" t="s">
        <v>2429</v>
      </c>
      <c r="D761" t="str">
        <f>HYPERLINK("http://nlpdeep.cs.uic.edu:8080/proofing/t5/495027-physical-examination-0-24.pdf","t5/495027-physical-examination-0-24.pdf")</f>
        <v>t5/495027-physical-examination-0-24.pdf</v>
      </c>
      <c r="E761">
        <v>118760</v>
      </c>
      <c r="F761">
        <v>495027</v>
      </c>
      <c r="G761" t="s">
        <v>306</v>
      </c>
      <c r="H761" t="s">
        <v>138</v>
      </c>
      <c r="I761" t="s">
        <v>2430</v>
      </c>
    </row>
    <row r="762" spans="1:9" x14ac:dyDescent="0.2">
      <c r="A762" t="s">
        <v>2429</v>
      </c>
      <c r="D762" t="str">
        <f>HYPERLINK("http://nlpdeep.cs.uic.edu:8080/proofing/gsii/495027-physical-examination-0-24.pdf","gsii/495027-physical-examination-0-24.pdf")</f>
        <v>gsii/495027-physical-examination-0-24.pdf</v>
      </c>
      <c r="E762">
        <v>118760</v>
      </c>
      <c r="F762">
        <v>495027</v>
      </c>
      <c r="G762" t="s">
        <v>306</v>
      </c>
      <c r="H762" t="s">
        <v>138</v>
      </c>
      <c r="I762" t="s">
        <v>2430</v>
      </c>
    </row>
    <row r="763" spans="1:9" x14ac:dyDescent="0.2">
      <c r="A763" t="s">
        <v>2431</v>
      </c>
      <c r="D763" t="str">
        <f>HYPERLINK("http://nlpdeep.cs.uic.edu:8080/proofing/t5/495027-physical-examination-0-25.pdf","t5/495027-physical-examination-0-25.pdf")</f>
        <v>t5/495027-physical-examination-0-25.pdf</v>
      </c>
      <c r="E763">
        <v>118760</v>
      </c>
      <c r="F763">
        <v>495027</v>
      </c>
      <c r="G763" t="s">
        <v>306</v>
      </c>
      <c r="H763" t="s">
        <v>138</v>
      </c>
      <c r="I763" t="s">
        <v>2432</v>
      </c>
    </row>
    <row r="764" spans="1:9" x14ac:dyDescent="0.2">
      <c r="A764" t="s">
        <v>2431</v>
      </c>
      <c r="D764" t="str">
        <f>HYPERLINK("http://nlpdeep.cs.uic.edu:8080/proofing/gsii/495027-physical-examination-0-25.pdf","gsii/495027-physical-examination-0-25.pdf")</f>
        <v>gsii/495027-physical-examination-0-25.pdf</v>
      </c>
      <c r="E764">
        <v>118760</v>
      </c>
      <c r="F764">
        <v>495027</v>
      </c>
      <c r="G764" t="s">
        <v>306</v>
      </c>
      <c r="H764" t="s">
        <v>138</v>
      </c>
      <c r="I764" t="s">
        <v>2432</v>
      </c>
    </row>
    <row r="765" spans="1:9" x14ac:dyDescent="0.2">
      <c r="A765" t="s">
        <v>2433</v>
      </c>
      <c r="D765" t="str">
        <f>HYPERLINK("http://nlpdeep.cs.uic.edu:8080/proofing/t5/495027-physical-examination-0-26.pdf","t5/495027-physical-examination-0-26.pdf")</f>
        <v>t5/495027-physical-examination-0-26.pdf</v>
      </c>
      <c r="E765">
        <v>118760</v>
      </c>
      <c r="F765">
        <v>495027</v>
      </c>
      <c r="G765" t="s">
        <v>306</v>
      </c>
      <c r="H765" t="s">
        <v>138</v>
      </c>
      <c r="I765" t="s">
        <v>2434</v>
      </c>
    </row>
    <row r="766" spans="1:9" x14ac:dyDescent="0.2">
      <c r="A766" t="s">
        <v>2433</v>
      </c>
      <c r="D766" t="str">
        <f>HYPERLINK("http://nlpdeep.cs.uic.edu:8080/proofing/gsii/495027-physical-examination-0-26.pdf","gsii/495027-physical-examination-0-26.pdf")</f>
        <v>gsii/495027-physical-examination-0-26.pdf</v>
      </c>
      <c r="E766">
        <v>118760</v>
      </c>
      <c r="F766">
        <v>495027</v>
      </c>
      <c r="G766" t="s">
        <v>306</v>
      </c>
      <c r="H766" t="s">
        <v>138</v>
      </c>
      <c r="I766" t="s">
        <v>2434</v>
      </c>
    </row>
    <row r="767" spans="1:9" x14ac:dyDescent="0.2">
      <c r="A767" t="s">
        <v>2435</v>
      </c>
      <c r="D767" t="str">
        <f>HYPERLINK("http://nlpdeep.cs.uic.edu:8080/proofing/t5/495027-physical-examination-0-27.pdf","t5/495027-physical-examination-0-27.pdf")</f>
        <v>t5/495027-physical-examination-0-27.pdf</v>
      </c>
      <c r="E767">
        <v>118760</v>
      </c>
      <c r="F767">
        <v>495027</v>
      </c>
      <c r="G767" t="s">
        <v>306</v>
      </c>
      <c r="H767" t="s">
        <v>138</v>
      </c>
      <c r="I767" t="s">
        <v>2436</v>
      </c>
    </row>
    <row r="768" spans="1:9" x14ac:dyDescent="0.2">
      <c r="A768" t="s">
        <v>2435</v>
      </c>
      <c r="D768" t="str">
        <f>HYPERLINK("http://nlpdeep.cs.uic.edu:8080/proofing/gsii/495027-physical-examination-0-27.pdf","gsii/495027-physical-examination-0-27.pdf")</f>
        <v>gsii/495027-physical-examination-0-27.pdf</v>
      </c>
      <c r="E768">
        <v>118760</v>
      </c>
      <c r="F768">
        <v>495027</v>
      </c>
      <c r="G768" t="s">
        <v>306</v>
      </c>
      <c r="H768" t="s">
        <v>138</v>
      </c>
      <c r="I768" t="s">
        <v>2436</v>
      </c>
    </row>
    <row r="769" spans="1:9" x14ac:dyDescent="0.2">
      <c r="A769" t="s">
        <v>2437</v>
      </c>
      <c r="D769" t="str">
        <f>HYPERLINK("http://nlpdeep.cs.uic.edu:8080/proofing/t5/495027-physical-examination-0-28.pdf","t5/495027-physical-examination-0-28.pdf")</f>
        <v>t5/495027-physical-examination-0-28.pdf</v>
      </c>
      <c r="E769">
        <v>118760</v>
      </c>
      <c r="F769">
        <v>495027</v>
      </c>
      <c r="G769" t="s">
        <v>306</v>
      </c>
      <c r="H769" t="s">
        <v>138</v>
      </c>
      <c r="I769" t="s">
        <v>486</v>
      </c>
    </row>
    <row r="770" spans="1:9" x14ac:dyDescent="0.2">
      <c r="A770" t="s">
        <v>2437</v>
      </c>
      <c r="D770" t="str">
        <f>HYPERLINK("http://nlpdeep.cs.uic.edu:8080/proofing/gsii/495027-physical-examination-0-28.pdf","gsii/495027-physical-examination-0-28.pdf")</f>
        <v>gsii/495027-physical-examination-0-28.pdf</v>
      </c>
      <c r="E770">
        <v>118760</v>
      </c>
      <c r="F770">
        <v>495027</v>
      </c>
      <c r="G770" t="s">
        <v>306</v>
      </c>
      <c r="H770" t="s">
        <v>138</v>
      </c>
      <c r="I770" t="s">
        <v>486</v>
      </c>
    </row>
    <row r="771" spans="1:9" x14ac:dyDescent="0.2">
      <c r="A771" t="s">
        <v>2438</v>
      </c>
      <c r="D771" t="str">
        <f>HYPERLINK("http://nlpdeep.cs.uic.edu:8080/proofing/t5/495027-physical-examination-0-29.pdf","t5/495027-physical-examination-0-29.pdf")</f>
        <v>t5/495027-physical-examination-0-29.pdf</v>
      </c>
      <c r="E771">
        <v>118760</v>
      </c>
      <c r="F771">
        <v>495027</v>
      </c>
      <c r="G771" t="s">
        <v>306</v>
      </c>
      <c r="H771" t="s">
        <v>138</v>
      </c>
      <c r="I771" t="s">
        <v>2439</v>
      </c>
    </row>
    <row r="772" spans="1:9" x14ac:dyDescent="0.2">
      <c r="A772" t="s">
        <v>2438</v>
      </c>
      <c r="D772" t="str">
        <f>HYPERLINK("http://nlpdeep.cs.uic.edu:8080/proofing/gsii/495027-physical-examination-0-29.pdf","gsii/495027-physical-examination-0-29.pdf")</f>
        <v>gsii/495027-physical-examination-0-29.pdf</v>
      </c>
      <c r="E772">
        <v>118760</v>
      </c>
      <c r="F772">
        <v>495027</v>
      </c>
      <c r="G772" t="s">
        <v>306</v>
      </c>
      <c r="H772" t="s">
        <v>138</v>
      </c>
      <c r="I772" t="s">
        <v>2439</v>
      </c>
    </row>
    <row r="773" spans="1:9" x14ac:dyDescent="0.2">
      <c r="A773" t="s">
        <v>2440</v>
      </c>
      <c r="D773" t="str">
        <f>HYPERLINK("http://nlpdeep.cs.uic.edu:8080/proofing/t5/495027-physical-examination-0-30.pdf","t5/495027-physical-examination-0-30.pdf")</f>
        <v>t5/495027-physical-examination-0-30.pdf</v>
      </c>
      <c r="E773">
        <v>118760</v>
      </c>
      <c r="F773">
        <v>495027</v>
      </c>
      <c r="G773" t="s">
        <v>306</v>
      </c>
      <c r="H773" t="s">
        <v>138</v>
      </c>
      <c r="I773" t="s">
        <v>2441</v>
      </c>
    </row>
    <row r="774" spans="1:9" x14ac:dyDescent="0.2">
      <c r="A774" t="s">
        <v>2440</v>
      </c>
      <c r="D774" t="str">
        <f>HYPERLINK("http://nlpdeep.cs.uic.edu:8080/proofing/gsii/495027-physical-examination-0-30.pdf","gsii/495027-physical-examination-0-30.pdf")</f>
        <v>gsii/495027-physical-examination-0-30.pdf</v>
      </c>
      <c r="E774">
        <v>118760</v>
      </c>
      <c r="F774">
        <v>495027</v>
      </c>
      <c r="G774" t="s">
        <v>306</v>
      </c>
      <c r="H774" t="s">
        <v>138</v>
      </c>
      <c r="I774" t="s">
        <v>2441</v>
      </c>
    </row>
    <row r="775" spans="1:9" x14ac:dyDescent="0.2">
      <c r="A775" t="s">
        <v>2442</v>
      </c>
      <c r="D775" t="str">
        <f>HYPERLINK("http://nlpdeep.cs.uic.edu:8080/proofing/t5/495027-physical-examination-0-31.pdf","t5/495027-physical-examination-0-31.pdf")</f>
        <v>t5/495027-physical-examination-0-31.pdf</v>
      </c>
      <c r="E775">
        <v>118760</v>
      </c>
      <c r="F775">
        <v>495027</v>
      </c>
      <c r="G775" t="s">
        <v>306</v>
      </c>
      <c r="H775" t="s">
        <v>138</v>
      </c>
      <c r="I775" t="s">
        <v>2443</v>
      </c>
    </row>
    <row r="776" spans="1:9" x14ac:dyDescent="0.2">
      <c r="A776" t="s">
        <v>2442</v>
      </c>
      <c r="D776" t="str">
        <f>HYPERLINK("http://nlpdeep.cs.uic.edu:8080/proofing/gsii/495027-physical-examination-0-31.pdf","gsii/495027-physical-examination-0-31.pdf")</f>
        <v>gsii/495027-physical-examination-0-31.pdf</v>
      </c>
      <c r="E776">
        <v>118760</v>
      </c>
      <c r="F776">
        <v>495027</v>
      </c>
      <c r="G776" t="s">
        <v>306</v>
      </c>
      <c r="H776" t="s">
        <v>138</v>
      </c>
      <c r="I776" t="s">
        <v>2443</v>
      </c>
    </row>
    <row r="777" spans="1:9" x14ac:dyDescent="0.2">
      <c r="A777" t="s">
        <v>2444</v>
      </c>
      <c r="D777" t="str">
        <f>HYPERLINK("http://nlpdeep.cs.uic.edu:8080/proofing/t5/495027-physical-examination-0-32.pdf","t5/495027-physical-examination-0-32.pdf")</f>
        <v>t5/495027-physical-examination-0-32.pdf</v>
      </c>
      <c r="E777">
        <v>118760</v>
      </c>
      <c r="F777">
        <v>495027</v>
      </c>
      <c r="G777" t="s">
        <v>306</v>
      </c>
      <c r="H777" t="s">
        <v>138</v>
      </c>
      <c r="I777" t="s">
        <v>2445</v>
      </c>
    </row>
    <row r="778" spans="1:9" x14ac:dyDescent="0.2">
      <c r="A778" t="s">
        <v>2444</v>
      </c>
      <c r="D778" t="str">
        <f>HYPERLINK("http://nlpdeep.cs.uic.edu:8080/proofing/gsii/495027-physical-examination-0-32.pdf","gsii/495027-physical-examination-0-32.pdf")</f>
        <v>gsii/495027-physical-examination-0-32.pdf</v>
      </c>
      <c r="E778">
        <v>118760</v>
      </c>
      <c r="F778">
        <v>495027</v>
      </c>
      <c r="G778" t="s">
        <v>306</v>
      </c>
      <c r="H778" t="s">
        <v>138</v>
      </c>
      <c r="I778" t="s">
        <v>2445</v>
      </c>
    </row>
    <row r="779" spans="1:9" x14ac:dyDescent="0.2">
      <c r="A779" t="s">
        <v>2446</v>
      </c>
      <c r="D779" t="str">
        <f>HYPERLINK("http://nlpdeep.cs.uic.edu:8080/proofing/t5/495027-physical-examination-0-33.pdf","t5/495027-physical-examination-0-33.pdf")</f>
        <v>t5/495027-physical-examination-0-33.pdf</v>
      </c>
      <c r="E779">
        <v>118760</v>
      </c>
      <c r="F779">
        <v>495027</v>
      </c>
      <c r="G779" t="s">
        <v>306</v>
      </c>
      <c r="H779" t="s">
        <v>138</v>
      </c>
      <c r="I779" t="s">
        <v>2447</v>
      </c>
    </row>
    <row r="780" spans="1:9" x14ac:dyDescent="0.2">
      <c r="A780" t="s">
        <v>2446</v>
      </c>
      <c r="D780" t="str">
        <f>HYPERLINK("http://nlpdeep.cs.uic.edu:8080/proofing/gsii/495027-physical-examination-0-33.pdf","gsii/495027-physical-examination-0-33.pdf")</f>
        <v>gsii/495027-physical-examination-0-33.pdf</v>
      </c>
      <c r="E780">
        <v>118760</v>
      </c>
      <c r="F780">
        <v>495027</v>
      </c>
      <c r="G780" t="s">
        <v>306</v>
      </c>
      <c r="H780" t="s">
        <v>138</v>
      </c>
      <c r="I780" t="s">
        <v>2447</v>
      </c>
    </row>
    <row r="781" spans="1:9" x14ac:dyDescent="0.2">
      <c r="A781" t="s">
        <v>2448</v>
      </c>
      <c r="D781" t="str">
        <f>HYPERLINK("http://nlpdeep.cs.uic.edu:8080/proofing/t5/495027-physical-examination-0-34.pdf","t5/495027-physical-examination-0-34.pdf")</f>
        <v>t5/495027-physical-examination-0-34.pdf</v>
      </c>
      <c r="E781">
        <v>118760</v>
      </c>
      <c r="F781">
        <v>495027</v>
      </c>
      <c r="G781" t="s">
        <v>306</v>
      </c>
      <c r="H781" t="s">
        <v>138</v>
      </c>
      <c r="I781" t="s">
        <v>2449</v>
      </c>
    </row>
    <row r="782" spans="1:9" x14ac:dyDescent="0.2">
      <c r="A782" t="s">
        <v>2448</v>
      </c>
      <c r="D782" t="str">
        <f>HYPERLINK("http://nlpdeep.cs.uic.edu:8080/proofing/gsii/495027-physical-examination-0-34.pdf","gsii/495027-physical-examination-0-34.pdf")</f>
        <v>gsii/495027-physical-examination-0-34.pdf</v>
      </c>
      <c r="E782">
        <v>118760</v>
      </c>
      <c r="F782">
        <v>495027</v>
      </c>
      <c r="G782" t="s">
        <v>306</v>
      </c>
      <c r="H782" t="s">
        <v>138</v>
      </c>
      <c r="I782" t="s">
        <v>2449</v>
      </c>
    </row>
    <row r="783" spans="1:9" x14ac:dyDescent="0.2">
      <c r="A783" t="s">
        <v>2450</v>
      </c>
      <c r="D783" t="str">
        <f>HYPERLINK("http://nlpdeep.cs.uic.edu:8080/proofing/t5/495027-physical-examination-0-35.pdf","t5/495027-physical-examination-0-35.pdf")</f>
        <v>t5/495027-physical-examination-0-35.pdf</v>
      </c>
      <c r="E783">
        <v>118760</v>
      </c>
      <c r="F783">
        <v>495027</v>
      </c>
      <c r="G783" t="s">
        <v>306</v>
      </c>
      <c r="H783" t="s">
        <v>138</v>
      </c>
      <c r="I783" t="s">
        <v>2451</v>
      </c>
    </row>
    <row r="784" spans="1:9" x14ac:dyDescent="0.2">
      <c r="A784" t="s">
        <v>2450</v>
      </c>
      <c r="D784" t="str">
        <f>HYPERLINK("http://nlpdeep.cs.uic.edu:8080/proofing/gsii/495027-physical-examination-0-35.pdf","gsii/495027-physical-examination-0-35.pdf")</f>
        <v>gsii/495027-physical-examination-0-35.pdf</v>
      </c>
      <c r="E784">
        <v>118760</v>
      </c>
      <c r="F784">
        <v>495027</v>
      </c>
      <c r="G784" t="s">
        <v>306</v>
      </c>
      <c r="H784" t="s">
        <v>138</v>
      </c>
      <c r="I784" t="s">
        <v>2451</v>
      </c>
    </row>
    <row r="785" spans="1:9" x14ac:dyDescent="0.2">
      <c r="A785" t="s">
        <v>2452</v>
      </c>
      <c r="D785" t="str">
        <f>HYPERLINK("http://nlpdeep.cs.uic.edu:8080/proofing/t5/495027-labs-imaging-0-0.pdf","t5/495027-labs-imaging-0-0.pdf")</f>
        <v>t5/495027-labs-imaging-0-0.pdf</v>
      </c>
      <c r="E785">
        <v>118760</v>
      </c>
      <c r="F785">
        <v>495027</v>
      </c>
      <c r="G785" t="s">
        <v>306</v>
      </c>
      <c r="H785" t="s">
        <v>147</v>
      </c>
      <c r="I785" t="s">
        <v>2453</v>
      </c>
    </row>
    <row r="786" spans="1:9" x14ac:dyDescent="0.2">
      <c r="A786" t="s">
        <v>2452</v>
      </c>
      <c r="D786" t="str">
        <f>HYPERLINK("http://nlpdeep.cs.uic.edu:8080/proofing/gsii/495027-labs-imaging-0-0.pdf","gsii/495027-labs-imaging-0-0.pdf")</f>
        <v>gsii/495027-labs-imaging-0-0.pdf</v>
      </c>
      <c r="E786">
        <v>118760</v>
      </c>
      <c r="F786">
        <v>495027</v>
      </c>
      <c r="G786" t="s">
        <v>306</v>
      </c>
      <c r="H786" t="s">
        <v>147</v>
      </c>
      <c r="I786" t="s">
        <v>2453</v>
      </c>
    </row>
    <row r="787" spans="1:9" x14ac:dyDescent="0.2">
      <c r="A787" t="s">
        <v>2454</v>
      </c>
      <c r="D787" t="str">
        <f>HYPERLINK("http://nlpdeep.cs.uic.edu:8080/proofing/t5/495027-labs-imaging-0-1.pdf","t5/495027-labs-imaging-0-1.pdf")</f>
        <v>t5/495027-labs-imaging-0-1.pdf</v>
      </c>
      <c r="E787">
        <v>118760</v>
      </c>
      <c r="F787">
        <v>495027</v>
      </c>
      <c r="G787" t="s">
        <v>306</v>
      </c>
      <c r="H787" t="s">
        <v>147</v>
      </c>
      <c r="I787" t="s">
        <v>2455</v>
      </c>
    </row>
    <row r="788" spans="1:9" x14ac:dyDescent="0.2">
      <c r="A788" t="s">
        <v>2454</v>
      </c>
      <c r="D788" t="str">
        <f>HYPERLINK("http://nlpdeep.cs.uic.edu:8080/proofing/gsii/495027-labs-imaging-0-1.pdf","gsii/495027-labs-imaging-0-1.pdf")</f>
        <v>gsii/495027-labs-imaging-0-1.pdf</v>
      </c>
      <c r="E788">
        <v>118760</v>
      </c>
      <c r="F788">
        <v>495027</v>
      </c>
      <c r="G788" t="s">
        <v>306</v>
      </c>
      <c r="H788" t="s">
        <v>147</v>
      </c>
      <c r="I788" t="s">
        <v>2455</v>
      </c>
    </row>
    <row r="789" spans="1:9" x14ac:dyDescent="0.2">
      <c r="A789" t="s">
        <v>2456</v>
      </c>
      <c r="D789" t="str">
        <f>HYPERLINK("http://nlpdeep.cs.uic.edu:8080/proofing/t5/495027-labs-imaging-0-2.pdf","t5/495027-labs-imaging-0-2.pdf")</f>
        <v>t5/495027-labs-imaging-0-2.pdf</v>
      </c>
      <c r="E789">
        <v>118760</v>
      </c>
      <c r="F789">
        <v>495027</v>
      </c>
      <c r="G789" t="s">
        <v>306</v>
      </c>
      <c r="H789" t="s">
        <v>147</v>
      </c>
      <c r="I789" t="s">
        <v>2457</v>
      </c>
    </row>
    <row r="790" spans="1:9" x14ac:dyDescent="0.2">
      <c r="A790" t="s">
        <v>2456</v>
      </c>
      <c r="D790" t="str">
        <f>HYPERLINK("http://nlpdeep.cs.uic.edu:8080/proofing/gsii/495027-labs-imaging-0-2.pdf","gsii/495027-labs-imaging-0-2.pdf")</f>
        <v>gsii/495027-labs-imaging-0-2.pdf</v>
      </c>
      <c r="E790">
        <v>118760</v>
      </c>
      <c r="F790">
        <v>495027</v>
      </c>
      <c r="G790" t="s">
        <v>306</v>
      </c>
      <c r="H790" t="s">
        <v>147</v>
      </c>
      <c r="I790" t="s">
        <v>2457</v>
      </c>
    </row>
    <row r="791" spans="1:9" x14ac:dyDescent="0.2">
      <c r="A791" t="s">
        <v>2458</v>
      </c>
      <c r="D791" t="str">
        <f>HYPERLINK("http://nlpdeep.cs.uic.edu:8080/proofing/t5/495027-labs-imaging-0-3.pdf","t5/495027-labs-imaging-0-3.pdf")</f>
        <v>t5/495027-labs-imaging-0-3.pdf</v>
      </c>
      <c r="E791">
        <v>118760</v>
      </c>
      <c r="F791">
        <v>495027</v>
      </c>
      <c r="G791" t="s">
        <v>306</v>
      </c>
      <c r="H791" t="s">
        <v>147</v>
      </c>
      <c r="I791" t="s">
        <v>2459</v>
      </c>
    </row>
    <row r="792" spans="1:9" x14ac:dyDescent="0.2">
      <c r="A792" t="s">
        <v>2458</v>
      </c>
      <c r="D792" t="str">
        <f>HYPERLINK("http://nlpdeep.cs.uic.edu:8080/proofing/gsii/495027-labs-imaging-0-3.pdf","gsii/495027-labs-imaging-0-3.pdf")</f>
        <v>gsii/495027-labs-imaging-0-3.pdf</v>
      </c>
      <c r="E792">
        <v>118760</v>
      </c>
      <c r="F792">
        <v>495027</v>
      </c>
      <c r="G792" t="s">
        <v>306</v>
      </c>
      <c r="H792" t="s">
        <v>147</v>
      </c>
      <c r="I792" t="s">
        <v>2459</v>
      </c>
    </row>
    <row r="793" spans="1:9" x14ac:dyDescent="0.2">
      <c r="A793" t="s">
        <v>2460</v>
      </c>
      <c r="D793" t="str">
        <f>HYPERLINK("http://nlpdeep.cs.uic.edu:8080/proofing/t5/495027-labs-imaging-0-4.pdf","t5/495027-labs-imaging-0-4.pdf")</f>
        <v>t5/495027-labs-imaging-0-4.pdf</v>
      </c>
      <c r="E793">
        <v>118760</v>
      </c>
      <c r="F793">
        <v>495027</v>
      </c>
      <c r="G793" t="s">
        <v>306</v>
      </c>
      <c r="H793" t="s">
        <v>147</v>
      </c>
      <c r="I793" t="s">
        <v>2461</v>
      </c>
    </row>
    <row r="794" spans="1:9" x14ac:dyDescent="0.2">
      <c r="A794" t="s">
        <v>2460</v>
      </c>
      <c r="D794" t="str">
        <f>HYPERLINK("http://nlpdeep.cs.uic.edu:8080/proofing/gsii/495027-labs-imaging-0-4.pdf","gsii/495027-labs-imaging-0-4.pdf")</f>
        <v>gsii/495027-labs-imaging-0-4.pdf</v>
      </c>
      <c r="E794">
        <v>118760</v>
      </c>
      <c r="F794">
        <v>495027</v>
      </c>
      <c r="G794" t="s">
        <v>306</v>
      </c>
      <c r="H794" t="s">
        <v>147</v>
      </c>
      <c r="I794" t="s">
        <v>2461</v>
      </c>
    </row>
    <row r="795" spans="1:9" x14ac:dyDescent="0.2">
      <c r="A795" t="s">
        <v>2462</v>
      </c>
      <c r="D795" t="str">
        <f>HYPERLINK("http://nlpdeep.cs.uic.edu:8080/proofing/t5/495027-labs-imaging-0-5.pdf","t5/495027-labs-imaging-0-5.pdf")</f>
        <v>t5/495027-labs-imaging-0-5.pdf</v>
      </c>
      <c r="E795">
        <v>118760</v>
      </c>
      <c r="F795">
        <v>495027</v>
      </c>
      <c r="G795" t="s">
        <v>306</v>
      </c>
      <c r="H795" t="s">
        <v>147</v>
      </c>
      <c r="I795" t="s">
        <v>2463</v>
      </c>
    </row>
    <row r="796" spans="1:9" x14ac:dyDescent="0.2">
      <c r="A796" t="s">
        <v>2462</v>
      </c>
      <c r="D796" t="str">
        <f>HYPERLINK("http://nlpdeep.cs.uic.edu:8080/proofing/gsii/495027-labs-imaging-0-5.pdf","gsii/495027-labs-imaging-0-5.pdf")</f>
        <v>gsii/495027-labs-imaging-0-5.pdf</v>
      </c>
      <c r="E796">
        <v>118760</v>
      </c>
      <c r="F796">
        <v>495027</v>
      </c>
      <c r="G796" t="s">
        <v>306</v>
      </c>
      <c r="H796" t="s">
        <v>147</v>
      </c>
      <c r="I796" t="s">
        <v>2463</v>
      </c>
    </row>
    <row r="797" spans="1:9" x14ac:dyDescent="0.2">
      <c r="A797" t="s">
        <v>2464</v>
      </c>
      <c r="D797" t="str">
        <f>HYPERLINK("http://nlpdeep.cs.uic.edu:8080/proofing/t5/495027-labs-imaging-0-6.pdf","t5/495027-labs-imaging-0-6.pdf")</f>
        <v>t5/495027-labs-imaging-0-6.pdf</v>
      </c>
      <c r="E797">
        <v>118760</v>
      </c>
      <c r="F797">
        <v>495027</v>
      </c>
      <c r="G797" t="s">
        <v>306</v>
      </c>
      <c r="H797" t="s">
        <v>147</v>
      </c>
      <c r="I797" t="s">
        <v>2465</v>
      </c>
    </row>
    <row r="798" spans="1:9" x14ac:dyDescent="0.2">
      <c r="A798" t="s">
        <v>2464</v>
      </c>
      <c r="D798" t="str">
        <f>HYPERLINK("http://nlpdeep.cs.uic.edu:8080/proofing/gsii/495027-labs-imaging-0-6.pdf","gsii/495027-labs-imaging-0-6.pdf")</f>
        <v>gsii/495027-labs-imaging-0-6.pdf</v>
      </c>
      <c r="E798">
        <v>118760</v>
      </c>
      <c r="F798">
        <v>495027</v>
      </c>
      <c r="G798" t="s">
        <v>306</v>
      </c>
      <c r="H798" t="s">
        <v>147</v>
      </c>
      <c r="I798" t="s">
        <v>2465</v>
      </c>
    </row>
    <row r="799" spans="1:9" x14ac:dyDescent="0.2">
      <c r="A799" t="s">
        <v>2466</v>
      </c>
      <c r="D799" t="str">
        <f>HYPERLINK("http://nlpdeep.cs.uic.edu:8080/proofing/t5/495027-labs-imaging-0-7.pdf","t5/495027-labs-imaging-0-7.pdf")</f>
        <v>t5/495027-labs-imaging-0-7.pdf</v>
      </c>
      <c r="E799">
        <v>118760</v>
      </c>
      <c r="F799">
        <v>495027</v>
      </c>
      <c r="G799" t="s">
        <v>306</v>
      </c>
      <c r="H799" t="s">
        <v>147</v>
      </c>
      <c r="I799" t="s">
        <v>2467</v>
      </c>
    </row>
    <row r="800" spans="1:9" x14ac:dyDescent="0.2">
      <c r="A800" t="s">
        <v>2466</v>
      </c>
      <c r="D800" t="str">
        <f>HYPERLINK("http://nlpdeep.cs.uic.edu:8080/proofing/gsii/495027-labs-imaging-0-7.pdf","gsii/495027-labs-imaging-0-7.pdf")</f>
        <v>gsii/495027-labs-imaging-0-7.pdf</v>
      </c>
      <c r="E800">
        <v>118760</v>
      </c>
      <c r="F800">
        <v>495027</v>
      </c>
      <c r="G800" t="s">
        <v>306</v>
      </c>
      <c r="H800" t="s">
        <v>147</v>
      </c>
      <c r="I800" t="s">
        <v>2467</v>
      </c>
    </row>
    <row r="801" spans="1:9" x14ac:dyDescent="0.2">
      <c r="A801" t="s">
        <v>2468</v>
      </c>
      <c r="D801" t="str">
        <f>HYPERLINK("http://nlpdeep.cs.uic.edu:8080/proofing/t5/495027-labs-imaging-0-8.pdf","t5/495027-labs-imaging-0-8.pdf")</f>
        <v>t5/495027-labs-imaging-0-8.pdf</v>
      </c>
      <c r="E801">
        <v>118760</v>
      </c>
      <c r="F801">
        <v>495027</v>
      </c>
      <c r="G801" t="s">
        <v>306</v>
      </c>
      <c r="H801" t="s">
        <v>147</v>
      </c>
      <c r="I801" t="s">
        <v>2469</v>
      </c>
    </row>
    <row r="802" spans="1:9" x14ac:dyDescent="0.2">
      <c r="A802" t="s">
        <v>2468</v>
      </c>
      <c r="D802" t="str">
        <f>HYPERLINK("http://nlpdeep.cs.uic.edu:8080/proofing/gsii/495027-labs-imaging-0-8.pdf","gsii/495027-labs-imaging-0-8.pdf")</f>
        <v>gsii/495027-labs-imaging-0-8.pdf</v>
      </c>
      <c r="E802">
        <v>118760</v>
      </c>
      <c r="F802">
        <v>495027</v>
      </c>
      <c r="G802" t="s">
        <v>306</v>
      </c>
      <c r="H802" t="s">
        <v>147</v>
      </c>
      <c r="I802" t="s">
        <v>2469</v>
      </c>
    </row>
    <row r="803" spans="1:9" x14ac:dyDescent="0.2">
      <c r="A803" t="s">
        <v>2470</v>
      </c>
      <c r="D803" t="str">
        <f>HYPERLINK("http://nlpdeep.cs.uic.edu:8080/proofing/t5/495027-labs-imaging-0-9.pdf","t5/495027-labs-imaging-0-9.pdf")</f>
        <v>t5/495027-labs-imaging-0-9.pdf</v>
      </c>
      <c r="E803">
        <v>118760</v>
      </c>
      <c r="F803">
        <v>495027</v>
      </c>
      <c r="G803" t="s">
        <v>306</v>
      </c>
      <c r="H803" t="s">
        <v>147</v>
      </c>
      <c r="I803" t="s">
        <v>2471</v>
      </c>
    </row>
    <row r="804" spans="1:9" x14ac:dyDescent="0.2">
      <c r="A804" t="s">
        <v>2470</v>
      </c>
      <c r="D804" t="str">
        <f>HYPERLINK("http://nlpdeep.cs.uic.edu:8080/proofing/gsii/495027-labs-imaging-0-9.pdf","gsii/495027-labs-imaging-0-9.pdf")</f>
        <v>gsii/495027-labs-imaging-0-9.pdf</v>
      </c>
      <c r="E804">
        <v>118760</v>
      </c>
      <c r="F804">
        <v>495027</v>
      </c>
      <c r="G804" t="s">
        <v>306</v>
      </c>
      <c r="H804" t="s">
        <v>147</v>
      </c>
      <c r="I804" t="s">
        <v>2471</v>
      </c>
    </row>
    <row r="805" spans="1:9" x14ac:dyDescent="0.2">
      <c r="A805" t="s">
        <v>2472</v>
      </c>
      <c r="D805" t="str">
        <f>HYPERLINK("http://nlpdeep.cs.uic.edu:8080/proofing/t5/495027-labs-imaging-0-10.pdf","t5/495027-labs-imaging-0-10.pdf")</f>
        <v>t5/495027-labs-imaging-0-10.pdf</v>
      </c>
      <c r="E805">
        <v>118760</v>
      </c>
      <c r="F805">
        <v>495027</v>
      </c>
      <c r="G805" t="s">
        <v>306</v>
      </c>
      <c r="H805" t="s">
        <v>147</v>
      </c>
      <c r="I805" t="s">
        <v>2473</v>
      </c>
    </row>
    <row r="806" spans="1:9" x14ac:dyDescent="0.2">
      <c r="A806" t="s">
        <v>2472</v>
      </c>
      <c r="D806" t="str">
        <f>HYPERLINK("http://nlpdeep.cs.uic.edu:8080/proofing/gsii/495027-labs-imaging-0-10.pdf","gsii/495027-labs-imaging-0-10.pdf")</f>
        <v>gsii/495027-labs-imaging-0-10.pdf</v>
      </c>
      <c r="E806">
        <v>118760</v>
      </c>
      <c r="F806">
        <v>495027</v>
      </c>
      <c r="G806" t="s">
        <v>306</v>
      </c>
      <c r="H806" t="s">
        <v>147</v>
      </c>
      <c r="I806" t="s">
        <v>2473</v>
      </c>
    </row>
    <row r="807" spans="1:9" x14ac:dyDescent="0.2">
      <c r="A807" t="s">
        <v>2474</v>
      </c>
      <c r="D807" t="str">
        <f>HYPERLINK("http://nlpdeep.cs.uic.edu:8080/proofing/t5/495027-labs-imaging-0-11.pdf","t5/495027-labs-imaging-0-11.pdf")</f>
        <v>t5/495027-labs-imaging-0-11.pdf</v>
      </c>
      <c r="E807">
        <v>118760</v>
      </c>
      <c r="F807">
        <v>495027</v>
      </c>
      <c r="G807" t="s">
        <v>306</v>
      </c>
      <c r="H807" t="s">
        <v>147</v>
      </c>
      <c r="I807" t="s">
        <v>2475</v>
      </c>
    </row>
    <row r="808" spans="1:9" x14ac:dyDescent="0.2">
      <c r="A808" t="s">
        <v>2474</v>
      </c>
      <c r="D808" t="str">
        <f>HYPERLINK("http://nlpdeep.cs.uic.edu:8080/proofing/gsii/495027-labs-imaging-0-11.pdf","gsii/495027-labs-imaging-0-11.pdf")</f>
        <v>gsii/495027-labs-imaging-0-11.pdf</v>
      </c>
      <c r="E808">
        <v>118760</v>
      </c>
      <c r="F808">
        <v>495027</v>
      </c>
      <c r="G808" t="s">
        <v>306</v>
      </c>
      <c r="H808" t="s">
        <v>147</v>
      </c>
      <c r="I808" t="s">
        <v>2475</v>
      </c>
    </row>
    <row r="809" spans="1:9" x14ac:dyDescent="0.2">
      <c r="A809" t="s">
        <v>2476</v>
      </c>
      <c r="D809" t="str">
        <f>HYPERLINK("http://nlpdeep.cs.uic.edu:8080/proofing/t5/495027-labs-imaging-0-12.pdf","t5/495027-labs-imaging-0-12.pdf")</f>
        <v>t5/495027-labs-imaging-0-12.pdf</v>
      </c>
      <c r="E809">
        <v>118760</v>
      </c>
      <c r="F809">
        <v>495027</v>
      </c>
      <c r="G809" t="s">
        <v>306</v>
      </c>
      <c r="H809" t="s">
        <v>147</v>
      </c>
      <c r="I809" t="s">
        <v>2004</v>
      </c>
    </row>
    <row r="810" spans="1:9" x14ac:dyDescent="0.2">
      <c r="A810" t="s">
        <v>2476</v>
      </c>
      <c r="D810" t="str">
        <f>HYPERLINK("http://nlpdeep.cs.uic.edu:8080/proofing/gsii/495027-labs-imaging-0-12.pdf","gsii/495027-labs-imaging-0-12.pdf")</f>
        <v>gsii/495027-labs-imaging-0-12.pdf</v>
      </c>
      <c r="E810">
        <v>118760</v>
      </c>
      <c r="F810">
        <v>495027</v>
      </c>
      <c r="G810" t="s">
        <v>306</v>
      </c>
      <c r="H810" t="s">
        <v>147</v>
      </c>
      <c r="I810" t="s">
        <v>2004</v>
      </c>
    </row>
    <row r="811" spans="1:9" x14ac:dyDescent="0.2">
      <c r="A811" t="s">
        <v>2477</v>
      </c>
      <c r="D811" t="str">
        <f>HYPERLINK("http://nlpdeep.cs.uic.edu:8080/proofing/t5/495027-labs-imaging-0-13.pdf","t5/495027-labs-imaging-0-13.pdf")</f>
        <v>t5/495027-labs-imaging-0-13.pdf</v>
      </c>
      <c r="E811">
        <v>118760</v>
      </c>
      <c r="F811">
        <v>495027</v>
      </c>
      <c r="G811" t="s">
        <v>306</v>
      </c>
      <c r="H811" t="s">
        <v>147</v>
      </c>
      <c r="I811" t="s">
        <v>2478</v>
      </c>
    </row>
    <row r="812" spans="1:9" x14ac:dyDescent="0.2">
      <c r="A812" t="s">
        <v>2477</v>
      </c>
      <c r="D812" t="str">
        <f>HYPERLINK("http://nlpdeep.cs.uic.edu:8080/proofing/gsii/495027-labs-imaging-0-13.pdf","gsii/495027-labs-imaging-0-13.pdf")</f>
        <v>gsii/495027-labs-imaging-0-13.pdf</v>
      </c>
      <c r="E812">
        <v>118760</v>
      </c>
      <c r="F812">
        <v>495027</v>
      </c>
      <c r="G812" t="s">
        <v>306</v>
      </c>
      <c r="H812" t="s">
        <v>147</v>
      </c>
      <c r="I812" t="s">
        <v>2478</v>
      </c>
    </row>
    <row r="813" spans="1:9" x14ac:dyDescent="0.2">
      <c r="A813" t="s">
        <v>2479</v>
      </c>
      <c r="D813" t="str">
        <f>HYPERLINK("http://nlpdeep.cs.uic.edu:8080/proofing/t5/495027-labs-imaging-0-14.pdf","t5/495027-labs-imaging-0-14.pdf")</f>
        <v>t5/495027-labs-imaging-0-14.pdf</v>
      </c>
      <c r="E813">
        <v>118760</v>
      </c>
      <c r="F813">
        <v>495027</v>
      </c>
      <c r="G813" t="s">
        <v>306</v>
      </c>
      <c r="H813" t="s">
        <v>147</v>
      </c>
      <c r="I813" t="s">
        <v>2480</v>
      </c>
    </row>
    <row r="814" spans="1:9" x14ac:dyDescent="0.2">
      <c r="A814" t="s">
        <v>2479</v>
      </c>
      <c r="D814" t="str">
        <f>HYPERLINK("http://nlpdeep.cs.uic.edu:8080/proofing/gsii/495027-labs-imaging-0-14.pdf","gsii/495027-labs-imaging-0-14.pdf")</f>
        <v>gsii/495027-labs-imaging-0-14.pdf</v>
      </c>
      <c r="E814">
        <v>118760</v>
      </c>
      <c r="F814">
        <v>495027</v>
      </c>
      <c r="G814" t="s">
        <v>306</v>
      </c>
      <c r="H814" t="s">
        <v>147</v>
      </c>
      <c r="I814" t="s">
        <v>2480</v>
      </c>
    </row>
    <row r="815" spans="1:9" x14ac:dyDescent="0.2">
      <c r="A815" t="s">
        <v>2481</v>
      </c>
      <c r="D815" t="str">
        <f>HYPERLINK("http://nlpdeep.cs.uic.edu:8080/proofing/t5/495027-labs-imaging-0-15.pdf","t5/495027-labs-imaging-0-15.pdf")</f>
        <v>t5/495027-labs-imaging-0-15.pdf</v>
      </c>
      <c r="E815">
        <v>118760</v>
      </c>
      <c r="F815">
        <v>495027</v>
      </c>
      <c r="G815" t="s">
        <v>306</v>
      </c>
      <c r="H815" t="s">
        <v>147</v>
      </c>
      <c r="I815" t="s">
        <v>2482</v>
      </c>
    </row>
    <row r="816" spans="1:9" x14ac:dyDescent="0.2">
      <c r="A816" t="s">
        <v>2481</v>
      </c>
      <c r="D816" t="str">
        <f>HYPERLINK("http://nlpdeep.cs.uic.edu:8080/proofing/gsii/495027-labs-imaging-0-15.pdf","gsii/495027-labs-imaging-0-15.pdf")</f>
        <v>gsii/495027-labs-imaging-0-15.pdf</v>
      </c>
      <c r="E816">
        <v>118760</v>
      </c>
      <c r="F816">
        <v>495027</v>
      </c>
      <c r="G816" t="s">
        <v>306</v>
      </c>
      <c r="H816" t="s">
        <v>147</v>
      </c>
      <c r="I816" t="s">
        <v>2482</v>
      </c>
    </row>
    <row r="817" spans="1:9" x14ac:dyDescent="0.2">
      <c r="A817" t="s">
        <v>2483</v>
      </c>
      <c r="D817" t="str">
        <f>HYPERLINK("http://nlpdeep.cs.uic.edu:8080/proofing/t5/495027-labs-imaging-0-16.pdf","t5/495027-labs-imaging-0-16.pdf")</f>
        <v>t5/495027-labs-imaging-0-16.pdf</v>
      </c>
      <c r="E817">
        <v>118760</v>
      </c>
      <c r="F817">
        <v>495027</v>
      </c>
      <c r="G817" t="s">
        <v>306</v>
      </c>
      <c r="H817" t="s">
        <v>147</v>
      </c>
      <c r="I817" t="s">
        <v>2484</v>
      </c>
    </row>
    <row r="818" spans="1:9" x14ac:dyDescent="0.2">
      <c r="A818" t="s">
        <v>2483</v>
      </c>
      <c r="D818" t="str">
        <f>HYPERLINK("http://nlpdeep.cs.uic.edu:8080/proofing/gsii/495027-labs-imaging-0-16.pdf","gsii/495027-labs-imaging-0-16.pdf")</f>
        <v>gsii/495027-labs-imaging-0-16.pdf</v>
      </c>
      <c r="E818">
        <v>118760</v>
      </c>
      <c r="F818">
        <v>495027</v>
      </c>
      <c r="G818" t="s">
        <v>306</v>
      </c>
      <c r="H818" t="s">
        <v>147</v>
      </c>
      <c r="I818" t="s">
        <v>2484</v>
      </c>
    </row>
    <row r="819" spans="1:9" x14ac:dyDescent="0.2">
      <c r="A819" t="s">
        <v>2485</v>
      </c>
      <c r="D819" t="str">
        <f>HYPERLINK("http://nlpdeep.cs.uic.edu:8080/proofing/t5/495027-labs-imaging-0-17.pdf","t5/495027-labs-imaging-0-17.pdf")</f>
        <v>t5/495027-labs-imaging-0-17.pdf</v>
      </c>
      <c r="E819">
        <v>118760</v>
      </c>
      <c r="F819">
        <v>495027</v>
      </c>
      <c r="G819" t="s">
        <v>306</v>
      </c>
      <c r="H819" t="s">
        <v>147</v>
      </c>
      <c r="I819" t="s">
        <v>2486</v>
      </c>
    </row>
    <row r="820" spans="1:9" x14ac:dyDescent="0.2">
      <c r="A820" t="s">
        <v>2485</v>
      </c>
      <c r="D820" t="str">
        <f>HYPERLINK("http://nlpdeep.cs.uic.edu:8080/proofing/gsii/495027-labs-imaging-0-17.pdf","gsii/495027-labs-imaging-0-17.pdf")</f>
        <v>gsii/495027-labs-imaging-0-17.pdf</v>
      </c>
      <c r="E820">
        <v>118760</v>
      </c>
      <c r="F820">
        <v>495027</v>
      </c>
      <c r="G820" t="s">
        <v>306</v>
      </c>
      <c r="H820" t="s">
        <v>147</v>
      </c>
      <c r="I820" t="s">
        <v>2486</v>
      </c>
    </row>
    <row r="821" spans="1:9" x14ac:dyDescent="0.2">
      <c r="A821" t="s">
        <v>2487</v>
      </c>
      <c r="D821" t="str">
        <f>HYPERLINK("http://nlpdeep.cs.uic.edu:8080/proofing/t5/495027-labs-imaging-0-18.pdf","t5/495027-labs-imaging-0-18.pdf")</f>
        <v>t5/495027-labs-imaging-0-18.pdf</v>
      </c>
      <c r="E821">
        <v>118760</v>
      </c>
      <c r="F821">
        <v>495027</v>
      </c>
      <c r="G821" t="s">
        <v>306</v>
      </c>
      <c r="H821" t="s">
        <v>147</v>
      </c>
      <c r="I821" t="s">
        <v>2488</v>
      </c>
    </row>
    <row r="822" spans="1:9" x14ac:dyDescent="0.2">
      <c r="A822" t="s">
        <v>2487</v>
      </c>
      <c r="D822" t="str">
        <f>HYPERLINK("http://nlpdeep.cs.uic.edu:8080/proofing/gsii/495027-labs-imaging-0-18.pdf","gsii/495027-labs-imaging-0-18.pdf")</f>
        <v>gsii/495027-labs-imaging-0-18.pdf</v>
      </c>
      <c r="E822">
        <v>118760</v>
      </c>
      <c r="F822">
        <v>495027</v>
      </c>
      <c r="G822" t="s">
        <v>306</v>
      </c>
      <c r="H822" t="s">
        <v>147</v>
      </c>
      <c r="I822" t="s">
        <v>2488</v>
      </c>
    </row>
    <row r="823" spans="1:9" x14ac:dyDescent="0.2">
      <c r="A823" t="s">
        <v>2489</v>
      </c>
      <c r="D823" t="str">
        <f>HYPERLINK("http://nlpdeep.cs.uic.edu:8080/proofing/t5/495027-labs-imaging-0-19.pdf","t5/495027-labs-imaging-0-19.pdf")</f>
        <v>t5/495027-labs-imaging-0-19.pdf</v>
      </c>
      <c r="E823">
        <v>118760</v>
      </c>
      <c r="F823">
        <v>495027</v>
      </c>
      <c r="G823" t="s">
        <v>306</v>
      </c>
      <c r="H823" t="s">
        <v>147</v>
      </c>
      <c r="I823" t="s">
        <v>2490</v>
      </c>
    </row>
    <row r="824" spans="1:9" x14ac:dyDescent="0.2">
      <c r="A824" t="s">
        <v>2489</v>
      </c>
      <c r="D824" t="str">
        <f>HYPERLINK("http://nlpdeep.cs.uic.edu:8080/proofing/gsii/495027-labs-imaging-0-19.pdf","gsii/495027-labs-imaging-0-19.pdf")</f>
        <v>gsii/495027-labs-imaging-0-19.pdf</v>
      </c>
      <c r="E824">
        <v>118760</v>
      </c>
      <c r="F824">
        <v>495027</v>
      </c>
      <c r="G824" t="s">
        <v>306</v>
      </c>
      <c r="H824" t="s">
        <v>147</v>
      </c>
      <c r="I824" t="s">
        <v>2490</v>
      </c>
    </row>
    <row r="825" spans="1:9" x14ac:dyDescent="0.2">
      <c r="A825" t="s">
        <v>2491</v>
      </c>
      <c r="D825" t="str">
        <f>HYPERLINK("http://nlpdeep.cs.uic.edu:8080/proofing/t5/495027-labs-imaging-0-20.pdf","t5/495027-labs-imaging-0-20.pdf")</f>
        <v>t5/495027-labs-imaging-0-20.pdf</v>
      </c>
      <c r="E825">
        <v>118760</v>
      </c>
      <c r="F825">
        <v>495027</v>
      </c>
      <c r="G825" t="s">
        <v>306</v>
      </c>
      <c r="H825" t="s">
        <v>147</v>
      </c>
      <c r="I825" t="s">
        <v>2492</v>
      </c>
    </row>
    <row r="826" spans="1:9" x14ac:dyDescent="0.2">
      <c r="A826" t="s">
        <v>2491</v>
      </c>
      <c r="D826" t="str">
        <f>HYPERLINK("http://nlpdeep.cs.uic.edu:8080/proofing/gsii/495027-labs-imaging-0-20.pdf","gsii/495027-labs-imaging-0-20.pdf")</f>
        <v>gsii/495027-labs-imaging-0-20.pdf</v>
      </c>
      <c r="E826">
        <v>118760</v>
      </c>
      <c r="F826">
        <v>495027</v>
      </c>
      <c r="G826" t="s">
        <v>306</v>
      </c>
      <c r="H826" t="s">
        <v>147</v>
      </c>
      <c r="I826" t="s">
        <v>2492</v>
      </c>
    </row>
    <row r="827" spans="1:9" x14ac:dyDescent="0.2">
      <c r="A827" t="s">
        <v>2493</v>
      </c>
      <c r="D827" t="str">
        <f>HYPERLINK("http://nlpdeep.cs.uic.edu:8080/proofing/t5/495027-labs-imaging-0-21.pdf","t5/495027-labs-imaging-0-21.pdf")</f>
        <v>t5/495027-labs-imaging-0-21.pdf</v>
      </c>
      <c r="E827">
        <v>118760</v>
      </c>
      <c r="F827">
        <v>495027</v>
      </c>
      <c r="G827" t="s">
        <v>306</v>
      </c>
      <c r="H827" t="s">
        <v>147</v>
      </c>
      <c r="I827" t="s">
        <v>2494</v>
      </c>
    </row>
    <row r="828" spans="1:9" x14ac:dyDescent="0.2">
      <c r="A828" t="s">
        <v>2493</v>
      </c>
      <c r="D828" t="str">
        <f>HYPERLINK("http://nlpdeep.cs.uic.edu:8080/proofing/gsii/495027-labs-imaging-0-21.pdf","gsii/495027-labs-imaging-0-21.pdf")</f>
        <v>gsii/495027-labs-imaging-0-21.pdf</v>
      </c>
      <c r="E828">
        <v>118760</v>
      </c>
      <c r="F828">
        <v>495027</v>
      </c>
      <c r="G828" t="s">
        <v>306</v>
      </c>
      <c r="H828" t="s">
        <v>147</v>
      </c>
      <c r="I828" t="s">
        <v>2494</v>
      </c>
    </row>
    <row r="829" spans="1:9" x14ac:dyDescent="0.2">
      <c r="A829" t="s">
        <v>2495</v>
      </c>
      <c r="D829" t="str">
        <f>HYPERLINK("http://nlpdeep.cs.uic.edu:8080/proofing/t5/495027-labs-imaging-0-22.pdf","t5/495027-labs-imaging-0-22.pdf")</f>
        <v>t5/495027-labs-imaging-0-22.pdf</v>
      </c>
      <c r="E829">
        <v>118760</v>
      </c>
      <c r="F829">
        <v>495027</v>
      </c>
      <c r="G829" t="s">
        <v>306</v>
      </c>
      <c r="H829" t="s">
        <v>147</v>
      </c>
      <c r="I829" t="s">
        <v>2496</v>
      </c>
    </row>
    <row r="830" spans="1:9" x14ac:dyDescent="0.2">
      <c r="A830" t="s">
        <v>2495</v>
      </c>
      <c r="D830" t="str">
        <f>HYPERLINK("http://nlpdeep.cs.uic.edu:8080/proofing/gsii/495027-labs-imaging-0-22.pdf","gsii/495027-labs-imaging-0-22.pdf")</f>
        <v>gsii/495027-labs-imaging-0-22.pdf</v>
      </c>
      <c r="E830">
        <v>118760</v>
      </c>
      <c r="F830">
        <v>495027</v>
      </c>
      <c r="G830" t="s">
        <v>306</v>
      </c>
      <c r="H830" t="s">
        <v>147</v>
      </c>
      <c r="I830" t="s">
        <v>2496</v>
      </c>
    </row>
    <row r="831" spans="1:9" x14ac:dyDescent="0.2">
      <c r="A831" t="s">
        <v>2497</v>
      </c>
      <c r="D831" t="str">
        <f>HYPERLINK("http://nlpdeep.cs.uic.edu:8080/proofing/t5/495027-labs-imaging-0-23.pdf","t5/495027-labs-imaging-0-23.pdf")</f>
        <v>t5/495027-labs-imaging-0-23.pdf</v>
      </c>
      <c r="E831">
        <v>118760</v>
      </c>
      <c r="F831">
        <v>495027</v>
      </c>
      <c r="G831" t="s">
        <v>306</v>
      </c>
      <c r="H831" t="s">
        <v>147</v>
      </c>
      <c r="I831" t="s">
        <v>2498</v>
      </c>
    </row>
    <row r="832" spans="1:9" x14ac:dyDescent="0.2">
      <c r="A832" t="s">
        <v>2497</v>
      </c>
      <c r="D832" t="str">
        <f>HYPERLINK("http://nlpdeep.cs.uic.edu:8080/proofing/gsii/495027-labs-imaging-0-23.pdf","gsii/495027-labs-imaging-0-23.pdf")</f>
        <v>gsii/495027-labs-imaging-0-23.pdf</v>
      </c>
      <c r="E832">
        <v>118760</v>
      </c>
      <c r="F832">
        <v>495027</v>
      </c>
      <c r="G832" t="s">
        <v>306</v>
      </c>
      <c r="H832" t="s">
        <v>147</v>
      </c>
      <c r="I832" t="s">
        <v>2498</v>
      </c>
    </row>
    <row r="833" spans="1:9" x14ac:dyDescent="0.2">
      <c r="A833" t="s">
        <v>2499</v>
      </c>
      <c r="D833" t="str">
        <f>HYPERLINK("http://nlpdeep.cs.uic.edu:8080/proofing/t5/495027-labs-imaging-0-24.pdf","t5/495027-labs-imaging-0-24.pdf")</f>
        <v>t5/495027-labs-imaging-0-24.pdf</v>
      </c>
      <c r="E833">
        <v>118760</v>
      </c>
      <c r="F833">
        <v>495027</v>
      </c>
      <c r="G833" t="s">
        <v>306</v>
      </c>
      <c r="H833" t="s">
        <v>147</v>
      </c>
      <c r="I833" t="s">
        <v>2500</v>
      </c>
    </row>
    <row r="834" spans="1:9" x14ac:dyDescent="0.2">
      <c r="A834" t="s">
        <v>2499</v>
      </c>
      <c r="D834" t="str">
        <f>HYPERLINK("http://nlpdeep.cs.uic.edu:8080/proofing/gsii/495027-labs-imaging-0-24.pdf","gsii/495027-labs-imaging-0-24.pdf")</f>
        <v>gsii/495027-labs-imaging-0-24.pdf</v>
      </c>
      <c r="E834">
        <v>118760</v>
      </c>
      <c r="F834">
        <v>495027</v>
      </c>
      <c r="G834" t="s">
        <v>306</v>
      </c>
      <c r="H834" t="s">
        <v>147</v>
      </c>
      <c r="I834" t="s">
        <v>2500</v>
      </c>
    </row>
    <row r="835" spans="1:9" x14ac:dyDescent="0.2">
      <c r="A835" t="s">
        <v>2501</v>
      </c>
      <c r="D835" t="str">
        <f>HYPERLINK("http://nlpdeep.cs.uic.edu:8080/proofing/t5/495027-labs-imaging-0-25.pdf","t5/495027-labs-imaging-0-25.pdf")</f>
        <v>t5/495027-labs-imaging-0-25.pdf</v>
      </c>
      <c r="E835">
        <v>118760</v>
      </c>
      <c r="F835">
        <v>495027</v>
      </c>
      <c r="G835" t="s">
        <v>306</v>
      </c>
      <c r="H835" t="s">
        <v>147</v>
      </c>
      <c r="I835" t="s">
        <v>2502</v>
      </c>
    </row>
    <row r="836" spans="1:9" x14ac:dyDescent="0.2">
      <c r="A836" t="s">
        <v>2501</v>
      </c>
      <c r="D836" t="str">
        <f>HYPERLINK("http://nlpdeep.cs.uic.edu:8080/proofing/gsii/495027-labs-imaging-0-25.pdf","gsii/495027-labs-imaging-0-25.pdf")</f>
        <v>gsii/495027-labs-imaging-0-25.pdf</v>
      </c>
      <c r="E836">
        <v>118760</v>
      </c>
      <c r="F836">
        <v>495027</v>
      </c>
      <c r="G836" t="s">
        <v>306</v>
      </c>
      <c r="H836" t="s">
        <v>147</v>
      </c>
      <c r="I836" t="s">
        <v>2502</v>
      </c>
    </row>
    <row r="837" spans="1:9" x14ac:dyDescent="0.2">
      <c r="A837" t="s">
        <v>2503</v>
      </c>
      <c r="D837" t="str">
        <f>HYPERLINK("http://nlpdeep.cs.uic.edu:8080/proofing/t5/495027-labs-imaging-0-26.pdf","t5/495027-labs-imaging-0-26.pdf")</f>
        <v>t5/495027-labs-imaging-0-26.pdf</v>
      </c>
      <c r="E837">
        <v>118760</v>
      </c>
      <c r="F837">
        <v>495027</v>
      </c>
      <c r="G837" t="s">
        <v>306</v>
      </c>
      <c r="H837" t="s">
        <v>147</v>
      </c>
      <c r="I837" t="s">
        <v>2504</v>
      </c>
    </row>
    <row r="838" spans="1:9" x14ac:dyDescent="0.2">
      <c r="A838" t="s">
        <v>2503</v>
      </c>
      <c r="D838" t="str">
        <f>HYPERLINK("http://nlpdeep.cs.uic.edu:8080/proofing/gsii/495027-labs-imaging-0-26.pdf","gsii/495027-labs-imaging-0-26.pdf")</f>
        <v>gsii/495027-labs-imaging-0-26.pdf</v>
      </c>
      <c r="E838">
        <v>118760</v>
      </c>
      <c r="F838">
        <v>495027</v>
      </c>
      <c r="G838" t="s">
        <v>306</v>
      </c>
      <c r="H838" t="s">
        <v>147</v>
      </c>
      <c r="I838" t="s">
        <v>2504</v>
      </c>
    </row>
    <row r="839" spans="1:9" x14ac:dyDescent="0.2">
      <c r="A839" t="s">
        <v>2505</v>
      </c>
      <c r="D839" t="str">
        <f>HYPERLINK("http://nlpdeep.cs.uic.edu:8080/proofing/t5/495027-labs-imaging-0-27.pdf","t5/495027-labs-imaging-0-27.pdf")</f>
        <v>t5/495027-labs-imaging-0-27.pdf</v>
      </c>
      <c r="E839">
        <v>118760</v>
      </c>
      <c r="F839">
        <v>495027</v>
      </c>
      <c r="G839" t="s">
        <v>306</v>
      </c>
      <c r="H839" t="s">
        <v>147</v>
      </c>
      <c r="I839" t="s">
        <v>2506</v>
      </c>
    </row>
    <row r="840" spans="1:9" x14ac:dyDescent="0.2">
      <c r="A840" t="s">
        <v>2505</v>
      </c>
      <c r="D840" t="str">
        <f>HYPERLINK("http://nlpdeep.cs.uic.edu:8080/proofing/gsii/495027-labs-imaging-0-27.pdf","gsii/495027-labs-imaging-0-27.pdf")</f>
        <v>gsii/495027-labs-imaging-0-27.pdf</v>
      </c>
      <c r="E840">
        <v>118760</v>
      </c>
      <c r="F840">
        <v>495027</v>
      </c>
      <c r="G840" t="s">
        <v>306</v>
      </c>
      <c r="H840" t="s">
        <v>147</v>
      </c>
      <c r="I840" t="s">
        <v>2506</v>
      </c>
    </row>
    <row r="841" spans="1:9" x14ac:dyDescent="0.2">
      <c r="A841" t="s">
        <v>2507</v>
      </c>
      <c r="D841" t="str">
        <f>HYPERLINK("http://nlpdeep.cs.uic.edu:8080/proofing/t5/495027-labs-imaging-0-28.pdf","t5/495027-labs-imaging-0-28.pdf")</f>
        <v>t5/495027-labs-imaging-0-28.pdf</v>
      </c>
      <c r="E841">
        <v>118760</v>
      </c>
      <c r="F841">
        <v>495027</v>
      </c>
      <c r="G841" t="s">
        <v>306</v>
      </c>
      <c r="H841" t="s">
        <v>147</v>
      </c>
      <c r="I841" t="s">
        <v>2508</v>
      </c>
    </row>
    <row r="842" spans="1:9" x14ac:dyDescent="0.2">
      <c r="A842" t="s">
        <v>2507</v>
      </c>
      <c r="D842" t="str">
        <f>HYPERLINK("http://nlpdeep.cs.uic.edu:8080/proofing/gsii/495027-labs-imaging-0-28.pdf","gsii/495027-labs-imaging-0-28.pdf")</f>
        <v>gsii/495027-labs-imaging-0-28.pdf</v>
      </c>
      <c r="E842">
        <v>118760</v>
      </c>
      <c r="F842">
        <v>495027</v>
      </c>
      <c r="G842" t="s">
        <v>306</v>
      </c>
      <c r="H842" t="s">
        <v>147</v>
      </c>
      <c r="I842" t="s">
        <v>2508</v>
      </c>
    </row>
    <row r="843" spans="1:9" x14ac:dyDescent="0.2">
      <c r="A843" t="s">
        <v>2509</v>
      </c>
      <c r="D843" t="str">
        <f>HYPERLINK("http://nlpdeep.cs.uic.edu:8080/proofing/t5/495027-labs-imaging-0-29.pdf","t5/495027-labs-imaging-0-29.pdf")</f>
        <v>t5/495027-labs-imaging-0-29.pdf</v>
      </c>
      <c r="E843">
        <v>118760</v>
      </c>
      <c r="F843">
        <v>495027</v>
      </c>
      <c r="G843" t="s">
        <v>306</v>
      </c>
      <c r="H843" t="s">
        <v>147</v>
      </c>
      <c r="I843" t="s">
        <v>2510</v>
      </c>
    </row>
    <row r="844" spans="1:9" x14ac:dyDescent="0.2">
      <c r="A844" t="s">
        <v>2509</v>
      </c>
      <c r="D844" t="str">
        <f>HYPERLINK("http://nlpdeep.cs.uic.edu:8080/proofing/gsii/495027-labs-imaging-0-29.pdf","gsii/495027-labs-imaging-0-29.pdf")</f>
        <v>gsii/495027-labs-imaging-0-29.pdf</v>
      </c>
      <c r="E844">
        <v>118760</v>
      </c>
      <c r="F844">
        <v>495027</v>
      </c>
      <c r="G844" t="s">
        <v>306</v>
      </c>
      <c r="H844" t="s">
        <v>147</v>
      </c>
      <c r="I844" t="s">
        <v>2510</v>
      </c>
    </row>
    <row r="845" spans="1:9" x14ac:dyDescent="0.2">
      <c r="A845" t="s">
        <v>2511</v>
      </c>
      <c r="D845" t="str">
        <f>HYPERLINK("http://nlpdeep.cs.uic.edu:8080/proofing/t5/495027-labs-imaging-0-30.pdf","t5/495027-labs-imaging-0-30.pdf")</f>
        <v>t5/495027-labs-imaging-0-30.pdf</v>
      </c>
      <c r="E845">
        <v>118760</v>
      </c>
      <c r="F845">
        <v>495027</v>
      </c>
      <c r="G845" t="s">
        <v>306</v>
      </c>
      <c r="H845" t="s">
        <v>147</v>
      </c>
      <c r="I845" t="s">
        <v>2512</v>
      </c>
    </row>
    <row r="846" spans="1:9" x14ac:dyDescent="0.2">
      <c r="A846" t="s">
        <v>2511</v>
      </c>
      <c r="D846" t="str">
        <f>HYPERLINK("http://nlpdeep.cs.uic.edu:8080/proofing/gsii/495027-labs-imaging-0-30.pdf","gsii/495027-labs-imaging-0-30.pdf")</f>
        <v>gsii/495027-labs-imaging-0-30.pdf</v>
      </c>
      <c r="E846">
        <v>118760</v>
      </c>
      <c r="F846">
        <v>495027</v>
      </c>
      <c r="G846" t="s">
        <v>306</v>
      </c>
      <c r="H846" t="s">
        <v>147</v>
      </c>
      <c r="I846" t="s">
        <v>2512</v>
      </c>
    </row>
    <row r="847" spans="1:9" x14ac:dyDescent="0.2">
      <c r="A847" t="s">
        <v>2513</v>
      </c>
      <c r="D847" t="str">
        <f>HYPERLINK("http://nlpdeep.cs.uic.edu:8080/proofing/t5/495027-labs-imaging-0-31.pdf","t5/495027-labs-imaging-0-31.pdf")</f>
        <v>t5/495027-labs-imaging-0-31.pdf</v>
      </c>
      <c r="E847">
        <v>118760</v>
      </c>
      <c r="F847">
        <v>495027</v>
      </c>
      <c r="G847" t="s">
        <v>306</v>
      </c>
      <c r="H847" t="s">
        <v>147</v>
      </c>
      <c r="I847" t="s">
        <v>2514</v>
      </c>
    </row>
    <row r="848" spans="1:9" x14ac:dyDescent="0.2">
      <c r="A848" t="s">
        <v>2513</v>
      </c>
      <c r="D848" t="str">
        <f>HYPERLINK("http://nlpdeep.cs.uic.edu:8080/proofing/gsii/495027-labs-imaging-0-31.pdf","gsii/495027-labs-imaging-0-31.pdf")</f>
        <v>gsii/495027-labs-imaging-0-31.pdf</v>
      </c>
      <c r="E848">
        <v>118760</v>
      </c>
      <c r="F848">
        <v>495027</v>
      </c>
      <c r="G848" t="s">
        <v>306</v>
      </c>
      <c r="H848" t="s">
        <v>147</v>
      </c>
      <c r="I848" t="s">
        <v>2514</v>
      </c>
    </row>
    <row r="849" spans="1:9" x14ac:dyDescent="0.2">
      <c r="A849" t="s">
        <v>2515</v>
      </c>
      <c r="D849" t="str">
        <f>HYPERLINK("http://nlpdeep.cs.uic.edu:8080/proofing/t5/495027-labs-imaging-0-32.pdf","t5/495027-labs-imaging-0-32.pdf")</f>
        <v>t5/495027-labs-imaging-0-32.pdf</v>
      </c>
      <c r="E849">
        <v>118760</v>
      </c>
      <c r="F849">
        <v>495027</v>
      </c>
      <c r="G849" t="s">
        <v>306</v>
      </c>
      <c r="H849" t="s">
        <v>147</v>
      </c>
      <c r="I849" t="s">
        <v>2516</v>
      </c>
    </row>
    <row r="850" spans="1:9" x14ac:dyDescent="0.2">
      <c r="A850" t="s">
        <v>2515</v>
      </c>
      <c r="D850" t="str">
        <f>HYPERLINK("http://nlpdeep.cs.uic.edu:8080/proofing/gsii/495027-labs-imaging-0-32.pdf","gsii/495027-labs-imaging-0-32.pdf")</f>
        <v>gsii/495027-labs-imaging-0-32.pdf</v>
      </c>
      <c r="E850">
        <v>118760</v>
      </c>
      <c r="F850">
        <v>495027</v>
      </c>
      <c r="G850" t="s">
        <v>306</v>
      </c>
      <c r="H850" t="s">
        <v>147</v>
      </c>
      <c r="I850" t="s">
        <v>2516</v>
      </c>
    </row>
    <row r="851" spans="1:9" x14ac:dyDescent="0.2">
      <c r="A851" t="s">
        <v>2517</v>
      </c>
      <c r="D851" t="str">
        <f>HYPERLINK("http://nlpdeep.cs.uic.edu:8080/proofing/t5/495027-labs-imaging-0-33.pdf","t5/495027-labs-imaging-0-33.pdf")</f>
        <v>t5/495027-labs-imaging-0-33.pdf</v>
      </c>
      <c r="E851">
        <v>118760</v>
      </c>
      <c r="F851">
        <v>495027</v>
      </c>
      <c r="G851" t="s">
        <v>306</v>
      </c>
      <c r="H851" t="s">
        <v>147</v>
      </c>
      <c r="I851" t="s">
        <v>2518</v>
      </c>
    </row>
    <row r="852" spans="1:9" x14ac:dyDescent="0.2">
      <c r="A852" t="s">
        <v>2517</v>
      </c>
      <c r="D852" t="str">
        <f>HYPERLINK("http://nlpdeep.cs.uic.edu:8080/proofing/gsii/495027-labs-imaging-0-33.pdf","gsii/495027-labs-imaging-0-33.pdf")</f>
        <v>gsii/495027-labs-imaging-0-33.pdf</v>
      </c>
      <c r="E852">
        <v>118760</v>
      </c>
      <c r="F852">
        <v>495027</v>
      </c>
      <c r="G852" t="s">
        <v>306</v>
      </c>
      <c r="H852" t="s">
        <v>147</v>
      </c>
      <c r="I852" t="s">
        <v>2518</v>
      </c>
    </row>
    <row r="853" spans="1:9" x14ac:dyDescent="0.2">
      <c r="A853" t="s">
        <v>2519</v>
      </c>
      <c r="D853" t="str">
        <f>HYPERLINK("http://nlpdeep.cs.uic.edu:8080/proofing/t5/495027-labs-imaging-0-34.pdf","t5/495027-labs-imaging-0-34.pdf")</f>
        <v>t5/495027-labs-imaging-0-34.pdf</v>
      </c>
      <c r="E853">
        <v>118760</v>
      </c>
      <c r="F853">
        <v>495027</v>
      </c>
      <c r="G853" t="s">
        <v>306</v>
      </c>
      <c r="H853" t="s">
        <v>147</v>
      </c>
      <c r="I853" t="s">
        <v>2520</v>
      </c>
    </row>
    <row r="854" spans="1:9" x14ac:dyDescent="0.2">
      <c r="A854" t="s">
        <v>2519</v>
      </c>
      <c r="D854" t="str">
        <f>HYPERLINK("http://nlpdeep.cs.uic.edu:8080/proofing/gsii/495027-labs-imaging-0-34.pdf","gsii/495027-labs-imaging-0-34.pdf")</f>
        <v>gsii/495027-labs-imaging-0-34.pdf</v>
      </c>
      <c r="E854">
        <v>118760</v>
      </c>
      <c r="F854">
        <v>495027</v>
      </c>
      <c r="G854" t="s">
        <v>306</v>
      </c>
      <c r="H854" t="s">
        <v>147</v>
      </c>
      <c r="I854" t="s">
        <v>2520</v>
      </c>
    </row>
    <row r="855" spans="1:9" x14ac:dyDescent="0.2">
      <c r="A855" t="s">
        <v>2521</v>
      </c>
      <c r="D855" t="str">
        <f>HYPERLINK("http://nlpdeep.cs.uic.edu:8080/proofing/t5/495027-labs-imaging-0-35.pdf","t5/495027-labs-imaging-0-35.pdf")</f>
        <v>t5/495027-labs-imaging-0-35.pdf</v>
      </c>
      <c r="E855">
        <v>118760</v>
      </c>
      <c r="F855">
        <v>495027</v>
      </c>
      <c r="G855" t="s">
        <v>306</v>
      </c>
      <c r="H855" t="s">
        <v>147</v>
      </c>
      <c r="I855" t="s">
        <v>2522</v>
      </c>
    </row>
    <row r="856" spans="1:9" x14ac:dyDescent="0.2">
      <c r="A856" t="s">
        <v>2521</v>
      </c>
      <c r="D856" t="str">
        <f>HYPERLINK("http://nlpdeep.cs.uic.edu:8080/proofing/gsii/495027-labs-imaging-0-35.pdf","gsii/495027-labs-imaging-0-35.pdf")</f>
        <v>gsii/495027-labs-imaging-0-35.pdf</v>
      </c>
      <c r="E856">
        <v>118760</v>
      </c>
      <c r="F856">
        <v>495027</v>
      </c>
      <c r="G856" t="s">
        <v>306</v>
      </c>
      <c r="H856" t="s">
        <v>147</v>
      </c>
      <c r="I856" t="s">
        <v>2522</v>
      </c>
    </row>
    <row r="857" spans="1:9" x14ac:dyDescent="0.2">
      <c r="A857" t="s">
        <v>2523</v>
      </c>
      <c r="D857" t="str">
        <f>HYPERLINK("http://nlpdeep.cs.uic.edu:8080/proofing/t5/495027-labs-imaging-0-36.pdf","t5/495027-labs-imaging-0-36.pdf")</f>
        <v>t5/495027-labs-imaging-0-36.pdf</v>
      </c>
      <c r="E857">
        <v>118760</v>
      </c>
      <c r="F857">
        <v>495027</v>
      </c>
      <c r="G857" t="s">
        <v>306</v>
      </c>
      <c r="H857" t="s">
        <v>147</v>
      </c>
      <c r="I857" t="s">
        <v>2524</v>
      </c>
    </row>
    <row r="858" spans="1:9" x14ac:dyDescent="0.2">
      <c r="A858" t="s">
        <v>2523</v>
      </c>
      <c r="D858" t="str">
        <f>HYPERLINK("http://nlpdeep.cs.uic.edu:8080/proofing/gsii/495027-labs-imaging-0-36.pdf","gsii/495027-labs-imaging-0-36.pdf")</f>
        <v>gsii/495027-labs-imaging-0-36.pdf</v>
      </c>
      <c r="E858">
        <v>118760</v>
      </c>
      <c r="F858">
        <v>495027</v>
      </c>
      <c r="G858" t="s">
        <v>306</v>
      </c>
      <c r="H858" t="s">
        <v>147</v>
      </c>
      <c r="I858" t="s">
        <v>2524</v>
      </c>
    </row>
    <row r="859" spans="1:9" x14ac:dyDescent="0.2">
      <c r="A859" t="s">
        <v>2525</v>
      </c>
      <c r="D859" t="str">
        <f>HYPERLINK("http://nlpdeep.cs.uic.edu:8080/proofing/t5/495027-labs-imaging-0-37.pdf","t5/495027-labs-imaging-0-37.pdf")</f>
        <v>t5/495027-labs-imaging-0-37.pdf</v>
      </c>
      <c r="E859">
        <v>118760</v>
      </c>
      <c r="F859">
        <v>495027</v>
      </c>
      <c r="G859" t="s">
        <v>306</v>
      </c>
      <c r="H859" t="s">
        <v>147</v>
      </c>
      <c r="I859" t="s">
        <v>2526</v>
      </c>
    </row>
    <row r="860" spans="1:9" x14ac:dyDescent="0.2">
      <c r="A860" t="s">
        <v>2525</v>
      </c>
      <c r="D860" t="str">
        <f>HYPERLINK("http://nlpdeep.cs.uic.edu:8080/proofing/gsii/495027-labs-imaging-0-37.pdf","gsii/495027-labs-imaging-0-37.pdf")</f>
        <v>gsii/495027-labs-imaging-0-37.pdf</v>
      </c>
      <c r="E860">
        <v>118760</v>
      </c>
      <c r="F860">
        <v>495027</v>
      </c>
      <c r="G860" t="s">
        <v>306</v>
      </c>
      <c r="H860" t="s">
        <v>147</v>
      </c>
      <c r="I860" t="s">
        <v>2526</v>
      </c>
    </row>
    <row r="861" spans="1:9" x14ac:dyDescent="0.2">
      <c r="A861" t="s">
        <v>2527</v>
      </c>
      <c r="D861" t="str">
        <f>HYPERLINK("http://nlpdeep.cs.uic.edu:8080/proofing/t5/495027-labs-imaging-0-38.pdf","t5/495027-labs-imaging-0-38.pdf")</f>
        <v>t5/495027-labs-imaging-0-38.pdf</v>
      </c>
      <c r="E861">
        <v>118760</v>
      </c>
      <c r="F861">
        <v>495027</v>
      </c>
      <c r="G861" t="s">
        <v>306</v>
      </c>
      <c r="H861" t="s">
        <v>147</v>
      </c>
      <c r="I861" t="s">
        <v>2528</v>
      </c>
    </row>
    <row r="862" spans="1:9" x14ac:dyDescent="0.2">
      <c r="A862" t="s">
        <v>2527</v>
      </c>
      <c r="D862" t="str">
        <f>HYPERLINK("http://nlpdeep.cs.uic.edu:8080/proofing/gsii/495027-labs-imaging-0-38.pdf","gsii/495027-labs-imaging-0-38.pdf")</f>
        <v>gsii/495027-labs-imaging-0-38.pdf</v>
      </c>
      <c r="E862">
        <v>118760</v>
      </c>
      <c r="F862">
        <v>495027</v>
      </c>
      <c r="G862" t="s">
        <v>306</v>
      </c>
      <c r="H862" t="s">
        <v>147</v>
      </c>
      <c r="I862" t="s">
        <v>2528</v>
      </c>
    </row>
    <row r="863" spans="1:9" x14ac:dyDescent="0.2">
      <c r="A863" t="s">
        <v>2529</v>
      </c>
      <c r="D863" t="str">
        <f>HYPERLINK("http://nlpdeep.cs.uic.edu:8080/proofing/t5/495027-labs-imaging-0-39.pdf","t5/495027-labs-imaging-0-39.pdf")</f>
        <v>t5/495027-labs-imaging-0-39.pdf</v>
      </c>
      <c r="E863">
        <v>118760</v>
      </c>
      <c r="F863">
        <v>495027</v>
      </c>
      <c r="G863" t="s">
        <v>306</v>
      </c>
      <c r="H863" t="s">
        <v>147</v>
      </c>
      <c r="I863" t="s">
        <v>2530</v>
      </c>
    </row>
    <row r="864" spans="1:9" x14ac:dyDescent="0.2">
      <c r="A864" t="s">
        <v>2529</v>
      </c>
      <c r="D864" t="str">
        <f>HYPERLINK("http://nlpdeep.cs.uic.edu:8080/proofing/gsii/495027-labs-imaging-0-39.pdf","gsii/495027-labs-imaging-0-39.pdf")</f>
        <v>gsii/495027-labs-imaging-0-39.pdf</v>
      </c>
      <c r="E864">
        <v>118760</v>
      </c>
      <c r="F864">
        <v>495027</v>
      </c>
      <c r="G864" t="s">
        <v>306</v>
      </c>
      <c r="H864" t="s">
        <v>147</v>
      </c>
      <c r="I864" t="s">
        <v>2530</v>
      </c>
    </row>
    <row r="865" spans="1:9" x14ac:dyDescent="0.2">
      <c r="A865" t="s">
        <v>2531</v>
      </c>
      <c r="D865" t="str">
        <f>HYPERLINK("http://nlpdeep.cs.uic.edu:8080/proofing/t5/495027-labs-imaging-0-40.pdf","t5/495027-labs-imaging-0-40.pdf")</f>
        <v>t5/495027-labs-imaging-0-40.pdf</v>
      </c>
      <c r="E865">
        <v>118760</v>
      </c>
      <c r="F865">
        <v>495027</v>
      </c>
      <c r="G865" t="s">
        <v>306</v>
      </c>
      <c r="H865" t="s">
        <v>147</v>
      </c>
      <c r="I865" t="s">
        <v>2532</v>
      </c>
    </row>
    <row r="866" spans="1:9" x14ac:dyDescent="0.2">
      <c r="A866" t="s">
        <v>2531</v>
      </c>
      <c r="D866" t="str">
        <f>HYPERLINK("http://nlpdeep.cs.uic.edu:8080/proofing/gsii/495027-labs-imaging-0-40.pdf","gsii/495027-labs-imaging-0-40.pdf")</f>
        <v>gsii/495027-labs-imaging-0-40.pdf</v>
      </c>
      <c r="E866">
        <v>118760</v>
      </c>
      <c r="F866">
        <v>495027</v>
      </c>
      <c r="G866" t="s">
        <v>306</v>
      </c>
      <c r="H866" t="s">
        <v>147</v>
      </c>
      <c r="I866" t="s">
        <v>2532</v>
      </c>
    </row>
    <row r="867" spans="1:9" x14ac:dyDescent="0.2">
      <c r="A867" t="s">
        <v>2533</v>
      </c>
      <c r="D867" t="str">
        <f>HYPERLINK("http://nlpdeep.cs.uic.edu:8080/proofing/t5/495027-labs-imaging-0-41.pdf","t5/495027-labs-imaging-0-41.pdf")</f>
        <v>t5/495027-labs-imaging-0-41.pdf</v>
      </c>
      <c r="E867">
        <v>118760</v>
      </c>
      <c r="F867">
        <v>495027</v>
      </c>
      <c r="G867" t="s">
        <v>306</v>
      </c>
      <c r="H867" t="s">
        <v>147</v>
      </c>
      <c r="I867" t="s">
        <v>2534</v>
      </c>
    </row>
    <row r="868" spans="1:9" x14ac:dyDescent="0.2">
      <c r="A868" t="s">
        <v>2533</v>
      </c>
      <c r="D868" t="str">
        <f>HYPERLINK("http://nlpdeep.cs.uic.edu:8080/proofing/gsii/495027-labs-imaging-0-41.pdf","gsii/495027-labs-imaging-0-41.pdf")</f>
        <v>gsii/495027-labs-imaging-0-41.pdf</v>
      </c>
      <c r="E868">
        <v>118760</v>
      </c>
      <c r="F868">
        <v>495027</v>
      </c>
      <c r="G868" t="s">
        <v>306</v>
      </c>
      <c r="H868" t="s">
        <v>147</v>
      </c>
      <c r="I868" t="s">
        <v>2534</v>
      </c>
    </row>
    <row r="869" spans="1:9" x14ac:dyDescent="0.2">
      <c r="A869" t="s">
        <v>2535</v>
      </c>
      <c r="D869" t="str">
        <f>HYPERLINK("http://nlpdeep.cs.uic.edu:8080/proofing/t5/495027-labs-imaging-0-42.pdf","t5/495027-labs-imaging-0-42.pdf")</f>
        <v>t5/495027-labs-imaging-0-42.pdf</v>
      </c>
      <c r="E869">
        <v>118760</v>
      </c>
      <c r="F869">
        <v>495027</v>
      </c>
      <c r="G869" t="s">
        <v>306</v>
      </c>
      <c r="H869" t="s">
        <v>147</v>
      </c>
      <c r="I869" t="s">
        <v>2536</v>
      </c>
    </row>
    <row r="870" spans="1:9" x14ac:dyDescent="0.2">
      <c r="A870" t="s">
        <v>2535</v>
      </c>
      <c r="D870" t="str">
        <f>HYPERLINK("http://nlpdeep.cs.uic.edu:8080/proofing/gsii/495027-labs-imaging-0-42.pdf","gsii/495027-labs-imaging-0-42.pdf")</f>
        <v>gsii/495027-labs-imaging-0-42.pdf</v>
      </c>
      <c r="E870">
        <v>118760</v>
      </c>
      <c r="F870">
        <v>495027</v>
      </c>
      <c r="G870" t="s">
        <v>306</v>
      </c>
      <c r="H870" t="s">
        <v>147</v>
      </c>
      <c r="I870" t="s">
        <v>2536</v>
      </c>
    </row>
    <row r="871" spans="1:9" x14ac:dyDescent="0.2">
      <c r="A871" t="s">
        <v>2537</v>
      </c>
      <c r="D871" t="str">
        <f>HYPERLINK("http://nlpdeep.cs.uic.edu:8080/proofing/t5/495027-labs-imaging-0-43.pdf","t5/495027-labs-imaging-0-43.pdf")</f>
        <v>t5/495027-labs-imaging-0-43.pdf</v>
      </c>
      <c r="E871">
        <v>118760</v>
      </c>
      <c r="F871">
        <v>495027</v>
      </c>
      <c r="G871" t="s">
        <v>306</v>
      </c>
      <c r="H871" t="s">
        <v>147</v>
      </c>
      <c r="I871" t="s">
        <v>2538</v>
      </c>
    </row>
    <row r="872" spans="1:9" x14ac:dyDescent="0.2">
      <c r="A872" t="s">
        <v>2537</v>
      </c>
      <c r="D872" t="str">
        <f>HYPERLINK("http://nlpdeep.cs.uic.edu:8080/proofing/gsii/495027-labs-imaging-0-43.pdf","gsii/495027-labs-imaging-0-43.pdf")</f>
        <v>gsii/495027-labs-imaging-0-43.pdf</v>
      </c>
      <c r="E872">
        <v>118760</v>
      </c>
      <c r="F872">
        <v>495027</v>
      </c>
      <c r="G872" t="s">
        <v>306</v>
      </c>
      <c r="H872" t="s">
        <v>147</v>
      </c>
      <c r="I872" t="s">
        <v>2538</v>
      </c>
    </row>
    <row r="873" spans="1:9" x14ac:dyDescent="0.2">
      <c r="A873" t="s">
        <v>2539</v>
      </c>
      <c r="D873" t="str">
        <f>HYPERLINK("http://nlpdeep.cs.uic.edu:8080/proofing/t5/495027-labs-imaging-0-44.pdf","t5/495027-labs-imaging-0-44.pdf")</f>
        <v>t5/495027-labs-imaging-0-44.pdf</v>
      </c>
      <c r="E873">
        <v>118760</v>
      </c>
      <c r="F873">
        <v>495027</v>
      </c>
      <c r="G873" t="s">
        <v>306</v>
      </c>
      <c r="H873" t="s">
        <v>147</v>
      </c>
      <c r="I873" t="s">
        <v>2540</v>
      </c>
    </row>
    <row r="874" spans="1:9" x14ac:dyDescent="0.2">
      <c r="A874" t="s">
        <v>2539</v>
      </c>
      <c r="D874" t="str">
        <f>HYPERLINK("http://nlpdeep.cs.uic.edu:8080/proofing/gsii/495027-labs-imaging-0-44.pdf","gsii/495027-labs-imaging-0-44.pdf")</f>
        <v>gsii/495027-labs-imaging-0-44.pdf</v>
      </c>
      <c r="E874">
        <v>118760</v>
      </c>
      <c r="F874">
        <v>495027</v>
      </c>
      <c r="G874" t="s">
        <v>306</v>
      </c>
      <c r="H874" t="s">
        <v>147</v>
      </c>
      <c r="I874" t="s">
        <v>2540</v>
      </c>
    </row>
    <row r="875" spans="1:9" x14ac:dyDescent="0.2">
      <c r="A875" t="s">
        <v>2541</v>
      </c>
      <c r="D875" t="str">
        <f>HYPERLINK("http://nlpdeep.cs.uic.edu:8080/proofing/t5/495027-labs-imaging-0-45.pdf","t5/495027-labs-imaging-0-45.pdf")</f>
        <v>t5/495027-labs-imaging-0-45.pdf</v>
      </c>
      <c r="E875">
        <v>118760</v>
      </c>
      <c r="F875">
        <v>495027</v>
      </c>
      <c r="G875" t="s">
        <v>306</v>
      </c>
      <c r="H875" t="s">
        <v>147</v>
      </c>
      <c r="I875" t="s">
        <v>2542</v>
      </c>
    </row>
    <row r="876" spans="1:9" x14ac:dyDescent="0.2">
      <c r="A876" t="s">
        <v>2541</v>
      </c>
      <c r="D876" t="str">
        <f>HYPERLINK("http://nlpdeep.cs.uic.edu:8080/proofing/gsii/495027-labs-imaging-0-45.pdf","gsii/495027-labs-imaging-0-45.pdf")</f>
        <v>gsii/495027-labs-imaging-0-45.pdf</v>
      </c>
      <c r="E876">
        <v>118760</v>
      </c>
      <c r="F876">
        <v>495027</v>
      </c>
      <c r="G876" t="s">
        <v>306</v>
      </c>
      <c r="H876" t="s">
        <v>147</v>
      </c>
      <c r="I876" t="s">
        <v>2542</v>
      </c>
    </row>
    <row r="877" spans="1:9" x14ac:dyDescent="0.2">
      <c r="A877" t="s">
        <v>2543</v>
      </c>
      <c r="D877" t="str">
        <f>HYPERLINK("http://nlpdeep.cs.uic.edu:8080/proofing/t5/495027-labs-imaging-0-46.pdf","t5/495027-labs-imaging-0-46.pdf")</f>
        <v>t5/495027-labs-imaging-0-46.pdf</v>
      </c>
      <c r="E877">
        <v>118760</v>
      </c>
      <c r="F877">
        <v>495027</v>
      </c>
      <c r="G877" t="s">
        <v>306</v>
      </c>
      <c r="H877" t="s">
        <v>147</v>
      </c>
      <c r="I877" t="s">
        <v>2132</v>
      </c>
    </row>
    <row r="878" spans="1:9" x14ac:dyDescent="0.2">
      <c r="A878" t="s">
        <v>2543</v>
      </c>
      <c r="D878" t="str">
        <f>HYPERLINK("http://nlpdeep.cs.uic.edu:8080/proofing/gsii/495027-labs-imaging-0-46.pdf","gsii/495027-labs-imaging-0-46.pdf")</f>
        <v>gsii/495027-labs-imaging-0-46.pdf</v>
      </c>
      <c r="E878">
        <v>118760</v>
      </c>
      <c r="F878">
        <v>495027</v>
      </c>
      <c r="G878" t="s">
        <v>306</v>
      </c>
      <c r="H878" t="s">
        <v>147</v>
      </c>
      <c r="I878" t="s">
        <v>2132</v>
      </c>
    </row>
    <row r="879" spans="1:9" x14ac:dyDescent="0.2">
      <c r="A879" t="s">
        <v>2544</v>
      </c>
      <c r="D879" t="str">
        <f>HYPERLINK("http://nlpdeep.cs.uic.edu:8080/proofing/t5/495027-labs-imaging-0-47.pdf","t5/495027-labs-imaging-0-47.pdf")</f>
        <v>t5/495027-labs-imaging-0-47.pdf</v>
      </c>
      <c r="E879">
        <v>118760</v>
      </c>
      <c r="F879">
        <v>495027</v>
      </c>
      <c r="G879" t="s">
        <v>306</v>
      </c>
      <c r="H879" t="s">
        <v>147</v>
      </c>
      <c r="I879" t="s">
        <v>2134</v>
      </c>
    </row>
    <row r="880" spans="1:9" x14ac:dyDescent="0.2">
      <c r="A880" t="s">
        <v>2544</v>
      </c>
      <c r="D880" t="str">
        <f>HYPERLINK("http://nlpdeep.cs.uic.edu:8080/proofing/gsii/495027-labs-imaging-0-47.pdf","gsii/495027-labs-imaging-0-47.pdf")</f>
        <v>gsii/495027-labs-imaging-0-47.pdf</v>
      </c>
      <c r="E880">
        <v>118760</v>
      </c>
      <c r="F880">
        <v>495027</v>
      </c>
      <c r="G880" t="s">
        <v>306</v>
      </c>
      <c r="H880" t="s">
        <v>147</v>
      </c>
      <c r="I880" t="s">
        <v>2134</v>
      </c>
    </row>
    <row r="881" spans="1:9" x14ac:dyDescent="0.2">
      <c r="A881" t="s">
        <v>2545</v>
      </c>
      <c r="D881" t="str">
        <f>HYPERLINK("http://nlpdeep.cs.uic.edu:8080/proofing/t5/495027-labs-imaging-0-48.pdf","t5/495027-labs-imaging-0-48.pdf")</f>
        <v>t5/495027-labs-imaging-0-48.pdf</v>
      </c>
      <c r="E881">
        <v>118760</v>
      </c>
      <c r="F881">
        <v>495027</v>
      </c>
      <c r="G881" t="s">
        <v>306</v>
      </c>
      <c r="H881" t="s">
        <v>147</v>
      </c>
      <c r="I881" t="s">
        <v>2546</v>
      </c>
    </row>
    <row r="882" spans="1:9" x14ac:dyDescent="0.2">
      <c r="A882" t="s">
        <v>2545</v>
      </c>
      <c r="D882" t="str">
        <f>HYPERLINK("http://nlpdeep.cs.uic.edu:8080/proofing/gsii/495027-labs-imaging-0-48.pdf","gsii/495027-labs-imaging-0-48.pdf")</f>
        <v>gsii/495027-labs-imaging-0-48.pdf</v>
      </c>
      <c r="E882">
        <v>118760</v>
      </c>
      <c r="F882">
        <v>495027</v>
      </c>
      <c r="G882" t="s">
        <v>306</v>
      </c>
      <c r="H882" t="s">
        <v>147</v>
      </c>
      <c r="I882" t="s">
        <v>2546</v>
      </c>
    </row>
    <row r="883" spans="1:9" x14ac:dyDescent="0.2">
      <c r="A883" t="s">
        <v>2547</v>
      </c>
      <c r="D883" t="str">
        <f>HYPERLINK("http://nlpdeep.cs.uic.edu:8080/proofing/t5/495027-labs-imaging-0-49.pdf","t5/495027-labs-imaging-0-49.pdf")</f>
        <v>t5/495027-labs-imaging-0-49.pdf</v>
      </c>
      <c r="E883">
        <v>118760</v>
      </c>
      <c r="F883">
        <v>495027</v>
      </c>
      <c r="G883" t="s">
        <v>306</v>
      </c>
      <c r="H883" t="s">
        <v>147</v>
      </c>
      <c r="I883" t="s">
        <v>2548</v>
      </c>
    </row>
    <row r="884" spans="1:9" x14ac:dyDescent="0.2">
      <c r="A884" t="s">
        <v>2547</v>
      </c>
      <c r="D884" t="str">
        <f>HYPERLINK("http://nlpdeep.cs.uic.edu:8080/proofing/gsii/495027-labs-imaging-0-49.pdf","gsii/495027-labs-imaging-0-49.pdf")</f>
        <v>gsii/495027-labs-imaging-0-49.pdf</v>
      </c>
      <c r="E884">
        <v>118760</v>
      </c>
      <c r="F884">
        <v>495027</v>
      </c>
      <c r="G884" t="s">
        <v>306</v>
      </c>
      <c r="H884" t="s">
        <v>147</v>
      </c>
      <c r="I884" t="s">
        <v>2548</v>
      </c>
    </row>
    <row r="885" spans="1:9" x14ac:dyDescent="0.2">
      <c r="A885" t="s">
        <v>2549</v>
      </c>
      <c r="D885" t="str">
        <f>HYPERLINK("http://nlpdeep.cs.uic.edu:8080/proofing/t5/495027-assessment-and-plan-0-0.pdf","t5/495027-assessment-and-plan-0-0.pdf")</f>
        <v>t5/495027-assessment-and-plan-0-0.pdf</v>
      </c>
      <c r="E885">
        <v>118760</v>
      </c>
      <c r="F885">
        <v>495027</v>
      </c>
      <c r="G885" t="s">
        <v>306</v>
      </c>
      <c r="H885" t="s">
        <v>195</v>
      </c>
      <c r="I885" t="s">
        <v>2550</v>
      </c>
    </row>
    <row r="886" spans="1:9" x14ac:dyDescent="0.2">
      <c r="A886" t="s">
        <v>2549</v>
      </c>
      <c r="D886" t="str">
        <f>HYPERLINK("http://nlpdeep.cs.uic.edu:8080/proofing/gsii/495027-assessment-and-plan-0-0.pdf","gsii/495027-assessment-and-plan-0-0.pdf")</f>
        <v>gsii/495027-assessment-and-plan-0-0.pdf</v>
      </c>
      <c r="E886">
        <v>118760</v>
      </c>
      <c r="F886">
        <v>495027</v>
      </c>
      <c r="G886" t="s">
        <v>306</v>
      </c>
      <c r="H886" t="s">
        <v>195</v>
      </c>
      <c r="I886" t="s">
        <v>2550</v>
      </c>
    </row>
    <row r="887" spans="1:9" x14ac:dyDescent="0.2">
      <c r="A887" t="s">
        <v>2551</v>
      </c>
      <c r="D887" t="str">
        <f>HYPERLINK("http://nlpdeep.cs.uic.edu:8080/proofing/t5/495027-assessment-and-plan-0-1.pdf","t5/495027-assessment-and-plan-0-1.pdf")</f>
        <v>t5/495027-assessment-and-plan-0-1.pdf</v>
      </c>
      <c r="E887">
        <v>118760</v>
      </c>
      <c r="F887">
        <v>495027</v>
      </c>
      <c r="G887" t="s">
        <v>306</v>
      </c>
      <c r="H887" t="s">
        <v>195</v>
      </c>
      <c r="I887" t="s">
        <v>2552</v>
      </c>
    </row>
    <row r="888" spans="1:9" x14ac:dyDescent="0.2">
      <c r="A888" t="s">
        <v>2551</v>
      </c>
      <c r="D888" t="str">
        <f>HYPERLINK("http://nlpdeep.cs.uic.edu:8080/proofing/gsii/495027-assessment-and-plan-0-1.pdf","gsii/495027-assessment-and-plan-0-1.pdf")</f>
        <v>gsii/495027-assessment-and-plan-0-1.pdf</v>
      </c>
      <c r="E888">
        <v>118760</v>
      </c>
      <c r="F888">
        <v>495027</v>
      </c>
      <c r="G888" t="s">
        <v>306</v>
      </c>
      <c r="H888" t="s">
        <v>195</v>
      </c>
      <c r="I888" t="s">
        <v>2552</v>
      </c>
    </row>
    <row r="889" spans="1:9" x14ac:dyDescent="0.2">
      <c r="A889" t="s">
        <v>2553</v>
      </c>
      <c r="D889" t="str">
        <f>HYPERLINK("http://nlpdeep.cs.uic.edu:8080/proofing/t5/495027-assessment-and-plan-0-2.pdf","t5/495027-assessment-and-plan-0-2.pdf")</f>
        <v>t5/495027-assessment-and-plan-0-2.pdf</v>
      </c>
      <c r="E889">
        <v>118760</v>
      </c>
      <c r="F889">
        <v>495027</v>
      </c>
      <c r="G889" t="s">
        <v>306</v>
      </c>
      <c r="H889" t="s">
        <v>195</v>
      </c>
      <c r="I889" t="s">
        <v>2554</v>
      </c>
    </row>
    <row r="890" spans="1:9" x14ac:dyDescent="0.2">
      <c r="A890" t="s">
        <v>2553</v>
      </c>
      <c r="D890" t="str">
        <f>HYPERLINK("http://nlpdeep.cs.uic.edu:8080/proofing/gsii/495027-assessment-and-plan-0-2.pdf","gsii/495027-assessment-and-plan-0-2.pdf")</f>
        <v>gsii/495027-assessment-and-plan-0-2.pdf</v>
      </c>
      <c r="E890">
        <v>118760</v>
      </c>
      <c r="F890">
        <v>495027</v>
      </c>
      <c r="G890" t="s">
        <v>306</v>
      </c>
      <c r="H890" t="s">
        <v>195</v>
      </c>
      <c r="I890" t="s">
        <v>2554</v>
      </c>
    </row>
    <row r="891" spans="1:9" x14ac:dyDescent="0.2">
      <c r="A891" t="s">
        <v>2555</v>
      </c>
      <c r="D891" t="str">
        <f>HYPERLINK("http://nlpdeep.cs.uic.edu:8080/proofing/t5/495027-assessment-and-plan-0-3.pdf","t5/495027-assessment-and-plan-0-3.pdf")</f>
        <v>t5/495027-assessment-and-plan-0-3.pdf</v>
      </c>
      <c r="E891">
        <v>118760</v>
      </c>
      <c r="F891">
        <v>495027</v>
      </c>
      <c r="G891" t="s">
        <v>306</v>
      </c>
      <c r="H891" t="s">
        <v>195</v>
      </c>
      <c r="I891" t="s">
        <v>2556</v>
      </c>
    </row>
    <row r="892" spans="1:9" x14ac:dyDescent="0.2">
      <c r="A892" t="s">
        <v>2555</v>
      </c>
      <c r="D892" t="str">
        <f>HYPERLINK("http://nlpdeep.cs.uic.edu:8080/proofing/gsii/495027-assessment-and-plan-0-3.pdf","gsii/495027-assessment-and-plan-0-3.pdf")</f>
        <v>gsii/495027-assessment-and-plan-0-3.pdf</v>
      </c>
      <c r="E892">
        <v>118760</v>
      </c>
      <c r="F892">
        <v>495027</v>
      </c>
      <c r="G892" t="s">
        <v>306</v>
      </c>
      <c r="H892" t="s">
        <v>195</v>
      </c>
      <c r="I892" t="s">
        <v>2556</v>
      </c>
    </row>
    <row r="893" spans="1:9" x14ac:dyDescent="0.2">
      <c r="A893" t="s">
        <v>2557</v>
      </c>
      <c r="D893" t="str">
        <f>HYPERLINK("http://nlpdeep.cs.uic.edu:8080/proofing/t5/495027-assessment-and-plan-0-4.pdf","t5/495027-assessment-and-plan-0-4.pdf")</f>
        <v>t5/495027-assessment-and-plan-0-4.pdf</v>
      </c>
      <c r="E893">
        <v>118760</v>
      </c>
      <c r="F893">
        <v>495027</v>
      </c>
      <c r="G893" t="s">
        <v>306</v>
      </c>
      <c r="H893" t="s">
        <v>195</v>
      </c>
      <c r="I893" t="s">
        <v>2558</v>
      </c>
    </row>
    <row r="894" spans="1:9" x14ac:dyDescent="0.2">
      <c r="A894" t="s">
        <v>2557</v>
      </c>
      <c r="D894" t="str">
        <f>HYPERLINK("http://nlpdeep.cs.uic.edu:8080/proofing/gsii/495027-assessment-and-plan-0-4.pdf","gsii/495027-assessment-and-plan-0-4.pdf")</f>
        <v>gsii/495027-assessment-and-plan-0-4.pdf</v>
      </c>
      <c r="E894">
        <v>118760</v>
      </c>
      <c r="F894">
        <v>495027</v>
      </c>
      <c r="G894" t="s">
        <v>306</v>
      </c>
      <c r="H894" t="s">
        <v>195</v>
      </c>
      <c r="I894" t="s">
        <v>2558</v>
      </c>
    </row>
    <row r="895" spans="1:9" x14ac:dyDescent="0.2">
      <c r="A895" t="s">
        <v>2559</v>
      </c>
      <c r="D895" t="str">
        <f>HYPERLINK("http://nlpdeep.cs.uic.edu:8080/proofing/t5/495027-assessment-and-plan-0-5.pdf","t5/495027-assessment-and-plan-0-5.pdf")</f>
        <v>t5/495027-assessment-and-plan-0-5.pdf</v>
      </c>
      <c r="E895">
        <v>118760</v>
      </c>
      <c r="F895">
        <v>495027</v>
      </c>
      <c r="G895" t="s">
        <v>306</v>
      </c>
      <c r="H895" t="s">
        <v>195</v>
      </c>
      <c r="I895" t="s">
        <v>2560</v>
      </c>
    </row>
    <row r="896" spans="1:9" x14ac:dyDescent="0.2">
      <c r="A896" t="s">
        <v>2559</v>
      </c>
      <c r="D896" t="str">
        <f>HYPERLINK("http://nlpdeep.cs.uic.edu:8080/proofing/gsii/495027-assessment-and-plan-0-5.pdf","gsii/495027-assessment-and-plan-0-5.pdf")</f>
        <v>gsii/495027-assessment-and-plan-0-5.pdf</v>
      </c>
      <c r="E896">
        <v>118760</v>
      </c>
      <c r="F896">
        <v>495027</v>
      </c>
      <c r="G896" t="s">
        <v>306</v>
      </c>
      <c r="H896" t="s">
        <v>195</v>
      </c>
      <c r="I896" t="s">
        <v>2560</v>
      </c>
    </row>
    <row r="897" spans="1:9" x14ac:dyDescent="0.2">
      <c r="A897" t="s">
        <v>2561</v>
      </c>
      <c r="D897" t="str">
        <f>HYPERLINK("http://nlpdeep.cs.uic.edu:8080/proofing/t5/495027-assessment-and-plan-0-6.pdf","t5/495027-assessment-and-plan-0-6.pdf")</f>
        <v>t5/495027-assessment-and-plan-0-6.pdf</v>
      </c>
      <c r="E897">
        <v>118760</v>
      </c>
      <c r="F897">
        <v>495027</v>
      </c>
      <c r="G897" t="s">
        <v>306</v>
      </c>
      <c r="H897" t="s">
        <v>195</v>
      </c>
      <c r="I897" t="s">
        <v>2562</v>
      </c>
    </row>
    <row r="898" spans="1:9" x14ac:dyDescent="0.2">
      <c r="A898" t="s">
        <v>2561</v>
      </c>
      <c r="D898" t="str">
        <f>HYPERLINK("http://nlpdeep.cs.uic.edu:8080/proofing/gsii/495027-assessment-and-plan-0-6.pdf","gsii/495027-assessment-and-plan-0-6.pdf")</f>
        <v>gsii/495027-assessment-and-plan-0-6.pdf</v>
      </c>
      <c r="E898">
        <v>118760</v>
      </c>
      <c r="F898">
        <v>495027</v>
      </c>
      <c r="G898" t="s">
        <v>306</v>
      </c>
      <c r="H898" t="s">
        <v>195</v>
      </c>
      <c r="I898" t="s">
        <v>2562</v>
      </c>
    </row>
    <row r="899" spans="1:9" x14ac:dyDescent="0.2">
      <c r="A899" t="s">
        <v>2563</v>
      </c>
      <c r="D899" t="str">
        <f>HYPERLINK("http://nlpdeep.cs.uic.edu:8080/proofing/t5/495027-assessment-and-plan-0-7.pdf","t5/495027-assessment-and-plan-0-7.pdf")</f>
        <v>t5/495027-assessment-and-plan-0-7.pdf</v>
      </c>
      <c r="E899">
        <v>118760</v>
      </c>
      <c r="F899">
        <v>495027</v>
      </c>
      <c r="G899" t="s">
        <v>306</v>
      </c>
      <c r="H899" t="s">
        <v>195</v>
      </c>
      <c r="I899" t="s">
        <v>2564</v>
      </c>
    </row>
    <row r="900" spans="1:9" x14ac:dyDescent="0.2">
      <c r="A900" t="s">
        <v>2563</v>
      </c>
      <c r="D900" t="str">
        <f>HYPERLINK("http://nlpdeep.cs.uic.edu:8080/proofing/gsii/495027-assessment-and-plan-0-7.pdf","gsii/495027-assessment-and-plan-0-7.pdf")</f>
        <v>gsii/495027-assessment-and-plan-0-7.pdf</v>
      </c>
      <c r="E900">
        <v>118760</v>
      </c>
      <c r="F900">
        <v>495027</v>
      </c>
      <c r="G900" t="s">
        <v>306</v>
      </c>
      <c r="H900" t="s">
        <v>195</v>
      </c>
      <c r="I900" t="s">
        <v>2564</v>
      </c>
    </row>
    <row r="901" spans="1:9" x14ac:dyDescent="0.2">
      <c r="A901" t="s">
        <v>2565</v>
      </c>
      <c r="D901" t="str">
        <f>HYPERLINK("http://nlpdeep.cs.uic.edu:8080/proofing/t5/495027-assessment-and-plan-0-8.pdf","t5/495027-assessment-and-plan-0-8.pdf")</f>
        <v>t5/495027-assessment-and-plan-0-8.pdf</v>
      </c>
      <c r="E901">
        <v>118760</v>
      </c>
      <c r="F901">
        <v>495027</v>
      </c>
      <c r="G901" t="s">
        <v>306</v>
      </c>
      <c r="H901" t="s">
        <v>195</v>
      </c>
      <c r="I901" t="s">
        <v>2566</v>
      </c>
    </row>
    <row r="902" spans="1:9" x14ac:dyDescent="0.2">
      <c r="A902" t="s">
        <v>2565</v>
      </c>
      <c r="D902" t="str">
        <f>HYPERLINK("http://nlpdeep.cs.uic.edu:8080/proofing/gsii/495027-assessment-and-plan-0-8.pdf","gsii/495027-assessment-and-plan-0-8.pdf")</f>
        <v>gsii/495027-assessment-and-plan-0-8.pdf</v>
      </c>
      <c r="E902">
        <v>118760</v>
      </c>
      <c r="F902">
        <v>495027</v>
      </c>
      <c r="G902" t="s">
        <v>306</v>
      </c>
      <c r="H902" t="s">
        <v>195</v>
      </c>
      <c r="I902" t="s">
        <v>2566</v>
      </c>
    </row>
    <row r="903" spans="1:9" x14ac:dyDescent="0.2">
      <c r="A903" t="s">
        <v>2567</v>
      </c>
      <c r="D903" t="str">
        <f>HYPERLINK("http://nlpdeep.cs.uic.edu:8080/proofing/t5/495027-assessment-and-plan-0-9.pdf","t5/495027-assessment-and-plan-0-9.pdf")</f>
        <v>t5/495027-assessment-and-plan-0-9.pdf</v>
      </c>
      <c r="E903">
        <v>118760</v>
      </c>
      <c r="F903">
        <v>495027</v>
      </c>
      <c r="G903" t="s">
        <v>306</v>
      </c>
      <c r="H903" t="s">
        <v>195</v>
      </c>
      <c r="I903" t="s">
        <v>2568</v>
      </c>
    </row>
    <row r="904" spans="1:9" x14ac:dyDescent="0.2">
      <c r="A904" t="s">
        <v>2567</v>
      </c>
      <c r="D904" t="str">
        <f>HYPERLINK("http://nlpdeep.cs.uic.edu:8080/proofing/gsii/495027-assessment-and-plan-0-9.pdf","gsii/495027-assessment-and-plan-0-9.pdf")</f>
        <v>gsii/495027-assessment-and-plan-0-9.pdf</v>
      </c>
      <c r="E904">
        <v>118760</v>
      </c>
      <c r="F904">
        <v>495027</v>
      </c>
      <c r="G904" t="s">
        <v>306</v>
      </c>
      <c r="H904" t="s">
        <v>195</v>
      </c>
      <c r="I904" t="s">
        <v>2568</v>
      </c>
    </row>
    <row r="905" spans="1:9" x14ac:dyDescent="0.2">
      <c r="A905" t="s">
        <v>2569</v>
      </c>
      <c r="D905" t="str">
        <f>HYPERLINK("http://nlpdeep.cs.uic.edu:8080/proofing/t5/522568-chief-complaint-0-0.pdf","t5/522568-chief-complaint-0-0.pdf")</f>
        <v>t5/522568-chief-complaint-0-0.pdf</v>
      </c>
      <c r="E905">
        <v>120842</v>
      </c>
      <c r="F905">
        <v>522568</v>
      </c>
      <c r="G905" t="s">
        <v>9</v>
      </c>
      <c r="H905" t="s">
        <v>10</v>
      </c>
      <c r="I905" t="s">
        <v>2570</v>
      </c>
    </row>
    <row r="906" spans="1:9" x14ac:dyDescent="0.2">
      <c r="A906" t="s">
        <v>2569</v>
      </c>
      <c r="D906" t="str">
        <f>HYPERLINK("http://nlpdeep.cs.uic.edu:8080/proofing/gsii/522568-chief-complaint-0-0.pdf","gsii/522568-chief-complaint-0-0.pdf")</f>
        <v>gsii/522568-chief-complaint-0-0.pdf</v>
      </c>
      <c r="E906">
        <v>120842</v>
      </c>
      <c r="F906">
        <v>522568</v>
      </c>
      <c r="G906" t="s">
        <v>9</v>
      </c>
      <c r="H906" t="s">
        <v>10</v>
      </c>
      <c r="I906" t="s">
        <v>2570</v>
      </c>
    </row>
    <row r="907" spans="1:9" x14ac:dyDescent="0.2">
      <c r="A907" t="s">
        <v>2571</v>
      </c>
      <c r="D907" t="str">
        <f>HYPERLINK("http://nlpdeep.cs.uic.edu:8080/proofing/t5/522568-addendum-0-0.pdf","t5/522568-addendum-0-0.pdf")</f>
        <v>t5/522568-addendum-0-0.pdf</v>
      </c>
      <c r="E907">
        <v>120842</v>
      </c>
      <c r="F907">
        <v>522568</v>
      </c>
      <c r="G907" t="s">
        <v>9</v>
      </c>
      <c r="H907" t="s">
        <v>1400</v>
      </c>
      <c r="I907" t="s">
        <v>1564</v>
      </c>
    </row>
    <row r="908" spans="1:9" x14ac:dyDescent="0.2">
      <c r="A908" t="s">
        <v>2571</v>
      </c>
      <c r="D908" t="str">
        <f>HYPERLINK("http://nlpdeep.cs.uic.edu:8080/proofing/gsii/522568-addendum-0-0.pdf","gsii/522568-addendum-0-0.pdf")</f>
        <v>gsii/522568-addendum-0-0.pdf</v>
      </c>
      <c r="E908">
        <v>120842</v>
      </c>
      <c r="F908">
        <v>522568</v>
      </c>
      <c r="G908" t="s">
        <v>9</v>
      </c>
      <c r="H908" t="s">
        <v>1400</v>
      </c>
      <c r="I908" t="s">
        <v>1564</v>
      </c>
    </row>
    <row r="909" spans="1:9" x14ac:dyDescent="0.2">
      <c r="A909" t="s">
        <v>2572</v>
      </c>
      <c r="D909" t="str">
        <f>HYPERLINK("http://nlpdeep.cs.uic.edu:8080/proofing/t5/522568-addendum-0-1.pdf","t5/522568-addendum-0-1.pdf")</f>
        <v>t5/522568-addendum-0-1.pdf</v>
      </c>
      <c r="E909">
        <v>120842</v>
      </c>
      <c r="F909">
        <v>522568</v>
      </c>
      <c r="G909" t="s">
        <v>9</v>
      </c>
      <c r="H909" t="s">
        <v>1400</v>
      </c>
      <c r="I909" t="s">
        <v>1566</v>
      </c>
    </row>
    <row r="910" spans="1:9" x14ac:dyDescent="0.2">
      <c r="A910" t="s">
        <v>2572</v>
      </c>
      <c r="D910" t="str">
        <f>HYPERLINK("http://nlpdeep.cs.uic.edu:8080/proofing/gsii/522568-addendum-0-1.pdf","gsii/522568-addendum-0-1.pdf")</f>
        <v>gsii/522568-addendum-0-1.pdf</v>
      </c>
      <c r="E910">
        <v>120842</v>
      </c>
      <c r="F910">
        <v>522568</v>
      </c>
      <c r="G910" t="s">
        <v>9</v>
      </c>
      <c r="H910" t="s">
        <v>1400</v>
      </c>
      <c r="I910" t="s">
        <v>1566</v>
      </c>
    </row>
    <row r="911" spans="1:9" x14ac:dyDescent="0.2">
      <c r="A911" t="s">
        <v>2573</v>
      </c>
      <c r="D911" t="str">
        <f>HYPERLINK("http://nlpdeep.cs.uic.edu:8080/proofing/t5/522568-history-of-present-illness-0-0.pdf","t5/522568-history-of-present-illness-0-0.pdf")</f>
        <v>t5/522568-history-of-present-illness-0-0.pdf</v>
      </c>
      <c r="E911">
        <v>120842</v>
      </c>
      <c r="F911">
        <v>522568</v>
      </c>
      <c r="G911" t="s">
        <v>9</v>
      </c>
      <c r="H911" t="s">
        <v>13</v>
      </c>
      <c r="I911" t="s">
        <v>2574</v>
      </c>
    </row>
    <row r="912" spans="1:9" x14ac:dyDescent="0.2">
      <c r="A912" t="s">
        <v>2573</v>
      </c>
      <c r="D912" t="str">
        <f>HYPERLINK("http://nlpdeep.cs.uic.edu:8080/proofing/gsii/522568-history-of-present-illness-0-0.pdf","gsii/522568-history-of-present-illness-0-0.pdf")</f>
        <v>gsii/522568-history-of-present-illness-0-0.pdf</v>
      </c>
      <c r="E912">
        <v>120842</v>
      </c>
      <c r="F912">
        <v>522568</v>
      </c>
      <c r="G912" t="s">
        <v>9</v>
      </c>
      <c r="H912" t="s">
        <v>13</v>
      </c>
      <c r="I912" t="s">
        <v>2574</v>
      </c>
    </row>
    <row r="913" spans="1:9" x14ac:dyDescent="0.2">
      <c r="A913" t="s">
        <v>2575</v>
      </c>
      <c r="D913" t="str">
        <f>HYPERLINK("http://nlpdeep.cs.uic.edu:8080/proofing/t5/522568-history-of-present-illness-0-1.pdf","t5/522568-history-of-present-illness-0-1.pdf")</f>
        <v>t5/522568-history-of-present-illness-0-1.pdf</v>
      </c>
      <c r="E913">
        <v>120842</v>
      </c>
      <c r="F913">
        <v>522568</v>
      </c>
      <c r="G913" t="s">
        <v>9</v>
      </c>
      <c r="H913" t="s">
        <v>13</v>
      </c>
      <c r="I913" t="s">
        <v>2576</v>
      </c>
    </row>
    <row r="914" spans="1:9" x14ac:dyDescent="0.2">
      <c r="A914" t="s">
        <v>2575</v>
      </c>
      <c r="D914" t="str">
        <f>HYPERLINK("http://nlpdeep.cs.uic.edu:8080/proofing/gsii/522568-history-of-present-illness-0-1.pdf","gsii/522568-history-of-present-illness-0-1.pdf")</f>
        <v>gsii/522568-history-of-present-illness-0-1.pdf</v>
      </c>
      <c r="E914">
        <v>120842</v>
      </c>
      <c r="F914">
        <v>522568</v>
      </c>
      <c r="G914" t="s">
        <v>9</v>
      </c>
      <c r="H914" t="s">
        <v>13</v>
      </c>
      <c r="I914" t="s">
        <v>2576</v>
      </c>
    </row>
    <row r="915" spans="1:9" x14ac:dyDescent="0.2">
      <c r="A915" t="s">
        <v>2577</v>
      </c>
      <c r="D915" t="str">
        <f>HYPERLINK("http://nlpdeep.cs.uic.edu:8080/proofing/t5/522568-allergies-0-0.pdf","t5/522568-allergies-0-0.pdf")</f>
        <v>t5/522568-allergies-0-0.pdf</v>
      </c>
      <c r="E915">
        <v>120842</v>
      </c>
      <c r="F915">
        <v>522568</v>
      </c>
      <c r="G915" t="s">
        <v>9</v>
      </c>
      <c r="H915" t="s">
        <v>64</v>
      </c>
      <c r="I915" t="s">
        <v>2578</v>
      </c>
    </row>
    <row r="916" spans="1:9" x14ac:dyDescent="0.2">
      <c r="A916" t="s">
        <v>2577</v>
      </c>
      <c r="D916" t="str">
        <f>HYPERLINK("http://nlpdeep.cs.uic.edu:8080/proofing/gsii/522568-allergies-0-0.pdf","gsii/522568-allergies-0-0.pdf")</f>
        <v>gsii/522568-allergies-0-0.pdf</v>
      </c>
      <c r="E916">
        <v>120842</v>
      </c>
      <c r="F916">
        <v>522568</v>
      </c>
      <c r="G916" t="s">
        <v>9</v>
      </c>
      <c r="H916" t="s">
        <v>64</v>
      </c>
      <c r="I916" t="s">
        <v>2578</v>
      </c>
    </row>
    <row r="917" spans="1:9" x14ac:dyDescent="0.2">
      <c r="A917" t="s">
        <v>2579</v>
      </c>
      <c r="D917" t="str">
        <f>HYPERLINK("http://nlpdeep.cs.uic.edu:8080/proofing/t5/522568-other-medications-0-0.pdf","t5/522568-other-medications-0-0.pdf")</f>
        <v>t5/522568-other-medications-0-0.pdf</v>
      </c>
      <c r="E917">
        <v>120842</v>
      </c>
      <c r="F917">
        <v>522568</v>
      </c>
      <c r="G917" t="s">
        <v>9</v>
      </c>
      <c r="H917" t="s">
        <v>67</v>
      </c>
      <c r="I917" t="s">
        <v>2580</v>
      </c>
    </row>
    <row r="918" spans="1:9" x14ac:dyDescent="0.2">
      <c r="A918" t="s">
        <v>2579</v>
      </c>
      <c r="D918" t="str">
        <f>HYPERLINK("http://nlpdeep.cs.uic.edu:8080/proofing/gsii/522568-other-medications-0-0.pdf","gsii/522568-other-medications-0-0.pdf")</f>
        <v>gsii/522568-other-medications-0-0.pdf</v>
      </c>
      <c r="E918">
        <v>120842</v>
      </c>
      <c r="F918">
        <v>522568</v>
      </c>
      <c r="G918" t="s">
        <v>9</v>
      </c>
      <c r="H918" t="s">
        <v>67</v>
      </c>
      <c r="I918" t="s">
        <v>2580</v>
      </c>
    </row>
    <row r="919" spans="1:9" x14ac:dyDescent="0.2">
      <c r="A919" t="s">
        <v>2581</v>
      </c>
      <c r="D919" t="str">
        <f>HYPERLINK("http://nlpdeep.cs.uic.edu:8080/proofing/t5/522568-past-medical-history-0-0.pdf","t5/522568-past-medical-history-0-0.pdf")</f>
        <v>t5/522568-past-medical-history-0-0.pdf</v>
      </c>
      <c r="E919">
        <v>120842</v>
      </c>
      <c r="F919">
        <v>522568</v>
      </c>
      <c r="G919" t="s">
        <v>9</v>
      </c>
      <c r="H919" t="s">
        <v>76</v>
      </c>
      <c r="I919" t="s">
        <v>2582</v>
      </c>
    </row>
    <row r="920" spans="1:9" x14ac:dyDescent="0.2">
      <c r="A920" t="s">
        <v>2581</v>
      </c>
      <c r="D920" t="str">
        <f>HYPERLINK("http://nlpdeep.cs.uic.edu:8080/proofing/gsii/522568-past-medical-history-0-0.pdf","gsii/522568-past-medical-history-0-0.pdf")</f>
        <v>gsii/522568-past-medical-history-0-0.pdf</v>
      </c>
      <c r="E920">
        <v>120842</v>
      </c>
      <c r="F920">
        <v>522568</v>
      </c>
      <c r="G920" t="s">
        <v>9</v>
      </c>
      <c r="H920" t="s">
        <v>76</v>
      </c>
      <c r="I920" t="s">
        <v>2582</v>
      </c>
    </row>
    <row r="921" spans="1:9" x14ac:dyDescent="0.2">
      <c r="A921" t="s">
        <v>2583</v>
      </c>
      <c r="D921" t="str">
        <f>HYPERLINK("http://nlpdeep.cs.uic.edu:8080/proofing/t5/522568-review-of-systems-0-0.pdf","t5/522568-review-of-systems-0-0.pdf")</f>
        <v>t5/522568-review-of-systems-0-0.pdf</v>
      </c>
      <c r="E921">
        <v>120842</v>
      </c>
      <c r="F921">
        <v>522568</v>
      </c>
      <c r="G921" t="s">
        <v>9</v>
      </c>
      <c r="H921" t="s">
        <v>393</v>
      </c>
      <c r="I921" t="s">
        <v>2584</v>
      </c>
    </row>
    <row r="922" spans="1:9" x14ac:dyDescent="0.2">
      <c r="A922" t="s">
        <v>2583</v>
      </c>
      <c r="D922" t="str">
        <f>HYPERLINK("http://nlpdeep.cs.uic.edu:8080/proofing/gsii/522568-review-of-systems-0-0.pdf","gsii/522568-review-of-systems-0-0.pdf")</f>
        <v>gsii/522568-review-of-systems-0-0.pdf</v>
      </c>
      <c r="E922">
        <v>120842</v>
      </c>
      <c r="F922">
        <v>522568</v>
      </c>
      <c r="G922" t="s">
        <v>9</v>
      </c>
      <c r="H922" t="s">
        <v>393</v>
      </c>
      <c r="I922" t="s">
        <v>2584</v>
      </c>
    </row>
    <row r="923" spans="1:9" x14ac:dyDescent="0.2">
      <c r="A923" t="s">
        <v>2585</v>
      </c>
      <c r="D923" t="str">
        <f>HYPERLINK("http://nlpdeep.cs.uic.edu:8080/proofing/t5/522568-flowsheet-data-vitals-0-0.pdf","t5/522568-flowsheet-data-vitals-0-0.pdf")</f>
        <v>t5/522568-flowsheet-data-vitals-0-0.pdf</v>
      </c>
      <c r="E923">
        <v>120842</v>
      </c>
      <c r="F923">
        <v>522568</v>
      </c>
      <c r="G923" t="s">
        <v>9</v>
      </c>
      <c r="H923" t="s">
        <v>135</v>
      </c>
      <c r="I923" t="s">
        <v>2586</v>
      </c>
    </row>
    <row r="924" spans="1:9" x14ac:dyDescent="0.2">
      <c r="A924" t="s">
        <v>2585</v>
      </c>
      <c r="D924" t="str">
        <f>HYPERLINK("http://nlpdeep.cs.uic.edu:8080/proofing/gsii/522568-flowsheet-data-vitals-0-0.pdf","gsii/522568-flowsheet-data-vitals-0-0.pdf")</f>
        <v>gsii/522568-flowsheet-data-vitals-0-0.pdf</v>
      </c>
      <c r="E924">
        <v>120842</v>
      </c>
      <c r="F924">
        <v>522568</v>
      </c>
      <c r="G924" t="s">
        <v>9</v>
      </c>
      <c r="H924" t="s">
        <v>135</v>
      </c>
      <c r="I924" t="s">
        <v>2586</v>
      </c>
    </row>
    <row r="925" spans="1:9" x14ac:dyDescent="0.2">
      <c r="A925" t="s">
        <v>2587</v>
      </c>
      <c r="D925" t="str">
        <f>HYPERLINK("http://nlpdeep.cs.uic.edu:8080/proofing/t5/522568-physical-examination-0-0.pdf","t5/522568-physical-examination-0-0.pdf")</f>
        <v>t5/522568-physical-examination-0-0.pdf</v>
      </c>
      <c r="E925">
        <v>120842</v>
      </c>
      <c r="F925">
        <v>522568</v>
      </c>
      <c r="G925" t="s">
        <v>9</v>
      </c>
      <c r="H925" t="s">
        <v>138</v>
      </c>
      <c r="I925" t="s">
        <v>2588</v>
      </c>
    </row>
    <row r="926" spans="1:9" x14ac:dyDescent="0.2">
      <c r="A926" t="s">
        <v>2587</v>
      </c>
      <c r="D926" t="str">
        <f>HYPERLINK("http://nlpdeep.cs.uic.edu:8080/proofing/gsii/522568-physical-examination-0-0.pdf","gsii/522568-physical-examination-0-0.pdf")</f>
        <v>gsii/522568-physical-examination-0-0.pdf</v>
      </c>
      <c r="E926">
        <v>120842</v>
      </c>
      <c r="F926">
        <v>522568</v>
      </c>
      <c r="G926" t="s">
        <v>9</v>
      </c>
      <c r="H926" t="s">
        <v>138</v>
      </c>
      <c r="I926" t="s">
        <v>2588</v>
      </c>
    </row>
    <row r="927" spans="1:9" x14ac:dyDescent="0.2">
      <c r="A927" t="s">
        <v>2589</v>
      </c>
      <c r="D927" t="str">
        <f>HYPERLINK("http://nlpdeep.cs.uic.edu:8080/proofing/t5/522568-assessment-and-plan-0-0.pdf","t5/522568-assessment-and-plan-0-0.pdf")</f>
        <v>t5/522568-assessment-and-plan-0-0.pdf</v>
      </c>
      <c r="E927">
        <v>120842</v>
      </c>
      <c r="F927">
        <v>522568</v>
      </c>
      <c r="G927" t="s">
        <v>9</v>
      </c>
      <c r="H927" t="s">
        <v>195</v>
      </c>
      <c r="I927" t="s">
        <v>2590</v>
      </c>
    </row>
    <row r="928" spans="1:9" x14ac:dyDescent="0.2">
      <c r="A928" t="s">
        <v>2589</v>
      </c>
      <c r="D928" t="str">
        <f>HYPERLINK("http://nlpdeep.cs.uic.edu:8080/proofing/gsii/522568-assessment-and-plan-0-0.pdf","gsii/522568-assessment-and-plan-0-0.pdf")</f>
        <v>gsii/522568-assessment-and-plan-0-0.pdf</v>
      </c>
      <c r="E928">
        <v>120842</v>
      </c>
      <c r="F928">
        <v>522568</v>
      </c>
      <c r="G928" t="s">
        <v>9</v>
      </c>
      <c r="H928" t="s">
        <v>195</v>
      </c>
      <c r="I928" t="s">
        <v>2590</v>
      </c>
    </row>
    <row r="929" spans="1:9" x14ac:dyDescent="0.2">
      <c r="A929" t="s">
        <v>2591</v>
      </c>
      <c r="D929" t="str">
        <f>HYPERLINK("http://nlpdeep.cs.uic.edu:8080/proofing/t5/522568-assessment-and-plan-0-1.pdf","t5/522568-assessment-and-plan-0-1.pdf")</f>
        <v>t5/522568-assessment-and-plan-0-1.pdf</v>
      </c>
      <c r="E929">
        <v>120842</v>
      </c>
      <c r="F929">
        <v>522568</v>
      </c>
      <c r="G929" t="s">
        <v>9</v>
      </c>
      <c r="H929" t="s">
        <v>195</v>
      </c>
      <c r="I929" t="s">
        <v>2592</v>
      </c>
    </row>
    <row r="930" spans="1:9" x14ac:dyDescent="0.2">
      <c r="A930" t="s">
        <v>2591</v>
      </c>
      <c r="D930" t="str">
        <f>HYPERLINK("http://nlpdeep.cs.uic.edu:8080/proofing/gsii/522568-assessment-and-plan-0-1.pdf","gsii/522568-assessment-and-plan-0-1.pdf")</f>
        <v>gsii/522568-assessment-and-plan-0-1.pdf</v>
      </c>
      <c r="E930">
        <v>120842</v>
      </c>
      <c r="F930">
        <v>522568</v>
      </c>
      <c r="G930" t="s">
        <v>9</v>
      </c>
      <c r="H930" t="s">
        <v>195</v>
      </c>
      <c r="I930" t="s">
        <v>2592</v>
      </c>
    </row>
    <row r="931" spans="1:9" x14ac:dyDescent="0.2">
      <c r="A931" t="s">
        <v>2593</v>
      </c>
      <c r="D931" t="str">
        <f>HYPERLINK("http://nlpdeep.cs.uic.edu:8080/proofing/t5/522568-assessment-and-plan-0-2.pdf","t5/522568-assessment-and-plan-0-2.pdf")</f>
        <v>t5/522568-assessment-and-plan-0-2.pdf</v>
      </c>
      <c r="E931">
        <v>120842</v>
      </c>
      <c r="F931">
        <v>522568</v>
      </c>
      <c r="G931" t="s">
        <v>9</v>
      </c>
      <c r="H931" t="s">
        <v>195</v>
      </c>
      <c r="I931" t="s">
        <v>2594</v>
      </c>
    </row>
    <row r="932" spans="1:9" x14ac:dyDescent="0.2">
      <c r="A932" t="s">
        <v>2593</v>
      </c>
      <c r="D932" t="str">
        <f>HYPERLINK("http://nlpdeep.cs.uic.edu:8080/proofing/gsii/522568-assessment-and-plan-0-2.pdf","gsii/522568-assessment-and-plan-0-2.pdf")</f>
        <v>gsii/522568-assessment-and-plan-0-2.pdf</v>
      </c>
      <c r="E932">
        <v>120842</v>
      </c>
      <c r="F932">
        <v>522568</v>
      </c>
      <c r="G932" t="s">
        <v>9</v>
      </c>
      <c r="H932" t="s">
        <v>195</v>
      </c>
      <c r="I932" t="s">
        <v>2594</v>
      </c>
    </row>
    <row r="933" spans="1:9" x14ac:dyDescent="0.2">
      <c r="A933" t="s">
        <v>2595</v>
      </c>
      <c r="D933" t="str">
        <f>HYPERLINK("http://nlpdeep.cs.uic.edu:8080/proofing/t5/522568-assessment-and-plan-0-3.pdf","t5/522568-assessment-and-plan-0-3.pdf")</f>
        <v>t5/522568-assessment-and-plan-0-3.pdf</v>
      </c>
      <c r="E933">
        <v>120842</v>
      </c>
      <c r="F933">
        <v>522568</v>
      </c>
      <c r="G933" t="s">
        <v>9</v>
      </c>
      <c r="H933" t="s">
        <v>195</v>
      </c>
      <c r="I933" t="s">
        <v>2596</v>
      </c>
    </row>
    <row r="934" spans="1:9" x14ac:dyDescent="0.2">
      <c r="A934" t="s">
        <v>2595</v>
      </c>
      <c r="D934" t="str">
        <f>HYPERLINK("http://nlpdeep.cs.uic.edu:8080/proofing/gsii/522568-assessment-and-plan-0-3.pdf","gsii/522568-assessment-and-plan-0-3.pdf")</f>
        <v>gsii/522568-assessment-and-plan-0-3.pdf</v>
      </c>
      <c r="E934">
        <v>120842</v>
      </c>
      <c r="F934">
        <v>522568</v>
      </c>
      <c r="G934" t="s">
        <v>9</v>
      </c>
      <c r="H934" t="s">
        <v>195</v>
      </c>
      <c r="I934" t="s">
        <v>2596</v>
      </c>
    </row>
    <row r="935" spans="1:9" x14ac:dyDescent="0.2">
      <c r="A935" t="s">
        <v>2597</v>
      </c>
      <c r="D935" t="str">
        <f>HYPERLINK("http://nlpdeep.cs.uic.edu:8080/proofing/t5/522568-assessment-and-plan-0-4.pdf","t5/522568-assessment-and-plan-0-4.pdf")</f>
        <v>t5/522568-assessment-and-plan-0-4.pdf</v>
      </c>
      <c r="E935">
        <v>120842</v>
      </c>
      <c r="F935">
        <v>522568</v>
      </c>
      <c r="G935" t="s">
        <v>9</v>
      </c>
      <c r="H935" t="s">
        <v>195</v>
      </c>
      <c r="I935" t="s">
        <v>2598</v>
      </c>
    </row>
    <row r="936" spans="1:9" x14ac:dyDescent="0.2">
      <c r="A936" t="s">
        <v>2597</v>
      </c>
      <c r="D936" t="str">
        <f>HYPERLINK("http://nlpdeep.cs.uic.edu:8080/proofing/gsii/522568-assessment-and-plan-0-4.pdf","gsii/522568-assessment-and-plan-0-4.pdf")</f>
        <v>gsii/522568-assessment-and-plan-0-4.pdf</v>
      </c>
      <c r="E936">
        <v>120842</v>
      </c>
      <c r="F936">
        <v>522568</v>
      </c>
      <c r="G936" t="s">
        <v>9</v>
      </c>
      <c r="H936" t="s">
        <v>195</v>
      </c>
      <c r="I936" t="s">
        <v>2598</v>
      </c>
    </row>
    <row r="937" spans="1:9" x14ac:dyDescent="0.2">
      <c r="A937" t="s">
        <v>2599</v>
      </c>
      <c r="D937" t="str">
        <f>HYPERLINK("http://nlpdeep.cs.uic.edu:8080/proofing/t5/522568-assessment-and-plan-0-5.pdf","t5/522568-assessment-and-plan-0-5.pdf")</f>
        <v>t5/522568-assessment-and-plan-0-5.pdf</v>
      </c>
      <c r="E937">
        <v>120842</v>
      </c>
      <c r="F937">
        <v>522568</v>
      </c>
      <c r="G937" t="s">
        <v>9</v>
      </c>
      <c r="H937" t="s">
        <v>195</v>
      </c>
      <c r="I937" t="s">
        <v>2600</v>
      </c>
    </row>
    <row r="938" spans="1:9" x14ac:dyDescent="0.2">
      <c r="A938" t="s">
        <v>2599</v>
      </c>
      <c r="D938" t="str">
        <f>HYPERLINK("http://nlpdeep.cs.uic.edu:8080/proofing/gsii/522568-assessment-and-plan-0-5.pdf","gsii/522568-assessment-and-plan-0-5.pdf")</f>
        <v>gsii/522568-assessment-and-plan-0-5.pdf</v>
      </c>
      <c r="E938">
        <v>120842</v>
      </c>
      <c r="F938">
        <v>522568</v>
      </c>
      <c r="G938" t="s">
        <v>9</v>
      </c>
      <c r="H938" t="s">
        <v>195</v>
      </c>
      <c r="I938" t="s">
        <v>2600</v>
      </c>
    </row>
    <row r="939" spans="1:9" x14ac:dyDescent="0.2">
      <c r="A939" t="s">
        <v>2601</v>
      </c>
      <c r="D939" t="str">
        <f>HYPERLINK("http://nlpdeep.cs.uic.edu:8080/proofing/t5/522568-assessment-and-plan-0-6.pdf","t5/522568-assessment-and-plan-0-6.pdf")</f>
        <v>t5/522568-assessment-and-plan-0-6.pdf</v>
      </c>
      <c r="E939">
        <v>120842</v>
      </c>
      <c r="F939">
        <v>522568</v>
      </c>
      <c r="G939" t="s">
        <v>9</v>
      </c>
      <c r="H939" t="s">
        <v>195</v>
      </c>
      <c r="I939" t="s">
        <v>2602</v>
      </c>
    </row>
    <row r="940" spans="1:9" x14ac:dyDescent="0.2">
      <c r="A940" t="s">
        <v>2601</v>
      </c>
      <c r="D940" t="str">
        <f>HYPERLINK("http://nlpdeep.cs.uic.edu:8080/proofing/gsii/522568-assessment-and-plan-0-6.pdf","gsii/522568-assessment-and-plan-0-6.pdf")</f>
        <v>gsii/522568-assessment-and-plan-0-6.pdf</v>
      </c>
      <c r="E940">
        <v>120842</v>
      </c>
      <c r="F940">
        <v>522568</v>
      </c>
      <c r="G940" t="s">
        <v>9</v>
      </c>
      <c r="H940" t="s">
        <v>195</v>
      </c>
      <c r="I940" t="s">
        <v>2602</v>
      </c>
    </row>
    <row r="941" spans="1:9" x14ac:dyDescent="0.2">
      <c r="A941" t="s">
        <v>2603</v>
      </c>
      <c r="D941" t="str">
        <f>HYPERLINK("http://nlpdeep.cs.uic.edu:8080/proofing/t5/522568-code-status-0-0.pdf","t5/522568-code-status-0-0.pdf")</f>
        <v>t5/522568-code-status-0-0.pdf</v>
      </c>
      <c r="E941">
        <v>120842</v>
      </c>
      <c r="F941">
        <v>522568</v>
      </c>
      <c r="G941" t="s">
        <v>9</v>
      </c>
      <c r="H941" t="s">
        <v>201</v>
      </c>
      <c r="I941" t="s">
        <v>536</v>
      </c>
    </row>
    <row r="942" spans="1:9" x14ac:dyDescent="0.2">
      <c r="A942" t="s">
        <v>2603</v>
      </c>
      <c r="D942" t="str">
        <f>HYPERLINK("http://nlpdeep.cs.uic.edu:8080/proofing/gsii/522568-code-status-0-0.pdf","gsii/522568-code-status-0-0.pdf")</f>
        <v>gsii/522568-code-status-0-0.pdf</v>
      </c>
      <c r="E942">
        <v>120842</v>
      </c>
      <c r="F942">
        <v>522568</v>
      </c>
      <c r="G942" t="s">
        <v>9</v>
      </c>
      <c r="H942" t="s">
        <v>201</v>
      </c>
      <c r="I942" t="s">
        <v>536</v>
      </c>
    </row>
    <row r="943" spans="1:9" x14ac:dyDescent="0.2">
      <c r="A943" t="s">
        <v>2604</v>
      </c>
      <c r="D943" t="str">
        <f>HYPERLINK("http://nlpdeep.cs.uic.edu:8080/proofing/t5/522568-disposition-0-0.pdf","t5/522568-disposition-0-0.pdf")</f>
        <v>t5/522568-disposition-0-0.pdf</v>
      </c>
      <c r="E943">
        <v>120842</v>
      </c>
      <c r="F943">
        <v>522568</v>
      </c>
      <c r="G943" t="s">
        <v>9</v>
      </c>
      <c r="H943" t="s">
        <v>204</v>
      </c>
      <c r="I943" t="s">
        <v>1598</v>
      </c>
    </row>
    <row r="944" spans="1:9" x14ac:dyDescent="0.2">
      <c r="A944" t="s">
        <v>2604</v>
      </c>
      <c r="D944" t="str">
        <f>HYPERLINK("http://nlpdeep.cs.uic.edu:8080/proofing/gsii/522568-disposition-0-0.pdf","gsii/522568-disposition-0-0.pdf")</f>
        <v>gsii/522568-disposition-0-0.pdf</v>
      </c>
      <c r="E944">
        <v>120842</v>
      </c>
      <c r="F944">
        <v>522568</v>
      </c>
      <c r="G944" t="s">
        <v>9</v>
      </c>
      <c r="H944" t="s">
        <v>204</v>
      </c>
      <c r="I944" t="s">
        <v>1598</v>
      </c>
    </row>
    <row r="945" spans="1:9" x14ac:dyDescent="0.2">
      <c r="A945" t="s">
        <v>2605</v>
      </c>
      <c r="D945" t="str">
        <f>HYPERLINK("http://nlpdeep.cs.uic.edu:8080/proofing/t5/523070-critical-care-attending-addendum-0-0.pdf","t5/523070-critical-care-attending-addendum-0-0.pdf")</f>
        <v>t5/523070-critical-care-attending-addendum-0-0.pdf</v>
      </c>
      <c r="E945">
        <v>120842</v>
      </c>
      <c r="F945">
        <v>523070</v>
      </c>
      <c r="G945" t="s">
        <v>9</v>
      </c>
      <c r="H945" t="s">
        <v>1563</v>
      </c>
      <c r="I945" t="s">
        <v>2606</v>
      </c>
    </row>
    <row r="946" spans="1:9" x14ac:dyDescent="0.2">
      <c r="A946" t="s">
        <v>2605</v>
      </c>
      <c r="D946" t="str">
        <f>HYPERLINK("http://nlpdeep.cs.uic.edu:8080/proofing/gsii/523070-critical-care-attending-addendum-0-0.pdf","gsii/523070-critical-care-attending-addendum-0-0.pdf")</f>
        <v>gsii/523070-critical-care-attending-addendum-0-0.pdf</v>
      </c>
      <c r="E946">
        <v>120842</v>
      </c>
      <c r="F946">
        <v>523070</v>
      </c>
      <c r="G946" t="s">
        <v>9</v>
      </c>
      <c r="H946" t="s">
        <v>1563</v>
      </c>
      <c r="I946" t="s">
        <v>2606</v>
      </c>
    </row>
    <row r="947" spans="1:9" x14ac:dyDescent="0.2">
      <c r="A947" t="s">
        <v>2607</v>
      </c>
      <c r="D947" t="str">
        <f>HYPERLINK("http://nlpdeep.cs.uic.edu:8080/proofing/t5/523070-critical-care-attending-addendum-0-1.pdf","t5/523070-critical-care-attending-addendum-0-1.pdf")</f>
        <v>t5/523070-critical-care-attending-addendum-0-1.pdf</v>
      </c>
      <c r="E947">
        <v>120842</v>
      </c>
      <c r="F947">
        <v>523070</v>
      </c>
      <c r="G947" t="s">
        <v>9</v>
      </c>
      <c r="H947" t="s">
        <v>1563</v>
      </c>
      <c r="I947" t="s">
        <v>2608</v>
      </c>
    </row>
    <row r="948" spans="1:9" x14ac:dyDescent="0.2">
      <c r="A948" t="s">
        <v>2607</v>
      </c>
      <c r="D948" t="str">
        <f>HYPERLINK("http://nlpdeep.cs.uic.edu:8080/proofing/gsii/523070-critical-care-attending-addendum-0-1.pdf","gsii/523070-critical-care-attending-addendum-0-1.pdf")</f>
        <v>gsii/523070-critical-care-attending-addendum-0-1.pdf</v>
      </c>
      <c r="E948">
        <v>120842</v>
      </c>
      <c r="F948">
        <v>523070</v>
      </c>
      <c r="G948" t="s">
        <v>9</v>
      </c>
      <c r="H948" t="s">
        <v>1563</v>
      </c>
      <c r="I948" t="s">
        <v>2608</v>
      </c>
    </row>
    <row r="949" spans="1:9" x14ac:dyDescent="0.2">
      <c r="A949" t="s">
        <v>2609</v>
      </c>
      <c r="D949" t="str">
        <f>HYPERLINK("http://nlpdeep.cs.uic.edu:8080/proofing/t5/523070-critical-care-attending-addendum-0-2.pdf","t5/523070-critical-care-attending-addendum-0-2.pdf")</f>
        <v>t5/523070-critical-care-attending-addendum-0-2.pdf</v>
      </c>
      <c r="E949">
        <v>120842</v>
      </c>
      <c r="F949">
        <v>523070</v>
      </c>
      <c r="G949" t="s">
        <v>9</v>
      </c>
      <c r="H949" t="s">
        <v>1563</v>
      </c>
      <c r="I949" t="s">
        <v>2610</v>
      </c>
    </row>
    <row r="950" spans="1:9" x14ac:dyDescent="0.2">
      <c r="A950" t="s">
        <v>2609</v>
      </c>
      <c r="D950" t="str">
        <f>HYPERLINK("http://nlpdeep.cs.uic.edu:8080/proofing/gsii/523070-critical-care-attending-addendum-0-2.pdf","gsii/523070-critical-care-attending-addendum-0-2.pdf")</f>
        <v>gsii/523070-critical-care-attending-addendum-0-2.pdf</v>
      </c>
      <c r="E950">
        <v>120842</v>
      </c>
      <c r="F950">
        <v>523070</v>
      </c>
      <c r="G950" t="s">
        <v>9</v>
      </c>
      <c r="H950" t="s">
        <v>1563</v>
      </c>
      <c r="I950" t="s">
        <v>2610</v>
      </c>
    </row>
    <row r="951" spans="1:9" x14ac:dyDescent="0.2">
      <c r="A951" t="s">
        <v>2611</v>
      </c>
      <c r="D951" t="str">
        <f>HYPERLINK("http://nlpdeep.cs.uic.edu:8080/proofing/t5/523070-critical-care-attending-addendum-0-3.pdf","t5/523070-critical-care-attending-addendum-0-3.pdf")</f>
        <v>t5/523070-critical-care-attending-addendum-0-3.pdf</v>
      </c>
      <c r="E951">
        <v>120842</v>
      </c>
      <c r="F951">
        <v>523070</v>
      </c>
      <c r="G951" t="s">
        <v>9</v>
      </c>
      <c r="H951" t="s">
        <v>1563</v>
      </c>
      <c r="I951" t="s">
        <v>2612</v>
      </c>
    </row>
    <row r="952" spans="1:9" x14ac:dyDescent="0.2">
      <c r="A952" t="s">
        <v>2611</v>
      </c>
      <c r="D952" t="str">
        <f>HYPERLINK("http://nlpdeep.cs.uic.edu:8080/proofing/gsii/523070-critical-care-attending-addendum-0-3.pdf","gsii/523070-critical-care-attending-addendum-0-3.pdf")</f>
        <v>gsii/523070-critical-care-attending-addendum-0-3.pdf</v>
      </c>
      <c r="E952">
        <v>120842</v>
      </c>
      <c r="F952">
        <v>523070</v>
      </c>
      <c r="G952" t="s">
        <v>9</v>
      </c>
      <c r="H952" t="s">
        <v>1563</v>
      </c>
      <c r="I952" t="s">
        <v>2612</v>
      </c>
    </row>
    <row r="953" spans="1:9" x14ac:dyDescent="0.2">
      <c r="A953" t="s">
        <v>2613</v>
      </c>
      <c r="D953" t="str">
        <f>HYPERLINK("http://nlpdeep.cs.uic.edu:8080/proofing/t5/523070-critical-care-attending-addendum-0-4.pdf","t5/523070-critical-care-attending-addendum-0-4.pdf")</f>
        <v>t5/523070-critical-care-attending-addendum-0-4.pdf</v>
      </c>
      <c r="E953">
        <v>120842</v>
      </c>
      <c r="F953">
        <v>523070</v>
      </c>
      <c r="G953" t="s">
        <v>9</v>
      </c>
      <c r="H953" t="s">
        <v>1563</v>
      </c>
      <c r="I953" t="s">
        <v>2614</v>
      </c>
    </row>
    <row r="954" spans="1:9" x14ac:dyDescent="0.2">
      <c r="A954" t="s">
        <v>2613</v>
      </c>
      <c r="D954" t="str">
        <f>HYPERLINK("http://nlpdeep.cs.uic.edu:8080/proofing/gsii/523070-critical-care-attending-addendum-0-4.pdf","gsii/523070-critical-care-attending-addendum-0-4.pdf")</f>
        <v>gsii/523070-critical-care-attending-addendum-0-4.pdf</v>
      </c>
      <c r="E954">
        <v>120842</v>
      </c>
      <c r="F954">
        <v>523070</v>
      </c>
      <c r="G954" t="s">
        <v>9</v>
      </c>
      <c r="H954" t="s">
        <v>1563</v>
      </c>
      <c r="I954" t="s">
        <v>2614</v>
      </c>
    </row>
    <row r="955" spans="1:9" x14ac:dyDescent="0.2">
      <c r="A955" t="s">
        <v>2615</v>
      </c>
      <c r="D955" t="str">
        <f>HYPERLINK("http://nlpdeep.cs.uic.edu:8080/proofing/t5/523070-critical-care-attending-addendum-0-5.pdf","t5/523070-critical-care-attending-addendum-0-5.pdf")</f>
        <v>t5/523070-critical-care-attending-addendum-0-5.pdf</v>
      </c>
      <c r="E955">
        <v>120842</v>
      </c>
      <c r="F955">
        <v>523070</v>
      </c>
      <c r="G955" t="s">
        <v>9</v>
      </c>
      <c r="H955" t="s">
        <v>1563</v>
      </c>
      <c r="I955" t="s">
        <v>2616</v>
      </c>
    </row>
    <row r="956" spans="1:9" x14ac:dyDescent="0.2">
      <c r="A956" t="s">
        <v>2615</v>
      </c>
      <c r="D956" t="str">
        <f>HYPERLINK("http://nlpdeep.cs.uic.edu:8080/proofing/gsii/523070-critical-care-attending-addendum-0-5.pdf","gsii/523070-critical-care-attending-addendum-0-5.pdf")</f>
        <v>gsii/523070-critical-care-attending-addendum-0-5.pdf</v>
      </c>
      <c r="E956">
        <v>120842</v>
      </c>
      <c r="F956">
        <v>523070</v>
      </c>
      <c r="G956" t="s">
        <v>9</v>
      </c>
      <c r="H956" t="s">
        <v>1563</v>
      </c>
      <c r="I956" t="s">
        <v>2616</v>
      </c>
    </row>
    <row r="957" spans="1:9" x14ac:dyDescent="0.2">
      <c r="A957" t="s">
        <v>2617</v>
      </c>
      <c r="D957" t="str">
        <f>HYPERLINK("http://nlpdeep.cs.uic.edu:8080/proofing/t5/523070-critical-care-attending-addendum-0-6.pdf","t5/523070-critical-care-attending-addendum-0-6.pdf")</f>
        <v>t5/523070-critical-care-attending-addendum-0-6.pdf</v>
      </c>
      <c r="E957">
        <v>120842</v>
      </c>
      <c r="F957">
        <v>523070</v>
      </c>
      <c r="G957" t="s">
        <v>9</v>
      </c>
      <c r="H957" t="s">
        <v>1563</v>
      </c>
      <c r="I957" t="s">
        <v>2618</v>
      </c>
    </row>
    <row r="958" spans="1:9" x14ac:dyDescent="0.2">
      <c r="A958" t="s">
        <v>2617</v>
      </c>
      <c r="D958" t="str">
        <f>HYPERLINK("http://nlpdeep.cs.uic.edu:8080/proofing/gsii/523070-critical-care-attending-addendum-0-6.pdf","gsii/523070-critical-care-attending-addendum-0-6.pdf")</f>
        <v>gsii/523070-critical-care-attending-addendum-0-6.pdf</v>
      </c>
      <c r="E958">
        <v>120842</v>
      </c>
      <c r="F958">
        <v>523070</v>
      </c>
      <c r="G958" t="s">
        <v>9</v>
      </c>
      <c r="H958" t="s">
        <v>1563</v>
      </c>
      <c r="I958" t="s">
        <v>2618</v>
      </c>
    </row>
    <row r="959" spans="1:9" x14ac:dyDescent="0.2">
      <c r="A959" t="s">
        <v>2619</v>
      </c>
      <c r="D959" t="str">
        <f>HYPERLINK("http://nlpdeep.cs.uic.edu:8080/proofing/t5/523070-critical-care-attending-addendum-0-7.pdf","t5/523070-critical-care-attending-addendum-0-7.pdf")</f>
        <v>t5/523070-critical-care-attending-addendum-0-7.pdf</v>
      </c>
      <c r="E959">
        <v>120842</v>
      </c>
      <c r="F959">
        <v>523070</v>
      </c>
      <c r="G959" t="s">
        <v>9</v>
      </c>
      <c r="H959" t="s">
        <v>1563</v>
      </c>
      <c r="I959" t="s">
        <v>2620</v>
      </c>
    </row>
    <row r="960" spans="1:9" x14ac:dyDescent="0.2">
      <c r="A960" t="s">
        <v>2619</v>
      </c>
      <c r="D960" t="str">
        <f>HYPERLINK("http://nlpdeep.cs.uic.edu:8080/proofing/gsii/523070-critical-care-attending-addendum-0-7.pdf","gsii/523070-critical-care-attending-addendum-0-7.pdf")</f>
        <v>gsii/523070-critical-care-attending-addendum-0-7.pdf</v>
      </c>
      <c r="E960">
        <v>120842</v>
      </c>
      <c r="F960">
        <v>523070</v>
      </c>
      <c r="G960" t="s">
        <v>9</v>
      </c>
      <c r="H960" t="s">
        <v>1563</v>
      </c>
      <c r="I960" t="s">
        <v>2620</v>
      </c>
    </row>
    <row r="961" spans="1:9" x14ac:dyDescent="0.2">
      <c r="A961" t="s">
        <v>2621</v>
      </c>
      <c r="D961" t="str">
        <f>HYPERLINK("http://nlpdeep.cs.uic.edu:8080/proofing/t5/523070-critical-care-attending-addendum-0-8.pdf","t5/523070-critical-care-attending-addendum-0-8.pdf")</f>
        <v>t5/523070-critical-care-attending-addendum-0-8.pdf</v>
      </c>
      <c r="E961">
        <v>120842</v>
      </c>
      <c r="F961">
        <v>523070</v>
      </c>
      <c r="G961" t="s">
        <v>9</v>
      </c>
      <c r="H961" t="s">
        <v>1563</v>
      </c>
      <c r="I961" t="s">
        <v>2622</v>
      </c>
    </row>
    <row r="962" spans="1:9" x14ac:dyDescent="0.2">
      <c r="A962" t="s">
        <v>2621</v>
      </c>
      <c r="D962" t="str">
        <f>HYPERLINK("http://nlpdeep.cs.uic.edu:8080/proofing/gsii/523070-critical-care-attending-addendum-0-8.pdf","gsii/523070-critical-care-attending-addendum-0-8.pdf")</f>
        <v>gsii/523070-critical-care-attending-addendum-0-8.pdf</v>
      </c>
      <c r="E962">
        <v>120842</v>
      </c>
      <c r="F962">
        <v>523070</v>
      </c>
      <c r="G962" t="s">
        <v>9</v>
      </c>
      <c r="H962" t="s">
        <v>1563</v>
      </c>
      <c r="I962" t="s">
        <v>2622</v>
      </c>
    </row>
    <row r="963" spans="1:9" x14ac:dyDescent="0.2">
      <c r="A963" t="s">
        <v>2623</v>
      </c>
      <c r="D963" t="str">
        <f>HYPERLINK("http://nlpdeep.cs.uic.edu:8080/proofing/t5/523070-critical-care-attending-addendum-0-9.pdf","t5/523070-critical-care-attending-addendum-0-9.pdf")</f>
        <v>t5/523070-critical-care-attending-addendum-0-9.pdf</v>
      </c>
      <c r="E963">
        <v>120842</v>
      </c>
      <c r="F963">
        <v>523070</v>
      </c>
      <c r="G963" t="s">
        <v>9</v>
      </c>
      <c r="H963" t="s">
        <v>1563</v>
      </c>
      <c r="I963" t="s">
        <v>2624</v>
      </c>
    </row>
    <row r="964" spans="1:9" x14ac:dyDescent="0.2">
      <c r="A964" t="s">
        <v>2623</v>
      </c>
      <c r="D964" t="str">
        <f>HYPERLINK("http://nlpdeep.cs.uic.edu:8080/proofing/gsii/523070-critical-care-attending-addendum-0-9.pdf","gsii/523070-critical-care-attending-addendum-0-9.pdf")</f>
        <v>gsii/523070-critical-care-attending-addendum-0-9.pdf</v>
      </c>
      <c r="E964">
        <v>120842</v>
      </c>
      <c r="F964">
        <v>523070</v>
      </c>
      <c r="G964" t="s">
        <v>9</v>
      </c>
      <c r="H964" t="s">
        <v>1563</v>
      </c>
      <c r="I964" t="s">
        <v>2624</v>
      </c>
    </row>
    <row r="965" spans="1:9" x14ac:dyDescent="0.2">
      <c r="A965" t="s">
        <v>2625</v>
      </c>
      <c r="D965" t="str">
        <f>HYPERLINK("http://nlpdeep.cs.uic.edu:8080/proofing/t5/523070-critical-care-attending-addendum-0-10.pdf","t5/523070-critical-care-attending-addendum-0-10.pdf")</f>
        <v>t5/523070-critical-care-attending-addendum-0-10.pdf</v>
      </c>
      <c r="E965">
        <v>120842</v>
      </c>
      <c r="F965">
        <v>523070</v>
      </c>
      <c r="G965" t="s">
        <v>9</v>
      </c>
      <c r="H965" t="s">
        <v>1563</v>
      </c>
      <c r="I965" t="s">
        <v>2626</v>
      </c>
    </row>
    <row r="966" spans="1:9" x14ac:dyDescent="0.2">
      <c r="A966" t="s">
        <v>2625</v>
      </c>
      <c r="D966" t="str">
        <f>HYPERLINK("http://nlpdeep.cs.uic.edu:8080/proofing/gsii/523070-critical-care-attending-addendum-0-10.pdf","gsii/523070-critical-care-attending-addendum-0-10.pdf")</f>
        <v>gsii/523070-critical-care-attending-addendum-0-10.pdf</v>
      </c>
      <c r="E966">
        <v>120842</v>
      </c>
      <c r="F966">
        <v>523070</v>
      </c>
      <c r="G966" t="s">
        <v>9</v>
      </c>
      <c r="H966" t="s">
        <v>1563</v>
      </c>
      <c r="I966" t="s">
        <v>2626</v>
      </c>
    </row>
    <row r="967" spans="1:9" x14ac:dyDescent="0.2">
      <c r="A967" t="s">
        <v>2627</v>
      </c>
      <c r="D967" t="str">
        <f>HYPERLINK("http://nlpdeep.cs.uic.edu:8080/proofing/t5/523070-critical-care-attending-addendum-0-11.pdf","t5/523070-critical-care-attending-addendum-0-11.pdf")</f>
        <v>t5/523070-critical-care-attending-addendum-0-11.pdf</v>
      </c>
      <c r="E967">
        <v>120842</v>
      </c>
      <c r="F967">
        <v>523070</v>
      </c>
      <c r="G967" t="s">
        <v>9</v>
      </c>
      <c r="H967" t="s">
        <v>1563</v>
      </c>
      <c r="I967" t="s">
        <v>2628</v>
      </c>
    </row>
    <row r="968" spans="1:9" x14ac:dyDescent="0.2">
      <c r="A968" t="s">
        <v>2627</v>
      </c>
      <c r="D968" t="str">
        <f>HYPERLINK("http://nlpdeep.cs.uic.edu:8080/proofing/gsii/523070-critical-care-attending-addendum-0-11.pdf","gsii/523070-critical-care-attending-addendum-0-11.pdf")</f>
        <v>gsii/523070-critical-care-attending-addendum-0-11.pdf</v>
      </c>
      <c r="E968">
        <v>120842</v>
      </c>
      <c r="F968">
        <v>523070</v>
      </c>
      <c r="G968" t="s">
        <v>9</v>
      </c>
      <c r="H968" t="s">
        <v>1563</v>
      </c>
      <c r="I968" t="s">
        <v>2628</v>
      </c>
    </row>
    <row r="969" spans="1:9" x14ac:dyDescent="0.2">
      <c r="A969" t="s">
        <v>2629</v>
      </c>
      <c r="D969" t="str">
        <f>HYPERLINK("http://nlpdeep.cs.uic.edu:8080/proofing/t5/523070-critical-care-attending-addendum-0-12.pdf","t5/523070-critical-care-attending-addendum-0-12.pdf")</f>
        <v>t5/523070-critical-care-attending-addendum-0-12.pdf</v>
      </c>
      <c r="E969">
        <v>120842</v>
      </c>
      <c r="F969">
        <v>523070</v>
      </c>
      <c r="G969" t="s">
        <v>9</v>
      </c>
      <c r="H969" t="s">
        <v>1563</v>
      </c>
      <c r="I969" t="s">
        <v>2630</v>
      </c>
    </row>
    <row r="970" spans="1:9" x14ac:dyDescent="0.2">
      <c r="A970" t="s">
        <v>2629</v>
      </c>
      <c r="D970" t="str">
        <f>HYPERLINK("http://nlpdeep.cs.uic.edu:8080/proofing/gsii/523070-critical-care-attending-addendum-0-12.pdf","gsii/523070-critical-care-attending-addendum-0-12.pdf")</f>
        <v>gsii/523070-critical-care-attending-addendum-0-12.pdf</v>
      </c>
      <c r="E970">
        <v>120842</v>
      </c>
      <c r="F970">
        <v>523070</v>
      </c>
      <c r="G970" t="s">
        <v>9</v>
      </c>
      <c r="H970" t="s">
        <v>1563</v>
      </c>
      <c r="I970" t="s">
        <v>2630</v>
      </c>
    </row>
    <row r="971" spans="1:9" x14ac:dyDescent="0.2">
      <c r="A971" t="s">
        <v>2631</v>
      </c>
      <c r="D971" t="str">
        <f>HYPERLINK("http://nlpdeep.cs.uic.edu:8080/proofing/t5/523070-critical-care-attending-addendum-0-13.pdf","t5/523070-critical-care-attending-addendum-0-13.pdf")</f>
        <v>t5/523070-critical-care-attending-addendum-0-13.pdf</v>
      </c>
      <c r="E971">
        <v>120842</v>
      </c>
      <c r="F971">
        <v>523070</v>
      </c>
      <c r="G971" t="s">
        <v>9</v>
      </c>
      <c r="H971" t="s">
        <v>1563</v>
      </c>
      <c r="I971" t="s">
        <v>2632</v>
      </c>
    </row>
    <row r="972" spans="1:9" x14ac:dyDescent="0.2">
      <c r="A972" t="s">
        <v>2631</v>
      </c>
      <c r="D972" t="str">
        <f>HYPERLINK("http://nlpdeep.cs.uic.edu:8080/proofing/gsii/523070-critical-care-attending-addendum-0-13.pdf","gsii/523070-critical-care-attending-addendum-0-13.pdf")</f>
        <v>gsii/523070-critical-care-attending-addendum-0-13.pdf</v>
      </c>
      <c r="E972">
        <v>120842</v>
      </c>
      <c r="F972">
        <v>523070</v>
      </c>
      <c r="G972" t="s">
        <v>9</v>
      </c>
      <c r="H972" t="s">
        <v>1563</v>
      </c>
      <c r="I972" t="s">
        <v>2632</v>
      </c>
    </row>
    <row r="973" spans="1:9" x14ac:dyDescent="0.2">
      <c r="A973" t="s">
        <v>2633</v>
      </c>
      <c r="D973" t="str">
        <f>HYPERLINK("http://nlpdeep.cs.uic.edu:8080/proofing/t5/523070-critical-care-attending-addendum-0-14.pdf","t5/523070-critical-care-attending-addendum-0-14.pdf")</f>
        <v>t5/523070-critical-care-attending-addendum-0-14.pdf</v>
      </c>
      <c r="E973">
        <v>120842</v>
      </c>
      <c r="F973">
        <v>523070</v>
      </c>
      <c r="G973" t="s">
        <v>9</v>
      </c>
      <c r="H973" t="s">
        <v>1563</v>
      </c>
      <c r="I973" t="s">
        <v>2634</v>
      </c>
    </row>
    <row r="974" spans="1:9" x14ac:dyDescent="0.2">
      <c r="A974" t="s">
        <v>2633</v>
      </c>
      <c r="D974" t="str">
        <f>HYPERLINK("http://nlpdeep.cs.uic.edu:8080/proofing/gsii/523070-critical-care-attending-addendum-0-14.pdf","gsii/523070-critical-care-attending-addendum-0-14.pdf")</f>
        <v>gsii/523070-critical-care-attending-addendum-0-14.pdf</v>
      </c>
      <c r="E974">
        <v>120842</v>
      </c>
      <c r="F974">
        <v>523070</v>
      </c>
      <c r="G974" t="s">
        <v>9</v>
      </c>
      <c r="H974" t="s">
        <v>1563</v>
      </c>
      <c r="I974" t="s">
        <v>2634</v>
      </c>
    </row>
    <row r="975" spans="1:9" x14ac:dyDescent="0.2">
      <c r="A975" t="s">
        <v>2635</v>
      </c>
      <c r="D975" t="str">
        <f>HYPERLINK("http://nlpdeep.cs.uic.edu:8080/proofing/t5/523070-critical-care-attending-addendum-0-15.pdf","t5/523070-critical-care-attending-addendum-0-15.pdf")</f>
        <v>t5/523070-critical-care-attending-addendum-0-15.pdf</v>
      </c>
      <c r="E975">
        <v>120842</v>
      </c>
      <c r="F975">
        <v>523070</v>
      </c>
      <c r="G975" t="s">
        <v>9</v>
      </c>
      <c r="H975" t="s">
        <v>1563</v>
      </c>
      <c r="I975" t="s">
        <v>2636</v>
      </c>
    </row>
    <row r="976" spans="1:9" x14ac:dyDescent="0.2">
      <c r="A976" t="s">
        <v>2635</v>
      </c>
      <c r="D976" t="str">
        <f>HYPERLINK("http://nlpdeep.cs.uic.edu:8080/proofing/gsii/523070-critical-care-attending-addendum-0-15.pdf","gsii/523070-critical-care-attending-addendum-0-15.pdf")</f>
        <v>gsii/523070-critical-care-attending-addendum-0-15.pdf</v>
      </c>
      <c r="E976">
        <v>120842</v>
      </c>
      <c r="F976">
        <v>523070</v>
      </c>
      <c r="G976" t="s">
        <v>9</v>
      </c>
      <c r="H976" t="s">
        <v>1563</v>
      </c>
      <c r="I976" t="s">
        <v>2636</v>
      </c>
    </row>
    <row r="977" spans="1:9" x14ac:dyDescent="0.2">
      <c r="A977" t="s">
        <v>2637</v>
      </c>
      <c r="D977" t="str">
        <f>HYPERLINK("http://nlpdeep.cs.uic.edu:8080/proofing/t5/523070-critical-care-attending-addendum-0-16.pdf","t5/523070-critical-care-attending-addendum-0-16.pdf")</f>
        <v>t5/523070-critical-care-attending-addendum-0-16.pdf</v>
      </c>
      <c r="E977">
        <v>120842</v>
      </c>
      <c r="F977">
        <v>523070</v>
      </c>
      <c r="G977" t="s">
        <v>9</v>
      </c>
      <c r="H977" t="s">
        <v>1563</v>
      </c>
      <c r="I977" t="s">
        <v>2638</v>
      </c>
    </row>
    <row r="978" spans="1:9" x14ac:dyDescent="0.2">
      <c r="A978" t="s">
        <v>2637</v>
      </c>
      <c r="D978" t="str">
        <f>HYPERLINK("http://nlpdeep.cs.uic.edu:8080/proofing/gsii/523070-critical-care-attending-addendum-0-16.pdf","gsii/523070-critical-care-attending-addendum-0-16.pdf")</f>
        <v>gsii/523070-critical-care-attending-addendum-0-16.pdf</v>
      </c>
      <c r="E978">
        <v>120842</v>
      </c>
      <c r="F978">
        <v>523070</v>
      </c>
      <c r="G978" t="s">
        <v>9</v>
      </c>
      <c r="H978" t="s">
        <v>1563</v>
      </c>
      <c r="I978" t="s">
        <v>2638</v>
      </c>
    </row>
    <row r="979" spans="1:9" x14ac:dyDescent="0.2">
      <c r="A979" t="s">
        <v>2639</v>
      </c>
      <c r="D979" t="str">
        <f>HYPERLINK("http://nlpdeep.cs.uic.edu:8080/proofing/t5/523070-critical-care-attending-addendum-0-17.pdf","t5/523070-critical-care-attending-addendum-0-17.pdf")</f>
        <v>t5/523070-critical-care-attending-addendum-0-17.pdf</v>
      </c>
      <c r="E979">
        <v>120842</v>
      </c>
      <c r="F979">
        <v>523070</v>
      </c>
      <c r="G979" t="s">
        <v>9</v>
      </c>
      <c r="H979" t="s">
        <v>1563</v>
      </c>
      <c r="I979" t="s">
        <v>2640</v>
      </c>
    </row>
    <row r="980" spans="1:9" x14ac:dyDescent="0.2">
      <c r="A980" t="s">
        <v>2639</v>
      </c>
      <c r="D980" t="str">
        <f>HYPERLINK("http://nlpdeep.cs.uic.edu:8080/proofing/gsii/523070-critical-care-attending-addendum-0-17.pdf","gsii/523070-critical-care-attending-addendum-0-17.pdf")</f>
        <v>gsii/523070-critical-care-attending-addendum-0-17.pdf</v>
      </c>
      <c r="E980">
        <v>120842</v>
      </c>
      <c r="F980">
        <v>523070</v>
      </c>
      <c r="G980" t="s">
        <v>9</v>
      </c>
      <c r="H980" t="s">
        <v>1563</v>
      </c>
      <c r="I980" t="s">
        <v>2640</v>
      </c>
    </row>
    <row r="981" spans="1:9" x14ac:dyDescent="0.2">
      <c r="A981" t="s">
        <v>2641</v>
      </c>
      <c r="D981" t="str">
        <f>HYPERLINK("http://nlpdeep.cs.uic.edu:8080/proofing/t5/523070-critical-care-attending-addendum-0-18.pdf","t5/523070-critical-care-attending-addendum-0-18.pdf")</f>
        <v>t5/523070-critical-care-attending-addendum-0-18.pdf</v>
      </c>
      <c r="E981">
        <v>120842</v>
      </c>
      <c r="F981">
        <v>523070</v>
      </c>
      <c r="G981" t="s">
        <v>9</v>
      </c>
      <c r="H981" t="s">
        <v>1563</v>
      </c>
      <c r="I981" t="s">
        <v>2642</v>
      </c>
    </row>
    <row r="982" spans="1:9" x14ac:dyDescent="0.2">
      <c r="A982" t="s">
        <v>2641</v>
      </c>
      <c r="D982" t="str">
        <f>HYPERLINK("http://nlpdeep.cs.uic.edu:8080/proofing/gsii/523070-critical-care-attending-addendum-0-18.pdf","gsii/523070-critical-care-attending-addendum-0-18.pdf")</f>
        <v>gsii/523070-critical-care-attending-addendum-0-18.pdf</v>
      </c>
      <c r="E982">
        <v>120842</v>
      </c>
      <c r="F982">
        <v>523070</v>
      </c>
      <c r="G982" t="s">
        <v>9</v>
      </c>
      <c r="H982" t="s">
        <v>1563</v>
      </c>
      <c r="I982" t="s">
        <v>2642</v>
      </c>
    </row>
    <row r="983" spans="1:9" x14ac:dyDescent="0.2">
      <c r="A983" t="s">
        <v>2643</v>
      </c>
      <c r="D983" t="str">
        <f>HYPERLINK("http://nlpdeep.cs.uic.edu:8080/proofing/t5/523070-critical-care-attending-addendum-0-19.pdf","t5/523070-critical-care-attending-addendum-0-19.pdf")</f>
        <v>t5/523070-critical-care-attending-addendum-0-19.pdf</v>
      </c>
      <c r="E983">
        <v>120842</v>
      </c>
      <c r="F983">
        <v>523070</v>
      </c>
      <c r="G983" t="s">
        <v>9</v>
      </c>
      <c r="H983" t="s">
        <v>1563</v>
      </c>
      <c r="I983" t="s">
        <v>2644</v>
      </c>
    </row>
    <row r="984" spans="1:9" x14ac:dyDescent="0.2">
      <c r="A984" t="s">
        <v>2643</v>
      </c>
      <c r="D984" t="str">
        <f>HYPERLINK("http://nlpdeep.cs.uic.edu:8080/proofing/gsii/523070-critical-care-attending-addendum-0-19.pdf","gsii/523070-critical-care-attending-addendum-0-19.pdf")</f>
        <v>gsii/523070-critical-care-attending-addendum-0-19.pdf</v>
      </c>
      <c r="E984">
        <v>120842</v>
      </c>
      <c r="F984">
        <v>523070</v>
      </c>
      <c r="G984" t="s">
        <v>9</v>
      </c>
      <c r="H984" t="s">
        <v>1563</v>
      </c>
      <c r="I984" t="s">
        <v>2644</v>
      </c>
    </row>
    <row r="985" spans="1:9" x14ac:dyDescent="0.2">
      <c r="A985" t="s">
        <v>2645</v>
      </c>
      <c r="D985" t="str">
        <f>HYPERLINK("http://nlpdeep.cs.uic.edu:8080/proofing/t5/523070-critical-care-attending-addendum-0-20.pdf","t5/523070-critical-care-attending-addendum-0-20.pdf")</f>
        <v>t5/523070-critical-care-attending-addendum-0-20.pdf</v>
      </c>
      <c r="E985">
        <v>120842</v>
      </c>
      <c r="F985">
        <v>523070</v>
      </c>
      <c r="G985" t="s">
        <v>9</v>
      </c>
      <c r="H985" t="s">
        <v>1563</v>
      </c>
      <c r="I985" t="s">
        <v>2646</v>
      </c>
    </row>
    <row r="986" spans="1:9" x14ac:dyDescent="0.2">
      <c r="A986" t="s">
        <v>2645</v>
      </c>
      <c r="D986" t="str">
        <f>HYPERLINK("http://nlpdeep.cs.uic.edu:8080/proofing/gsii/523070-critical-care-attending-addendum-0-20.pdf","gsii/523070-critical-care-attending-addendum-0-20.pdf")</f>
        <v>gsii/523070-critical-care-attending-addendum-0-20.pdf</v>
      </c>
      <c r="E986">
        <v>120842</v>
      </c>
      <c r="F986">
        <v>523070</v>
      </c>
      <c r="G986" t="s">
        <v>9</v>
      </c>
      <c r="H986" t="s">
        <v>1563</v>
      </c>
      <c r="I986" t="s">
        <v>2646</v>
      </c>
    </row>
    <row r="987" spans="1:9" x14ac:dyDescent="0.2">
      <c r="A987" t="s">
        <v>2647</v>
      </c>
      <c r="D987" t="str">
        <f>HYPERLINK("http://nlpdeep.cs.uic.edu:8080/proofing/t5/523070-critical-care-attending-addendum-0-21.pdf","t5/523070-critical-care-attending-addendum-0-21.pdf")</f>
        <v>t5/523070-critical-care-attending-addendum-0-21.pdf</v>
      </c>
      <c r="E987">
        <v>120842</v>
      </c>
      <c r="F987">
        <v>523070</v>
      </c>
      <c r="G987" t="s">
        <v>9</v>
      </c>
      <c r="H987" t="s">
        <v>1563</v>
      </c>
      <c r="I987" t="s">
        <v>2648</v>
      </c>
    </row>
    <row r="988" spans="1:9" x14ac:dyDescent="0.2">
      <c r="A988" t="s">
        <v>2647</v>
      </c>
      <c r="D988" t="str">
        <f>HYPERLINK("http://nlpdeep.cs.uic.edu:8080/proofing/gsii/523070-critical-care-attending-addendum-0-21.pdf","gsii/523070-critical-care-attending-addendum-0-21.pdf")</f>
        <v>gsii/523070-critical-care-attending-addendum-0-21.pdf</v>
      </c>
      <c r="E988">
        <v>120842</v>
      </c>
      <c r="F988">
        <v>523070</v>
      </c>
      <c r="G988" t="s">
        <v>9</v>
      </c>
      <c r="H988" t="s">
        <v>1563</v>
      </c>
      <c r="I988" t="s">
        <v>2648</v>
      </c>
    </row>
    <row r="989" spans="1:9" x14ac:dyDescent="0.2">
      <c r="A989" t="s">
        <v>2649</v>
      </c>
      <c r="D989" t="str">
        <f>HYPERLINK("http://nlpdeep.cs.uic.edu:8080/proofing/t5/523070-critical-care-attending-addendum-0-22.pdf","t5/523070-critical-care-attending-addendum-0-22.pdf")</f>
        <v>t5/523070-critical-care-attending-addendum-0-22.pdf</v>
      </c>
      <c r="E989">
        <v>120842</v>
      </c>
      <c r="F989">
        <v>523070</v>
      </c>
      <c r="G989" t="s">
        <v>9</v>
      </c>
      <c r="H989" t="s">
        <v>1563</v>
      </c>
      <c r="I989" t="s">
        <v>2650</v>
      </c>
    </row>
    <row r="990" spans="1:9" x14ac:dyDescent="0.2">
      <c r="A990" t="s">
        <v>2649</v>
      </c>
      <c r="D990" t="str">
        <f>HYPERLINK("http://nlpdeep.cs.uic.edu:8080/proofing/gsii/523070-critical-care-attending-addendum-0-22.pdf","gsii/523070-critical-care-attending-addendum-0-22.pdf")</f>
        <v>gsii/523070-critical-care-attending-addendum-0-22.pdf</v>
      </c>
      <c r="E990">
        <v>120842</v>
      </c>
      <c r="F990">
        <v>523070</v>
      </c>
      <c r="G990" t="s">
        <v>9</v>
      </c>
      <c r="H990" t="s">
        <v>1563</v>
      </c>
      <c r="I990" t="s">
        <v>2650</v>
      </c>
    </row>
    <row r="991" spans="1:9" x14ac:dyDescent="0.2">
      <c r="A991" t="s">
        <v>2651</v>
      </c>
      <c r="D991" t="str">
        <f>HYPERLINK("http://nlpdeep.cs.uic.edu:8080/proofing/t5/523029-24-hour-events-0-0.pdf","t5/523029-24-hour-events-0-0.pdf")</f>
        <v>t5/523029-24-hour-events-0-0.pdf</v>
      </c>
      <c r="E991">
        <v>120842</v>
      </c>
      <c r="F991">
        <v>523029</v>
      </c>
      <c r="G991" t="s">
        <v>9</v>
      </c>
      <c r="H991" t="s">
        <v>538</v>
      </c>
      <c r="I991" t="s">
        <v>2652</v>
      </c>
    </row>
    <row r="992" spans="1:9" x14ac:dyDescent="0.2">
      <c r="A992" t="s">
        <v>2651</v>
      </c>
      <c r="D992" t="str">
        <f>HYPERLINK("http://nlpdeep.cs.uic.edu:8080/proofing/gsii/523029-24-hour-events-0-0.pdf","gsii/523029-24-hour-events-0-0.pdf")</f>
        <v>gsii/523029-24-hour-events-0-0.pdf</v>
      </c>
      <c r="E992">
        <v>120842</v>
      </c>
      <c r="F992">
        <v>523029</v>
      </c>
      <c r="G992" t="s">
        <v>9</v>
      </c>
      <c r="H992" t="s">
        <v>538</v>
      </c>
      <c r="I992" t="s">
        <v>2652</v>
      </c>
    </row>
    <row r="993" spans="1:9" x14ac:dyDescent="0.2">
      <c r="A993" t="s">
        <v>2653</v>
      </c>
      <c r="D993" t="str">
        <f>HYPERLINK("http://nlpdeep.cs.uic.edu:8080/proofing/t5/523029-allergies-0-0.pdf","t5/523029-allergies-0-0.pdf")</f>
        <v>t5/523029-allergies-0-0.pdf</v>
      </c>
      <c r="E993">
        <v>120842</v>
      </c>
      <c r="F993">
        <v>523029</v>
      </c>
      <c r="G993" t="s">
        <v>9</v>
      </c>
      <c r="H993" t="s">
        <v>64</v>
      </c>
      <c r="I993" t="s">
        <v>2578</v>
      </c>
    </row>
    <row r="994" spans="1:9" x14ac:dyDescent="0.2">
      <c r="A994" t="s">
        <v>2653</v>
      </c>
      <c r="D994" t="str">
        <f>HYPERLINK("http://nlpdeep.cs.uic.edu:8080/proofing/gsii/523029-allergies-0-0.pdf","gsii/523029-allergies-0-0.pdf")</f>
        <v>gsii/523029-allergies-0-0.pdf</v>
      </c>
      <c r="E994">
        <v>120842</v>
      </c>
      <c r="F994">
        <v>523029</v>
      </c>
      <c r="G994" t="s">
        <v>9</v>
      </c>
      <c r="H994" t="s">
        <v>64</v>
      </c>
      <c r="I994" t="s">
        <v>2578</v>
      </c>
    </row>
    <row r="995" spans="1:9" x14ac:dyDescent="0.2">
      <c r="A995" t="s">
        <v>2654</v>
      </c>
      <c r="D995" t="str">
        <f>HYPERLINK("http://nlpdeep.cs.uic.edu:8080/proofing/t5/523029-other-medications-0-0.pdf","t5/523029-other-medications-0-0.pdf")</f>
        <v>t5/523029-other-medications-0-0.pdf</v>
      </c>
      <c r="E995">
        <v>120842</v>
      </c>
      <c r="F995">
        <v>523029</v>
      </c>
      <c r="G995" t="s">
        <v>9</v>
      </c>
      <c r="H995" t="s">
        <v>67</v>
      </c>
      <c r="I995" t="s">
        <v>2655</v>
      </c>
    </row>
    <row r="996" spans="1:9" x14ac:dyDescent="0.2">
      <c r="A996" t="s">
        <v>2654</v>
      </c>
      <c r="D996" t="str">
        <f>HYPERLINK("http://nlpdeep.cs.uic.edu:8080/proofing/gsii/523029-other-medications-0-0.pdf","gsii/523029-other-medications-0-0.pdf")</f>
        <v>gsii/523029-other-medications-0-0.pdf</v>
      </c>
      <c r="E996">
        <v>120842</v>
      </c>
      <c r="F996">
        <v>523029</v>
      </c>
      <c r="G996" t="s">
        <v>9</v>
      </c>
      <c r="H996" t="s">
        <v>67</v>
      </c>
      <c r="I996" t="s">
        <v>2655</v>
      </c>
    </row>
    <row r="997" spans="1:9" x14ac:dyDescent="0.2">
      <c r="A997" t="s">
        <v>2656</v>
      </c>
      <c r="D997" t="str">
        <f>HYPERLINK("http://nlpdeep.cs.uic.edu:8080/proofing/t5/523029-flowsheet-data-vitals-0-0.pdf","t5/523029-flowsheet-data-vitals-0-0.pdf")</f>
        <v>t5/523029-flowsheet-data-vitals-0-0.pdf</v>
      </c>
      <c r="E997">
        <v>120842</v>
      </c>
      <c r="F997">
        <v>523029</v>
      </c>
      <c r="G997" t="s">
        <v>9</v>
      </c>
      <c r="H997" t="s">
        <v>135</v>
      </c>
      <c r="I997" t="s">
        <v>2657</v>
      </c>
    </row>
    <row r="998" spans="1:9" x14ac:dyDescent="0.2">
      <c r="A998" t="s">
        <v>2656</v>
      </c>
      <c r="D998" t="str">
        <f>HYPERLINK("http://nlpdeep.cs.uic.edu:8080/proofing/gsii/523029-flowsheet-data-vitals-0-0.pdf","gsii/523029-flowsheet-data-vitals-0-0.pdf")</f>
        <v>gsii/523029-flowsheet-data-vitals-0-0.pdf</v>
      </c>
      <c r="E998">
        <v>120842</v>
      </c>
      <c r="F998">
        <v>523029</v>
      </c>
      <c r="G998" t="s">
        <v>9</v>
      </c>
      <c r="H998" t="s">
        <v>135</v>
      </c>
      <c r="I998" t="s">
        <v>2657</v>
      </c>
    </row>
    <row r="999" spans="1:9" x14ac:dyDescent="0.2">
      <c r="A999" t="s">
        <v>2658</v>
      </c>
      <c r="D999" t="str">
        <f>HYPERLINK("http://nlpdeep.cs.uic.edu:8080/proofing/t5/523029-physical-examination-0-0.pdf","t5/523029-physical-examination-0-0.pdf")</f>
        <v>t5/523029-physical-examination-0-0.pdf</v>
      </c>
      <c r="E999">
        <v>120842</v>
      </c>
      <c r="F999">
        <v>523029</v>
      </c>
      <c r="G999" t="s">
        <v>9</v>
      </c>
      <c r="H999" t="s">
        <v>138</v>
      </c>
      <c r="I999" t="s">
        <v>2659</v>
      </c>
    </row>
    <row r="1000" spans="1:9" x14ac:dyDescent="0.2">
      <c r="A1000" t="s">
        <v>2658</v>
      </c>
      <c r="D1000" t="str">
        <f>HYPERLINK("http://nlpdeep.cs.uic.edu:8080/proofing/gsii/523029-physical-examination-0-0.pdf","gsii/523029-physical-examination-0-0.pdf")</f>
        <v>gsii/523029-physical-examination-0-0.pdf</v>
      </c>
      <c r="E1000">
        <v>120842</v>
      </c>
      <c r="F1000">
        <v>523029</v>
      </c>
      <c r="G1000" t="s">
        <v>9</v>
      </c>
      <c r="H1000" t="s">
        <v>138</v>
      </c>
      <c r="I1000" t="s">
        <v>2659</v>
      </c>
    </row>
    <row r="1001" spans="1:9" x14ac:dyDescent="0.2">
      <c r="A1001" t="s">
        <v>2660</v>
      </c>
      <c r="D1001" t="str">
        <f>HYPERLINK("http://nlpdeep.cs.uic.edu:8080/proofing/t5/523029-labs-imaging-0-0.pdf","t5/523029-labs-imaging-0-0.pdf")</f>
        <v>t5/523029-labs-imaging-0-0.pdf</v>
      </c>
      <c r="E1001">
        <v>120842</v>
      </c>
      <c r="F1001">
        <v>523029</v>
      </c>
      <c r="G1001" t="s">
        <v>9</v>
      </c>
      <c r="H1001" t="s">
        <v>147</v>
      </c>
      <c r="I1001" t="s">
        <v>2661</v>
      </c>
    </row>
    <row r="1002" spans="1:9" x14ac:dyDescent="0.2">
      <c r="A1002" t="s">
        <v>2660</v>
      </c>
      <c r="D1002" t="str">
        <f>HYPERLINK("http://nlpdeep.cs.uic.edu:8080/proofing/gsii/523029-labs-imaging-0-0.pdf","gsii/523029-labs-imaging-0-0.pdf")</f>
        <v>gsii/523029-labs-imaging-0-0.pdf</v>
      </c>
      <c r="E1002">
        <v>120842</v>
      </c>
      <c r="F1002">
        <v>523029</v>
      </c>
      <c r="G1002" t="s">
        <v>9</v>
      </c>
      <c r="H1002" t="s">
        <v>147</v>
      </c>
      <c r="I1002" t="s">
        <v>2661</v>
      </c>
    </row>
    <row r="1003" spans="1:9" x14ac:dyDescent="0.2">
      <c r="A1003" t="s">
        <v>2662</v>
      </c>
      <c r="D1003" t="str">
        <f>HYPERLINK("http://nlpdeep.cs.uic.edu:8080/proofing/t5/523029-assessment-and-plan-0-0.pdf","t5/523029-assessment-and-plan-0-0.pdf")</f>
        <v>t5/523029-assessment-and-plan-0-0.pdf</v>
      </c>
      <c r="E1003">
        <v>120842</v>
      </c>
      <c r="F1003">
        <v>523029</v>
      </c>
      <c r="G1003" t="s">
        <v>9</v>
      </c>
      <c r="H1003" t="s">
        <v>195</v>
      </c>
      <c r="I1003" t="s">
        <v>2663</v>
      </c>
    </row>
    <row r="1004" spans="1:9" x14ac:dyDescent="0.2">
      <c r="A1004" t="s">
        <v>2662</v>
      </c>
      <c r="D1004" t="str">
        <f>HYPERLINK("http://nlpdeep.cs.uic.edu:8080/proofing/gsii/523029-assessment-and-plan-0-0.pdf","gsii/523029-assessment-and-plan-0-0.pdf")</f>
        <v>gsii/523029-assessment-and-plan-0-0.pdf</v>
      </c>
      <c r="E1004">
        <v>120842</v>
      </c>
      <c r="F1004">
        <v>523029</v>
      </c>
      <c r="G1004" t="s">
        <v>9</v>
      </c>
      <c r="H1004" t="s">
        <v>195</v>
      </c>
      <c r="I1004" t="s">
        <v>2663</v>
      </c>
    </row>
    <row r="1005" spans="1:9" x14ac:dyDescent="0.2">
      <c r="A1005" t="s">
        <v>2664</v>
      </c>
      <c r="D1005" t="str">
        <f>HYPERLINK("http://nlpdeep.cs.uic.edu:8080/proofing/t5/523029-assessment-and-plan-0-1.pdf","t5/523029-assessment-and-plan-0-1.pdf")</f>
        <v>t5/523029-assessment-and-plan-0-1.pdf</v>
      </c>
      <c r="E1005">
        <v>120842</v>
      </c>
      <c r="F1005">
        <v>523029</v>
      </c>
      <c r="G1005" t="s">
        <v>9</v>
      </c>
      <c r="H1005" t="s">
        <v>195</v>
      </c>
      <c r="I1005" t="s">
        <v>2665</v>
      </c>
    </row>
    <row r="1006" spans="1:9" x14ac:dyDescent="0.2">
      <c r="A1006" t="s">
        <v>2664</v>
      </c>
      <c r="D1006" t="str">
        <f>HYPERLINK("http://nlpdeep.cs.uic.edu:8080/proofing/gsii/523029-assessment-and-plan-0-1.pdf","gsii/523029-assessment-and-plan-0-1.pdf")</f>
        <v>gsii/523029-assessment-and-plan-0-1.pdf</v>
      </c>
      <c r="E1006">
        <v>120842</v>
      </c>
      <c r="F1006">
        <v>523029</v>
      </c>
      <c r="G1006" t="s">
        <v>9</v>
      </c>
      <c r="H1006" t="s">
        <v>195</v>
      </c>
      <c r="I1006" t="s">
        <v>2665</v>
      </c>
    </row>
    <row r="1007" spans="1:9" x14ac:dyDescent="0.2">
      <c r="A1007" t="s">
        <v>2666</v>
      </c>
      <c r="D1007" t="str">
        <f>HYPERLINK("http://nlpdeep.cs.uic.edu:8080/proofing/t5/523029-assessment-and-plan-0-2.pdf","t5/523029-assessment-and-plan-0-2.pdf")</f>
        <v>t5/523029-assessment-and-plan-0-2.pdf</v>
      </c>
      <c r="E1007">
        <v>120842</v>
      </c>
      <c r="F1007">
        <v>523029</v>
      </c>
      <c r="G1007" t="s">
        <v>9</v>
      </c>
      <c r="H1007" t="s">
        <v>195</v>
      </c>
      <c r="I1007" t="s">
        <v>2667</v>
      </c>
    </row>
    <row r="1008" spans="1:9" x14ac:dyDescent="0.2">
      <c r="A1008" t="s">
        <v>2666</v>
      </c>
      <c r="D1008" t="str">
        <f>HYPERLINK("http://nlpdeep.cs.uic.edu:8080/proofing/gsii/523029-assessment-and-plan-0-2.pdf","gsii/523029-assessment-and-plan-0-2.pdf")</f>
        <v>gsii/523029-assessment-and-plan-0-2.pdf</v>
      </c>
      <c r="E1008">
        <v>120842</v>
      </c>
      <c r="F1008">
        <v>523029</v>
      </c>
      <c r="G1008" t="s">
        <v>9</v>
      </c>
      <c r="H1008" t="s">
        <v>195</v>
      </c>
      <c r="I1008" t="s">
        <v>2667</v>
      </c>
    </row>
    <row r="1009" spans="1:9" x14ac:dyDescent="0.2">
      <c r="A1009" t="s">
        <v>2668</v>
      </c>
      <c r="D1009" t="str">
        <f>HYPERLINK("http://nlpdeep.cs.uic.edu:8080/proofing/t5/523029-assessment-and-plan-0-3.pdf","t5/523029-assessment-and-plan-0-3.pdf")</f>
        <v>t5/523029-assessment-and-plan-0-3.pdf</v>
      </c>
      <c r="E1009">
        <v>120842</v>
      </c>
      <c r="F1009">
        <v>523029</v>
      </c>
      <c r="G1009" t="s">
        <v>9</v>
      </c>
      <c r="H1009" t="s">
        <v>195</v>
      </c>
      <c r="I1009" t="s">
        <v>2669</v>
      </c>
    </row>
    <row r="1010" spans="1:9" x14ac:dyDescent="0.2">
      <c r="A1010" t="s">
        <v>2668</v>
      </c>
      <c r="D1010" t="str">
        <f>HYPERLINK("http://nlpdeep.cs.uic.edu:8080/proofing/gsii/523029-assessment-and-plan-0-3.pdf","gsii/523029-assessment-and-plan-0-3.pdf")</f>
        <v>gsii/523029-assessment-and-plan-0-3.pdf</v>
      </c>
      <c r="E1010">
        <v>120842</v>
      </c>
      <c r="F1010">
        <v>523029</v>
      </c>
      <c r="G1010" t="s">
        <v>9</v>
      </c>
      <c r="H1010" t="s">
        <v>195</v>
      </c>
      <c r="I1010" t="s">
        <v>2669</v>
      </c>
    </row>
    <row r="1011" spans="1:9" x14ac:dyDescent="0.2">
      <c r="A1011" t="s">
        <v>2670</v>
      </c>
      <c r="D1011" t="str">
        <f>HYPERLINK("http://nlpdeep.cs.uic.edu:8080/proofing/t5/523029-assessment-and-plan-0-4.pdf","t5/523029-assessment-and-plan-0-4.pdf")</f>
        <v>t5/523029-assessment-and-plan-0-4.pdf</v>
      </c>
      <c r="E1011">
        <v>120842</v>
      </c>
      <c r="F1011">
        <v>523029</v>
      </c>
      <c r="G1011" t="s">
        <v>9</v>
      </c>
      <c r="H1011" t="s">
        <v>195</v>
      </c>
      <c r="I1011" t="s">
        <v>2671</v>
      </c>
    </row>
    <row r="1012" spans="1:9" x14ac:dyDescent="0.2">
      <c r="A1012" t="s">
        <v>2670</v>
      </c>
      <c r="D1012" t="str">
        <f>HYPERLINK("http://nlpdeep.cs.uic.edu:8080/proofing/gsii/523029-assessment-and-plan-0-4.pdf","gsii/523029-assessment-and-plan-0-4.pdf")</f>
        <v>gsii/523029-assessment-and-plan-0-4.pdf</v>
      </c>
      <c r="E1012">
        <v>120842</v>
      </c>
      <c r="F1012">
        <v>523029</v>
      </c>
      <c r="G1012" t="s">
        <v>9</v>
      </c>
      <c r="H1012" t="s">
        <v>195</v>
      </c>
      <c r="I1012" t="s">
        <v>2671</v>
      </c>
    </row>
    <row r="1013" spans="1:9" x14ac:dyDescent="0.2">
      <c r="A1013" t="s">
        <v>2672</v>
      </c>
      <c r="D1013" t="str">
        <f>HYPERLINK("http://nlpdeep.cs.uic.edu:8080/proofing/t5/523029-assessment-and-plan-0-5.pdf","t5/523029-assessment-and-plan-0-5.pdf")</f>
        <v>t5/523029-assessment-and-plan-0-5.pdf</v>
      </c>
      <c r="E1013">
        <v>120842</v>
      </c>
      <c r="F1013">
        <v>523029</v>
      </c>
      <c r="G1013" t="s">
        <v>9</v>
      </c>
      <c r="H1013" t="s">
        <v>195</v>
      </c>
      <c r="I1013" t="s">
        <v>2673</v>
      </c>
    </row>
    <row r="1014" spans="1:9" x14ac:dyDescent="0.2">
      <c r="A1014" t="s">
        <v>2672</v>
      </c>
      <c r="D1014" t="str">
        <f>HYPERLINK("http://nlpdeep.cs.uic.edu:8080/proofing/gsii/523029-assessment-and-plan-0-5.pdf","gsii/523029-assessment-and-plan-0-5.pdf")</f>
        <v>gsii/523029-assessment-and-plan-0-5.pdf</v>
      </c>
      <c r="E1014">
        <v>120842</v>
      </c>
      <c r="F1014">
        <v>523029</v>
      </c>
      <c r="G1014" t="s">
        <v>9</v>
      </c>
      <c r="H1014" t="s">
        <v>195</v>
      </c>
      <c r="I1014" t="s">
        <v>2673</v>
      </c>
    </row>
    <row r="1015" spans="1:9" x14ac:dyDescent="0.2">
      <c r="A1015" t="s">
        <v>2674</v>
      </c>
      <c r="D1015" t="str">
        <f>HYPERLINK("http://nlpdeep.cs.uic.edu:8080/proofing/t5/523029-assessment-and-plan-0-6.pdf","t5/523029-assessment-and-plan-0-6.pdf")</f>
        <v>t5/523029-assessment-and-plan-0-6.pdf</v>
      </c>
      <c r="E1015">
        <v>120842</v>
      </c>
      <c r="F1015">
        <v>523029</v>
      </c>
      <c r="G1015" t="s">
        <v>9</v>
      </c>
      <c r="H1015" t="s">
        <v>195</v>
      </c>
      <c r="I1015" t="s">
        <v>2675</v>
      </c>
    </row>
    <row r="1016" spans="1:9" x14ac:dyDescent="0.2">
      <c r="A1016" t="s">
        <v>2674</v>
      </c>
      <c r="D1016" t="str">
        <f>HYPERLINK("http://nlpdeep.cs.uic.edu:8080/proofing/gsii/523029-assessment-and-plan-0-6.pdf","gsii/523029-assessment-and-plan-0-6.pdf")</f>
        <v>gsii/523029-assessment-and-plan-0-6.pdf</v>
      </c>
      <c r="E1016">
        <v>120842</v>
      </c>
      <c r="F1016">
        <v>523029</v>
      </c>
      <c r="G1016" t="s">
        <v>9</v>
      </c>
      <c r="H1016" t="s">
        <v>195</v>
      </c>
      <c r="I1016" t="s">
        <v>2675</v>
      </c>
    </row>
    <row r="1017" spans="1:9" x14ac:dyDescent="0.2">
      <c r="A1017" t="s">
        <v>2676</v>
      </c>
      <c r="D1017" t="str">
        <f>HYPERLINK("http://nlpdeep.cs.uic.edu:8080/proofing/t5/523029-assessment-and-plan-0-7.pdf","t5/523029-assessment-and-plan-0-7.pdf")</f>
        <v>t5/523029-assessment-and-plan-0-7.pdf</v>
      </c>
      <c r="E1017">
        <v>120842</v>
      </c>
      <c r="F1017">
        <v>523029</v>
      </c>
      <c r="G1017" t="s">
        <v>9</v>
      </c>
      <c r="H1017" t="s">
        <v>195</v>
      </c>
      <c r="I1017" t="s">
        <v>2677</v>
      </c>
    </row>
    <row r="1018" spans="1:9" x14ac:dyDescent="0.2">
      <c r="A1018" t="s">
        <v>2676</v>
      </c>
      <c r="D1018" t="str">
        <f>HYPERLINK("http://nlpdeep.cs.uic.edu:8080/proofing/gsii/523029-assessment-and-plan-0-7.pdf","gsii/523029-assessment-and-plan-0-7.pdf")</f>
        <v>gsii/523029-assessment-and-plan-0-7.pdf</v>
      </c>
      <c r="E1018">
        <v>120842</v>
      </c>
      <c r="F1018">
        <v>523029</v>
      </c>
      <c r="G1018" t="s">
        <v>9</v>
      </c>
      <c r="H1018" t="s">
        <v>195</v>
      </c>
      <c r="I1018" t="s">
        <v>2677</v>
      </c>
    </row>
    <row r="1019" spans="1:9" x14ac:dyDescent="0.2">
      <c r="A1019" t="s">
        <v>2678</v>
      </c>
      <c r="D1019" t="str">
        <f>HYPERLINK("http://nlpdeep.cs.uic.edu:8080/proofing/t5/523029-assessment-and-plan-0-8.pdf","t5/523029-assessment-and-plan-0-8.pdf")</f>
        <v>t5/523029-assessment-and-plan-0-8.pdf</v>
      </c>
      <c r="E1019">
        <v>120842</v>
      </c>
      <c r="F1019">
        <v>523029</v>
      </c>
      <c r="G1019" t="s">
        <v>9</v>
      </c>
      <c r="H1019" t="s">
        <v>195</v>
      </c>
      <c r="I1019" t="s">
        <v>2679</v>
      </c>
    </row>
    <row r="1020" spans="1:9" x14ac:dyDescent="0.2">
      <c r="A1020" t="s">
        <v>2678</v>
      </c>
      <c r="D1020" t="str">
        <f>HYPERLINK("http://nlpdeep.cs.uic.edu:8080/proofing/gsii/523029-assessment-and-plan-0-8.pdf","gsii/523029-assessment-and-plan-0-8.pdf")</f>
        <v>gsii/523029-assessment-and-plan-0-8.pdf</v>
      </c>
      <c r="E1020">
        <v>120842</v>
      </c>
      <c r="F1020">
        <v>523029</v>
      </c>
      <c r="G1020" t="s">
        <v>9</v>
      </c>
      <c r="H1020" t="s">
        <v>195</v>
      </c>
      <c r="I1020" t="s">
        <v>2679</v>
      </c>
    </row>
    <row r="1021" spans="1:9" x14ac:dyDescent="0.2">
      <c r="A1021" t="s">
        <v>2680</v>
      </c>
      <c r="D1021" t="str">
        <f>HYPERLINK("http://nlpdeep.cs.uic.edu:8080/proofing/t5/523029-assessment-and-plan-0-9.pdf","t5/523029-assessment-and-plan-0-9.pdf")</f>
        <v>t5/523029-assessment-and-plan-0-9.pdf</v>
      </c>
      <c r="E1021">
        <v>120842</v>
      </c>
      <c r="F1021">
        <v>523029</v>
      </c>
      <c r="G1021" t="s">
        <v>9</v>
      </c>
      <c r="H1021" t="s">
        <v>195</v>
      </c>
      <c r="I1021" t="s">
        <v>2681</v>
      </c>
    </row>
    <row r="1022" spans="1:9" x14ac:dyDescent="0.2">
      <c r="A1022" t="s">
        <v>2680</v>
      </c>
      <c r="D1022" t="str">
        <f>HYPERLINK("http://nlpdeep.cs.uic.edu:8080/proofing/gsii/523029-assessment-and-plan-0-9.pdf","gsii/523029-assessment-and-plan-0-9.pdf")</f>
        <v>gsii/523029-assessment-and-plan-0-9.pdf</v>
      </c>
      <c r="E1022">
        <v>120842</v>
      </c>
      <c r="F1022">
        <v>523029</v>
      </c>
      <c r="G1022" t="s">
        <v>9</v>
      </c>
      <c r="H1022" t="s">
        <v>195</v>
      </c>
      <c r="I1022" t="s">
        <v>2681</v>
      </c>
    </row>
    <row r="1023" spans="1:9" x14ac:dyDescent="0.2">
      <c r="A1023" t="s">
        <v>2682</v>
      </c>
      <c r="D1023" t="str">
        <f>HYPERLINK("http://nlpdeep.cs.uic.edu:8080/proofing/t5/523029-assessment-and-plan-0-10.pdf","t5/523029-assessment-and-plan-0-10.pdf")</f>
        <v>t5/523029-assessment-and-plan-0-10.pdf</v>
      </c>
      <c r="E1023">
        <v>120842</v>
      </c>
      <c r="F1023">
        <v>523029</v>
      </c>
      <c r="G1023" t="s">
        <v>9</v>
      </c>
      <c r="H1023" t="s">
        <v>195</v>
      </c>
    </row>
    <row r="1024" spans="1:9" x14ac:dyDescent="0.2">
      <c r="A1024" t="s">
        <v>2682</v>
      </c>
      <c r="D1024" t="str">
        <f>HYPERLINK("http://nlpdeep.cs.uic.edu:8080/proofing/gsii/523029-assessment-and-plan-0-10.pdf","gsii/523029-assessment-and-plan-0-10.pdf")</f>
        <v>gsii/523029-assessment-and-plan-0-10.pdf</v>
      </c>
      <c r="E1024">
        <v>120842</v>
      </c>
      <c r="F1024">
        <v>523029</v>
      </c>
      <c r="G1024" t="s">
        <v>9</v>
      </c>
      <c r="H1024" t="s">
        <v>195</v>
      </c>
    </row>
    <row r="1025" spans="1:9" x14ac:dyDescent="0.2">
      <c r="A1025" t="s">
        <v>2683</v>
      </c>
      <c r="D1025" t="str">
        <f>HYPERLINK("http://nlpdeep.cs.uic.edu:8080/proofing/t5/523029-assessment-and-plan-1-0.pdf","t5/523029-assessment-and-plan-1-0.pdf")</f>
        <v>t5/523029-assessment-and-plan-1-0.pdf</v>
      </c>
      <c r="E1025">
        <v>120842</v>
      </c>
      <c r="F1025">
        <v>523029</v>
      </c>
      <c r="G1025" t="s">
        <v>9</v>
      </c>
      <c r="H1025" t="s">
        <v>195</v>
      </c>
      <c r="I1025" t="s">
        <v>2684</v>
      </c>
    </row>
    <row r="1026" spans="1:9" x14ac:dyDescent="0.2">
      <c r="A1026" t="s">
        <v>2683</v>
      </c>
      <c r="D1026" t="str">
        <f>HYPERLINK("http://nlpdeep.cs.uic.edu:8080/proofing/gsii/523029-assessment-and-plan-1-0.pdf","gsii/523029-assessment-and-plan-1-0.pdf")</f>
        <v>gsii/523029-assessment-and-plan-1-0.pdf</v>
      </c>
      <c r="E1026">
        <v>120842</v>
      </c>
      <c r="F1026">
        <v>523029</v>
      </c>
      <c r="G1026" t="s">
        <v>9</v>
      </c>
      <c r="H1026" t="s">
        <v>195</v>
      </c>
      <c r="I1026" t="s">
        <v>2684</v>
      </c>
    </row>
    <row r="1027" spans="1:9" x14ac:dyDescent="0.2">
      <c r="A1027" t="s">
        <v>2685</v>
      </c>
      <c r="D1027" t="str">
        <f>HYPERLINK("http://nlpdeep.cs.uic.edu:8080/proofing/t5/523029-assessment-and-plan-1-1.pdf","t5/523029-assessment-and-plan-1-1.pdf")</f>
        <v>t5/523029-assessment-and-plan-1-1.pdf</v>
      </c>
      <c r="E1027">
        <v>120842</v>
      </c>
      <c r="F1027">
        <v>523029</v>
      </c>
      <c r="G1027" t="s">
        <v>9</v>
      </c>
      <c r="H1027" t="s">
        <v>195</v>
      </c>
      <c r="I1027" t="s">
        <v>2686</v>
      </c>
    </row>
    <row r="1028" spans="1:9" x14ac:dyDescent="0.2">
      <c r="A1028" t="s">
        <v>2685</v>
      </c>
      <c r="D1028" t="str">
        <f>HYPERLINK("http://nlpdeep.cs.uic.edu:8080/proofing/gsii/523029-assessment-and-plan-1-1.pdf","gsii/523029-assessment-and-plan-1-1.pdf")</f>
        <v>gsii/523029-assessment-and-plan-1-1.pdf</v>
      </c>
      <c r="E1028">
        <v>120842</v>
      </c>
      <c r="F1028">
        <v>523029</v>
      </c>
      <c r="G1028" t="s">
        <v>9</v>
      </c>
      <c r="H1028" t="s">
        <v>195</v>
      </c>
      <c r="I1028" t="s">
        <v>2686</v>
      </c>
    </row>
    <row r="1029" spans="1:9" x14ac:dyDescent="0.2">
      <c r="A1029" t="s">
        <v>2687</v>
      </c>
      <c r="D1029" t="str">
        <f>HYPERLINK("http://nlpdeep.cs.uic.edu:8080/proofing/t5/523029-assessment-and-plan-1-2.pdf","t5/523029-assessment-and-plan-1-2.pdf")</f>
        <v>t5/523029-assessment-and-plan-1-2.pdf</v>
      </c>
      <c r="E1029">
        <v>120842</v>
      </c>
      <c r="F1029">
        <v>523029</v>
      </c>
      <c r="G1029" t="s">
        <v>9</v>
      </c>
      <c r="H1029" t="s">
        <v>195</v>
      </c>
      <c r="I1029" t="s">
        <v>2688</v>
      </c>
    </row>
    <row r="1030" spans="1:9" x14ac:dyDescent="0.2">
      <c r="A1030" t="s">
        <v>2687</v>
      </c>
      <c r="D1030" t="str">
        <f>HYPERLINK("http://nlpdeep.cs.uic.edu:8080/proofing/gsii/523029-assessment-and-plan-1-2.pdf","gsii/523029-assessment-and-plan-1-2.pdf")</f>
        <v>gsii/523029-assessment-and-plan-1-2.pdf</v>
      </c>
      <c r="E1030">
        <v>120842</v>
      </c>
      <c r="F1030">
        <v>523029</v>
      </c>
      <c r="G1030" t="s">
        <v>9</v>
      </c>
      <c r="H1030" t="s">
        <v>195</v>
      </c>
      <c r="I1030" t="s">
        <v>2688</v>
      </c>
    </row>
    <row r="1031" spans="1:9" x14ac:dyDescent="0.2">
      <c r="A1031" t="s">
        <v>2689</v>
      </c>
      <c r="D1031" t="str">
        <f>HYPERLINK("http://nlpdeep.cs.uic.edu:8080/proofing/t5/523029-assessment-and-plan-1-3.pdf","t5/523029-assessment-and-plan-1-3.pdf")</f>
        <v>t5/523029-assessment-and-plan-1-3.pdf</v>
      </c>
      <c r="E1031">
        <v>120842</v>
      </c>
      <c r="F1031">
        <v>523029</v>
      </c>
      <c r="G1031" t="s">
        <v>9</v>
      </c>
      <c r="H1031" t="s">
        <v>195</v>
      </c>
      <c r="I1031" t="s">
        <v>2690</v>
      </c>
    </row>
    <row r="1032" spans="1:9" x14ac:dyDescent="0.2">
      <c r="A1032" t="s">
        <v>2689</v>
      </c>
      <c r="D1032" t="str">
        <f>HYPERLINK("http://nlpdeep.cs.uic.edu:8080/proofing/gsii/523029-assessment-and-plan-1-3.pdf","gsii/523029-assessment-and-plan-1-3.pdf")</f>
        <v>gsii/523029-assessment-and-plan-1-3.pdf</v>
      </c>
      <c r="E1032">
        <v>120842</v>
      </c>
      <c r="F1032">
        <v>523029</v>
      </c>
      <c r="G1032" t="s">
        <v>9</v>
      </c>
      <c r="H1032" t="s">
        <v>195</v>
      </c>
      <c r="I1032" t="s">
        <v>2690</v>
      </c>
    </row>
    <row r="1033" spans="1:9" x14ac:dyDescent="0.2">
      <c r="A1033" t="s">
        <v>2691</v>
      </c>
      <c r="D1033" t="str">
        <f>HYPERLINK("http://nlpdeep.cs.uic.edu:8080/proofing/t5/523029-assessment-and-plan-1-4.pdf","t5/523029-assessment-and-plan-1-4.pdf")</f>
        <v>t5/523029-assessment-and-plan-1-4.pdf</v>
      </c>
      <c r="E1033">
        <v>120842</v>
      </c>
      <c r="F1033">
        <v>523029</v>
      </c>
      <c r="G1033" t="s">
        <v>9</v>
      </c>
      <c r="H1033" t="s">
        <v>195</v>
      </c>
      <c r="I1033" t="s">
        <v>2692</v>
      </c>
    </row>
    <row r="1034" spans="1:9" x14ac:dyDescent="0.2">
      <c r="A1034" t="s">
        <v>2691</v>
      </c>
      <c r="D1034" t="str">
        <f>HYPERLINK("http://nlpdeep.cs.uic.edu:8080/proofing/gsii/523029-assessment-and-plan-1-4.pdf","gsii/523029-assessment-and-plan-1-4.pdf")</f>
        <v>gsii/523029-assessment-and-plan-1-4.pdf</v>
      </c>
      <c r="E1034">
        <v>120842</v>
      </c>
      <c r="F1034">
        <v>523029</v>
      </c>
      <c r="G1034" t="s">
        <v>9</v>
      </c>
      <c r="H1034" t="s">
        <v>195</v>
      </c>
      <c r="I1034" t="s">
        <v>2692</v>
      </c>
    </row>
    <row r="1035" spans="1:9" x14ac:dyDescent="0.2">
      <c r="A1035" t="s">
        <v>2693</v>
      </c>
      <c r="D1035" t="str">
        <f>HYPERLINK("http://nlpdeep.cs.uic.edu:8080/proofing/t5/523029-assessment-and-plan-1-5.pdf","t5/523029-assessment-and-plan-1-5.pdf")</f>
        <v>t5/523029-assessment-and-plan-1-5.pdf</v>
      </c>
      <c r="E1035">
        <v>120842</v>
      </c>
      <c r="F1035">
        <v>523029</v>
      </c>
      <c r="G1035" t="s">
        <v>9</v>
      </c>
      <c r="H1035" t="s">
        <v>195</v>
      </c>
      <c r="I1035" t="s">
        <v>2694</v>
      </c>
    </row>
    <row r="1036" spans="1:9" x14ac:dyDescent="0.2">
      <c r="A1036" t="s">
        <v>2693</v>
      </c>
      <c r="D1036" t="str">
        <f>HYPERLINK("http://nlpdeep.cs.uic.edu:8080/proofing/gsii/523029-assessment-and-plan-1-5.pdf","gsii/523029-assessment-and-plan-1-5.pdf")</f>
        <v>gsii/523029-assessment-and-plan-1-5.pdf</v>
      </c>
      <c r="E1036">
        <v>120842</v>
      </c>
      <c r="F1036">
        <v>523029</v>
      </c>
      <c r="G1036" t="s">
        <v>9</v>
      </c>
      <c r="H1036" t="s">
        <v>195</v>
      </c>
      <c r="I1036" t="s">
        <v>2694</v>
      </c>
    </row>
    <row r="1037" spans="1:9" x14ac:dyDescent="0.2">
      <c r="A1037" t="s">
        <v>2695</v>
      </c>
      <c r="D1037" t="str">
        <f>HYPERLINK("http://nlpdeep.cs.uic.edu:8080/proofing/t5/523029-assessment-and-plan-1-6.pdf","t5/523029-assessment-and-plan-1-6.pdf")</f>
        <v>t5/523029-assessment-and-plan-1-6.pdf</v>
      </c>
      <c r="E1037">
        <v>120842</v>
      </c>
      <c r="F1037">
        <v>523029</v>
      </c>
      <c r="G1037" t="s">
        <v>9</v>
      </c>
      <c r="H1037" t="s">
        <v>195</v>
      </c>
      <c r="I1037" t="s">
        <v>2696</v>
      </c>
    </row>
    <row r="1038" spans="1:9" x14ac:dyDescent="0.2">
      <c r="A1038" t="s">
        <v>2695</v>
      </c>
      <c r="D1038" t="str">
        <f>HYPERLINK("http://nlpdeep.cs.uic.edu:8080/proofing/gsii/523029-assessment-and-plan-1-6.pdf","gsii/523029-assessment-and-plan-1-6.pdf")</f>
        <v>gsii/523029-assessment-and-plan-1-6.pdf</v>
      </c>
      <c r="E1038">
        <v>120842</v>
      </c>
      <c r="F1038">
        <v>523029</v>
      </c>
      <c r="G1038" t="s">
        <v>9</v>
      </c>
      <c r="H1038" t="s">
        <v>195</v>
      </c>
      <c r="I1038" t="s">
        <v>2696</v>
      </c>
    </row>
    <row r="1039" spans="1:9" x14ac:dyDescent="0.2">
      <c r="A1039" t="s">
        <v>2697</v>
      </c>
      <c r="D1039" t="str">
        <f>HYPERLINK("http://nlpdeep.cs.uic.edu:8080/proofing/t5/523029-assessment-and-plan-1-7.pdf","t5/523029-assessment-and-plan-1-7.pdf")</f>
        <v>t5/523029-assessment-and-plan-1-7.pdf</v>
      </c>
      <c r="E1039">
        <v>120842</v>
      </c>
      <c r="F1039">
        <v>523029</v>
      </c>
      <c r="G1039" t="s">
        <v>9</v>
      </c>
      <c r="H1039" t="s">
        <v>195</v>
      </c>
      <c r="I1039" t="s">
        <v>2698</v>
      </c>
    </row>
    <row r="1040" spans="1:9" x14ac:dyDescent="0.2">
      <c r="A1040" t="s">
        <v>2697</v>
      </c>
      <c r="D1040" t="str">
        <f>HYPERLINK("http://nlpdeep.cs.uic.edu:8080/proofing/gsii/523029-assessment-and-plan-1-7.pdf","gsii/523029-assessment-and-plan-1-7.pdf")</f>
        <v>gsii/523029-assessment-and-plan-1-7.pdf</v>
      </c>
      <c r="E1040">
        <v>120842</v>
      </c>
      <c r="F1040">
        <v>523029</v>
      </c>
      <c r="G1040" t="s">
        <v>9</v>
      </c>
      <c r="H1040" t="s">
        <v>195</v>
      </c>
      <c r="I1040" t="s">
        <v>2698</v>
      </c>
    </row>
    <row r="1041" spans="1:9" x14ac:dyDescent="0.2">
      <c r="A1041" t="s">
        <v>2699</v>
      </c>
      <c r="D1041" t="str">
        <f>HYPERLINK("http://nlpdeep.cs.uic.edu:8080/proofing/t5/523029-assessment-and-plan-1-8.pdf","t5/523029-assessment-and-plan-1-8.pdf")</f>
        <v>t5/523029-assessment-and-plan-1-8.pdf</v>
      </c>
      <c r="E1041">
        <v>120842</v>
      </c>
      <c r="F1041">
        <v>523029</v>
      </c>
      <c r="G1041" t="s">
        <v>9</v>
      </c>
      <c r="H1041" t="s">
        <v>195</v>
      </c>
      <c r="I1041" t="s">
        <v>2700</v>
      </c>
    </row>
    <row r="1042" spans="1:9" x14ac:dyDescent="0.2">
      <c r="A1042" t="s">
        <v>2699</v>
      </c>
      <c r="D1042" t="str">
        <f>HYPERLINK("http://nlpdeep.cs.uic.edu:8080/proofing/gsii/523029-assessment-and-plan-1-8.pdf","gsii/523029-assessment-and-plan-1-8.pdf")</f>
        <v>gsii/523029-assessment-and-plan-1-8.pdf</v>
      </c>
      <c r="E1042">
        <v>120842</v>
      </c>
      <c r="F1042">
        <v>523029</v>
      </c>
      <c r="G1042" t="s">
        <v>9</v>
      </c>
      <c r="H1042" t="s">
        <v>195</v>
      </c>
      <c r="I1042" t="s">
        <v>2700</v>
      </c>
    </row>
    <row r="1043" spans="1:9" x14ac:dyDescent="0.2">
      <c r="A1043" t="s">
        <v>2701</v>
      </c>
      <c r="D1043" t="str">
        <f>HYPERLINK("http://nlpdeep.cs.uic.edu:8080/proofing/t5/523029-assessment-and-plan-1-9.pdf","t5/523029-assessment-and-plan-1-9.pdf")</f>
        <v>t5/523029-assessment-and-plan-1-9.pdf</v>
      </c>
      <c r="E1043">
        <v>120842</v>
      </c>
      <c r="F1043">
        <v>523029</v>
      </c>
      <c r="G1043" t="s">
        <v>9</v>
      </c>
      <c r="H1043" t="s">
        <v>195</v>
      </c>
      <c r="I1043" t="s">
        <v>2702</v>
      </c>
    </row>
    <row r="1044" spans="1:9" x14ac:dyDescent="0.2">
      <c r="A1044" t="s">
        <v>2701</v>
      </c>
      <c r="D1044" t="str">
        <f>HYPERLINK("http://nlpdeep.cs.uic.edu:8080/proofing/gsii/523029-assessment-and-plan-1-9.pdf","gsii/523029-assessment-and-plan-1-9.pdf")</f>
        <v>gsii/523029-assessment-and-plan-1-9.pdf</v>
      </c>
      <c r="E1044">
        <v>120842</v>
      </c>
      <c r="F1044">
        <v>523029</v>
      </c>
      <c r="G1044" t="s">
        <v>9</v>
      </c>
      <c r="H1044" t="s">
        <v>195</v>
      </c>
      <c r="I1044" t="s">
        <v>2702</v>
      </c>
    </row>
    <row r="1045" spans="1:9" x14ac:dyDescent="0.2">
      <c r="A1045" t="s">
        <v>2703</v>
      </c>
      <c r="D1045" t="str">
        <f>HYPERLINK("http://nlpdeep.cs.uic.edu:8080/proofing/t5/523029-assessment-and-plan-1-10.pdf","t5/523029-assessment-and-plan-1-10.pdf")</f>
        <v>t5/523029-assessment-and-plan-1-10.pdf</v>
      </c>
      <c r="E1045">
        <v>120842</v>
      </c>
      <c r="F1045">
        <v>523029</v>
      </c>
      <c r="G1045" t="s">
        <v>9</v>
      </c>
      <c r="H1045" t="s">
        <v>195</v>
      </c>
      <c r="I1045" t="s">
        <v>2704</v>
      </c>
    </row>
    <row r="1046" spans="1:9" x14ac:dyDescent="0.2">
      <c r="A1046" t="s">
        <v>2703</v>
      </c>
      <c r="D1046" t="str">
        <f>HYPERLINK("http://nlpdeep.cs.uic.edu:8080/proofing/gsii/523029-assessment-and-plan-1-10.pdf","gsii/523029-assessment-and-plan-1-10.pdf")</f>
        <v>gsii/523029-assessment-and-plan-1-10.pdf</v>
      </c>
      <c r="E1046">
        <v>120842</v>
      </c>
      <c r="F1046">
        <v>523029</v>
      </c>
      <c r="G1046" t="s">
        <v>9</v>
      </c>
      <c r="H1046" t="s">
        <v>195</v>
      </c>
      <c r="I1046" t="s">
        <v>2704</v>
      </c>
    </row>
    <row r="1047" spans="1:9" x14ac:dyDescent="0.2">
      <c r="A1047" t="s">
        <v>2705</v>
      </c>
      <c r="D1047" t="str">
        <f>HYPERLINK("http://nlpdeep.cs.uic.edu:8080/proofing/t5/523029-assessment-and-plan-1-11.pdf","t5/523029-assessment-and-plan-1-11.pdf")</f>
        <v>t5/523029-assessment-and-plan-1-11.pdf</v>
      </c>
      <c r="E1047">
        <v>120842</v>
      </c>
      <c r="F1047">
        <v>523029</v>
      </c>
      <c r="G1047" t="s">
        <v>9</v>
      </c>
      <c r="H1047" t="s">
        <v>195</v>
      </c>
      <c r="I1047" t="s">
        <v>2706</v>
      </c>
    </row>
    <row r="1048" spans="1:9" x14ac:dyDescent="0.2">
      <c r="A1048" t="s">
        <v>2705</v>
      </c>
      <c r="D1048" t="str">
        <f>HYPERLINK("http://nlpdeep.cs.uic.edu:8080/proofing/gsii/523029-assessment-and-plan-1-11.pdf","gsii/523029-assessment-and-plan-1-11.pdf")</f>
        <v>gsii/523029-assessment-and-plan-1-11.pdf</v>
      </c>
      <c r="E1048">
        <v>120842</v>
      </c>
      <c r="F1048">
        <v>523029</v>
      </c>
      <c r="G1048" t="s">
        <v>9</v>
      </c>
      <c r="H1048" t="s">
        <v>195</v>
      </c>
      <c r="I1048" t="s">
        <v>2706</v>
      </c>
    </row>
    <row r="1049" spans="1:9" x14ac:dyDescent="0.2">
      <c r="A1049" t="s">
        <v>2707</v>
      </c>
      <c r="D1049" t="str">
        <f>HYPERLINK("http://nlpdeep.cs.uic.edu:8080/proofing/t5/523029-assessment-and-plan-2-0.pdf","t5/523029-assessment-and-plan-2-0.pdf")</f>
        <v>t5/523029-assessment-and-plan-2-0.pdf</v>
      </c>
      <c r="E1049">
        <v>120842</v>
      </c>
      <c r="F1049">
        <v>523029</v>
      </c>
      <c r="G1049" t="s">
        <v>9</v>
      </c>
      <c r="H1049" t="s">
        <v>195</v>
      </c>
      <c r="I1049" t="s">
        <v>2708</v>
      </c>
    </row>
    <row r="1050" spans="1:9" x14ac:dyDescent="0.2">
      <c r="A1050" t="s">
        <v>2707</v>
      </c>
      <c r="D1050" t="str">
        <f>HYPERLINK("http://nlpdeep.cs.uic.edu:8080/proofing/gsii/523029-assessment-and-plan-2-0.pdf","gsii/523029-assessment-and-plan-2-0.pdf")</f>
        <v>gsii/523029-assessment-and-plan-2-0.pdf</v>
      </c>
      <c r="E1050">
        <v>120842</v>
      </c>
      <c r="F1050">
        <v>523029</v>
      </c>
      <c r="G1050" t="s">
        <v>9</v>
      </c>
      <c r="H1050" t="s">
        <v>195</v>
      </c>
      <c r="I1050" t="s">
        <v>2708</v>
      </c>
    </row>
    <row r="1051" spans="1:9" x14ac:dyDescent="0.2">
      <c r="A1051" t="s">
        <v>2709</v>
      </c>
      <c r="D1051" t="str">
        <f>HYPERLINK("http://nlpdeep.cs.uic.edu:8080/proofing/t5/523029-assessment-and-plan-2-1.pdf","t5/523029-assessment-and-plan-2-1.pdf")</f>
        <v>t5/523029-assessment-and-plan-2-1.pdf</v>
      </c>
      <c r="E1051">
        <v>120842</v>
      </c>
      <c r="F1051">
        <v>523029</v>
      </c>
      <c r="G1051" t="s">
        <v>9</v>
      </c>
      <c r="H1051" t="s">
        <v>195</v>
      </c>
      <c r="I1051" t="s">
        <v>2710</v>
      </c>
    </row>
    <row r="1052" spans="1:9" x14ac:dyDescent="0.2">
      <c r="A1052" t="s">
        <v>2709</v>
      </c>
      <c r="D1052" t="str">
        <f>HYPERLINK("http://nlpdeep.cs.uic.edu:8080/proofing/gsii/523029-assessment-and-plan-2-1.pdf","gsii/523029-assessment-and-plan-2-1.pdf")</f>
        <v>gsii/523029-assessment-and-plan-2-1.pdf</v>
      </c>
      <c r="E1052">
        <v>120842</v>
      </c>
      <c r="F1052">
        <v>523029</v>
      </c>
      <c r="G1052" t="s">
        <v>9</v>
      </c>
      <c r="H1052" t="s">
        <v>195</v>
      </c>
      <c r="I1052" t="s">
        <v>2710</v>
      </c>
    </row>
    <row r="1053" spans="1:9" x14ac:dyDescent="0.2">
      <c r="A1053" t="s">
        <v>2711</v>
      </c>
      <c r="D1053" t="str">
        <f>HYPERLINK("http://nlpdeep.cs.uic.edu:8080/proofing/t5/523029-assessment-and-plan-3-0.pdf","t5/523029-assessment-and-plan-3-0.pdf")</f>
        <v>t5/523029-assessment-and-plan-3-0.pdf</v>
      </c>
      <c r="E1053">
        <v>120842</v>
      </c>
      <c r="F1053">
        <v>523029</v>
      </c>
      <c r="G1053" t="s">
        <v>9</v>
      </c>
      <c r="H1053" t="s">
        <v>195</v>
      </c>
      <c r="I1053" t="s">
        <v>2712</v>
      </c>
    </row>
    <row r="1054" spans="1:9" x14ac:dyDescent="0.2">
      <c r="A1054" t="s">
        <v>2711</v>
      </c>
      <c r="D1054" t="str">
        <f>HYPERLINK("http://nlpdeep.cs.uic.edu:8080/proofing/gsii/523029-assessment-and-plan-3-0.pdf","gsii/523029-assessment-and-plan-3-0.pdf")</f>
        <v>gsii/523029-assessment-and-plan-3-0.pdf</v>
      </c>
      <c r="E1054">
        <v>120842</v>
      </c>
      <c r="F1054">
        <v>523029</v>
      </c>
      <c r="G1054" t="s">
        <v>9</v>
      </c>
      <c r="H1054" t="s">
        <v>195</v>
      </c>
      <c r="I1054" t="s">
        <v>2712</v>
      </c>
    </row>
    <row r="1055" spans="1:9" x14ac:dyDescent="0.2">
      <c r="A1055" t="s">
        <v>2713</v>
      </c>
      <c r="D1055" t="str">
        <f>HYPERLINK("http://nlpdeep.cs.uic.edu:8080/proofing/t5/523029-assessment-and-plan-3-1.pdf","t5/523029-assessment-and-plan-3-1.pdf")</f>
        <v>t5/523029-assessment-and-plan-3-1.pdf</v>
      </c>
      <c r="E1055">
        <v>120842</v>
      </c>
      <c r="F1055">
        <v>523029</v>
      </c>
      <c r="G1055" t="s">
        <v>9</v>
      </c>
      <c r="H1055" t="s">
        <v>195</v>
      </c>
      <c r="I1055" t="s">
        <v>2714</v>
      </c>
    </row>
    <row r="1056" spans="1:9" x14ac:dyDescent="0.2">
      <c r="A1056" t="s">
        <v>2713</v>
      </c>
      <c r="D1056" t="str">
        <f>HYPERLINK("http://nlpdeep.cs.uic.edu:8080/proofing/gsii/523029-assessment-and-plan-3-1.pdf","gsii/523029-assessment-and-plan-3-1.pdf")</f>
        <v>gsii/523029-assessment-and-plan-3-1.pdf</v>
      </c>
      <c r="E1056">
        <v>120842</v>
      </c>
      <c r="F1056">
        <v>523029</v>
      </c>
      <c r="G1056" t="s">
        <v>9</v>
      </c>
      <c r="H1056" t="s">
        <v>195</v>
      </c>
      <c r="I1056" t="s">
        <v>2714</v>
      </c>
    </row>
    <row r="1057" spans="1:9" x14ac:dyDescent="0.2">
      <c r="A1057" t="s">
        <v>2715</v>
      </c>
      <c r="D1057" t="str">
        <f>HYPERLINK("http://nlpdeep.cs.uic.edu:8080/proofing/t5/523029-assessment-and-plan-3-2.pdf","t5/523029-assessment-and-plan-3-2.pdf")</f>
        <v>t5/523029-assessment-and-plan-3-2.pdf</v>
      </c>
      <c r="E1057">
        <v>120842</v>
      </c>
      <c r="F1057">
        <v>523029</v>
      </c>
      <c r="G1057" t="s">
        <v>9</v>
      </c>
      <c r="H1057" t="s">
        <v>195</v>
      </c>
      <c r="I1057" t="s">
        <v>2716</v>
      </c>
    </row>
    <row r="1058" spans="1:9" x14ac:dyDescent="0.2">
      <c r="A1058" t="s">
        <v>2715</v>
      </c>
      <c r="D1058" t="str">
        <f>HYPERLINK("http://nlpdeep.cs.uic.edu:8080/proofing/gsii/523029-assessment-and-plan-3-2.pdf","gsii/523029-assessment-and-plan-3-2.pdf")</f>
        <v>gsii/523029-assessment-and-plan-3-2.pdf</v>
      </c>
      <c r="E1058">
        <v>120842</v>
      </c>
      <c r="F1058">
        <v>523029</v>
      </c>
      <c r="G1058" t="s">
        <v>9</v>
      </c>
      <c r="H1058" t="s">
        <v>195</v>
      </c>
      <c r="I1058" t="s">
        <v>2716</v>
      </c>
    </row>
    <row r="1059" spans="1:9" x14ac:dyDescent="0.2">
      <c r="A1059" t="s">
        <v>2717</v>
      </c>
      <c r="D1059" t="str">
        <f>HYPERLINK("http://nlpdeep.cs.uic.edu:8080/proofing/t5/523029-assessment-and-plan-4-0.pdf","t5/523029-assessment-and-plan-4-0.pdf")</f>
        <v>t5/523029-assessment-and-plan-4-0.pdf</v>
      </c>
      <c r="E1059">
        <v>120842</v>
      </c>
      <c r="F1059">
        <v>523029</v>
      </c>
      <c r="G1059" t="s">
        <v>9</v>
      </c>
      <c r="H1059" t="s">
        <v>195</v>
      </c>
      <c r="I1059" t="s">
        <v>2718</v>
      </c>
    </row>
    <row r="1060" spans="1:9" x14ac:dyDescent="0.2">
      <c r="A1060" t="s">
        <v>2717</v>
      </c>
      <c r="D1060" t="str">
        <f>HYPERLINK("http://nlpdeep.cs.uic.edu:8080/proofing/gsii/523029-assessment-and-plan-4-0.pdf","gsii/523029-assessment-and-plan-4-0.pdf")</f>
        <v>gsii/523029-assessment-and-plan-4-0.pdf</v>
      </c>
      <c r="E1060">
        <v>120842</v>
      </c>
      <c r="F1060">
        <v>523029</v>
      </c>
      <c r="G1060" t="s">
        <v>9</v>
      </c>
      <c r="H1060" t="s">
        <v>195</v>
      </c>
      <c r="I1060" t="s">
        <v>2718</v>
      </c>
    </row>
    <row r="1061" spans="1:9" x14ac:dyDescent="0.2">
      <c r="A1061" t="s">
        <v>2719</v>
      </c>
      <c r="D1061" t="str">
        <f>HYPERLINK("http://nlpdeep.cs.uic.edu:8080/proofing/t5/523029-code-status-0-0.pdf","t5/523029-code-status-0-0.pdf")</f>
        <v>t5/523029-code-status-0-0.pdf</v>
      </c>
      <c r="E1061">
        <v>120842</v>
      </c>
      <c r="F1061">
        <v>523029</v>
      </c>
      <c r="G1061" t="s">
        <v>9</v>
      </c>
      <c r="H1061" t="s">
        <v>201</v>
      </c>
      <c r="I1061" t="s">
        <v>2720</v>
      </c>
    </row>
    <row r="1062" spans="1:9" x14ac:dyDescent="0.2">
      <c r="A1062" t="s">
        <v>2719</v>
      </c>
      <c r="D1062" t="str">
        <f>HYPERLINK("http://nlpdeep.cs.uic.edu:8080/proofing/gsii/523029-code-status-0-0.pdf","gsii/523029-code-status-0-0.pdf")</f>
        <v>gsii/523029-code-status-0-0.pdf</v>
      </c>
      <c r="E1062">
        <v>120842</v>
      </c>
      <c r="F1062">
        <v>523029</v>
      </c>
      <c r="G1062" t="s">
        <v>9</v>
      </c>
      <c r="H1062" t="s">
        <v>201</v>
      </c>
      <c r="I1062" t="s">
        <v>2720</v>
      </c>
    </row>
    <row r="1063" spans="1:9" x14ac:dyDescent="0.2">
      <c r="A1063" t="s">
        <v>2721</v>
      </c>
      <c r="D1063" t="str">
        <f>HYPERLINK("http://nlpdeep.cs.uic.edu:8080/proofing/t5/523029-communication-0-0.pdf","t5/523029-communication-0-0.pdf")</f>
        <v>t5/523029-communication-0-0.pdf</v>
      </c>
      <c r="E1063">
        <v>120842</v>
      </c>
      <c r="F1063">
        <v>523029</v>
      </c>
      <c r="G1063" t="s">
        <v>9</v>
      </c>
      <c r="H1063" t="s">
        <v>198</v>
      </c>
      <c r="I1063" t="s">
        <v>2722</v>
      </c>
    </row>
    <row r="1064" spans="1:9" x14ac:dyDescent="0.2">
      <c r="A1064" t="s">
        <v>2721</v>
      </c>
      <c r="D1064" t="str">
        <f>HYPERLINK("http://nlpdeep.cs.uic.edu:8080/proofing/gsii/523029-communication-0-0.pdf","gsii/523029-communication-0-0.pdf")</f>
        <v>gsii/523029-communication-0-0.pdf</v>
      </c>
      <c r="E1064">
        <v>120842</v>
      </c>
      <c r="F1064">
        <v>523029</v>
      </c>
      <c r="G1064" t="s">
        <v>9</v>
      </c>
      <c r="H1064" t="s">
        <v>198</v>
      </c>
      <c r="I1064" t="s">
        <v>2722</v>
      </c>
    </row>
    <row r="1065" spans="1:9" x14ac:dyDescent="0.2">
      <c r="A1065" t="s">
        <v>2723</v>
      </c>
      <c r="D1065" t="str">
        <f>HYPERLINK("http://nlpdeep.cs.uic.edu:8080/proofing/t5/523029-disposition-0-0.pdf","t5/523029-disposition-0-0.pdf")</f>
        <v>t5/523029-disposition-0-0.pdf</v>
      </c>
      <c r="E1065">
        <v>120842</v>
      </c>
      <c r="F1065">
        <v>523029</v>
      </c>
      <c r="G1065" t="s">
        <v>9</v>
      </c>
      <c r="H1065" t="s">
        <v>204</v>
      </c>
      <c r="I1065" t="s">
        <v>2724</v>
      </c>
    </row>
    <row r="1066" spans="1:9" x14ac:dyDescent="0.2">
      <c r="A1066" t="s">
        <v>2723</v>
      </c>
      <c r="D1066" t="str">
        <f>HYPERLINK("http://nlpdeep.cs.uic.edu:8080/proofing/gsii/523029-disposition-0-0.pdf","gsii/523029-disposition-0-0.pdf")</f>
        <v>gsii/523029-disposition-0-0.pdf</v>
      </c>
      <c r="E1066">
        <v>120842</v>
      </c>
      <c r="F1066">
        <v>523029</v>
      </c>
      <c r="G1066" t="s">
        <v>9</v>
      </c>
      <c r="H1066" t="s">
        <v>204</v>
      </c>
      <c r="I1066" t="s">
        <v>2724</v>
      </c>
    </row>
    <row r="1067" spans="1:9" x14ac:dyDescent="0.2">
      <c r="A1067" t="s">
        <v>2725</v>
      </c>
      <c r="D1067" t="str">
        <f>HYPERLINK("http://nlpdeep.cs.uic.edu:8080/proofing/t5/1124097-reason-0-0.pdf","t5/1124097-reason-0-0.pdf")</f>
        <v>t5/1124097-reason-0-0.pdf</v>
      </c>
      <c r="E1067">
        <v>120842</v>
      </c>
      <c r="F1067">
        <v>1124097</v>
      </c>
      <c r="G1067" t="s">
        <v>1822</v>
      </c>
      <c r="H1067" t="s">
        <v>1823</v>
      </c>
      <c r="I1067" t="s">
        <v>2726</v>
      </c>
    </row>
    <row r="1068" spans="1:9" x14ac:dyDescent="0.2">
      <c r="A1068" t="s">
        <v>2725</v>
      </c>
      <c r="D1068" t="str">
        <f>HYPERLINK("http://nlpdeep.cs.uic.edu:8080/proofing/gsii/1124097-reason-0-0.pdf","gsii/1124097-reason-0-0.pdf")</f>
        <v>gsii/1124097-reason-0-0.pdf</v>
      </c>
      <c r="E1068">
        <v>120842</v>
      </c>
      <c r="F1068">
        <v>1124097</v>
      </c>
      <c r="G1068" t="s">
        <v>1822</v>
      </c>
      <c r="H1068" t="s">
        <v>1823</v>
      </c>
      <c r="I1068" t="s">
        <v>2726</v>
      </c>
    </row>
    <row r="1069" spans="1:9" x14ac:dyDescent="0.2">
      <c r="A1069" t="s">
        <v>2727</v>
      </c>
      <c r="D1069" t="str">
        <f>HYPERLINK("http://nlpdeep.cs.uic.edu:8080/proofing/t5/1124097-medical-condition-0-0.pdf","t5/1124097-medical-condition-0-0.pdf")</f>
        <v>t5/1124097-medical-condition-0-0.pdf</v>
      </c>
      <c r="E1069">
        <v>120842</v>
      </c>
      <c r="F1069">
        <v>1124097</v>
      </c>
      <c r="G1069" t="s">
        <v>1822</v>
      </c>
      <c r="H1069" t="s">
        <v>1826</v>
      </c>
      <c r="I1069" t="s">
        <v>2728</v>
      </c>
    </row>
    <row r="1070" spans="1:9" x14ac:dyDescent="0.2">
      <c r="A1070" t="s">
        <v>2727</v>
      </c>
      <c r="D1070" t="str">
        <f>HYPERLINK("http://nlpdeep.cs.uic.edu:8080/proofing/gsii/1124097-medical-condition-0-0.pdf","gsii/1124097-medical-condition-0-0.pdf")</f>
        <v>gsii/1124097-medical-condition-0-0.pdf</v>
      </c>
      <c r="E1070">
        <v>120842</v>
      </c>
      <c r="F1070">
        <v>1124097</v>
      </c>
      <c r="G1070" t="s">
        <v>1822</v>
      </c>
      <c r="H1070" t="s">
        <v>1826</v>
      </c>
      <c r="I1070" t="s">
        <v>2728</v>
      </c>
    </row>
    <row r="1071" spans="1:9" x14ac:dyDescent="0.2">
      <c r="A1071" t="s">
        <v>2729</v>
      </c>
      <c r="D1071" t="str">
        <f>HYPERLINK("http://nlpdeep.cs.uic.edu:8080/proofing/t5/1124097-indication-0-0.pdf","t5/1124097-indication-0-0.pdf")</f>
        <v>t5/1124097-indication-0-0.pdf</v>
      </c>
      <c r="E1071">
        <v>120842</v>
      </c>
      <c r="F1071">
        <v>1124097</v>
      </c>
      <c r="G1071" t="s">
        <v>1822</v>
      </c>
      <c r="H1071" t="s">
        <v>1831</v>
      </c>
      <c r="I1071" t="s">
        <v>2730</v>
      </c>
    </row>
    <row r="1072" spans="1:9" x14ac:dyDescent="0.2">
      <c r="A1072" t="s">
        <v>2729</v>
      </c>
      <c r="D1072" t="str">
        <f>HYPERLINK("http://nlpdeep.cs.uic.edu:8080/proofing/gsii/1124097-indication-0-0.pdf","gsii/1124097-indication-0-0.pdf")</f>
        <v>gsii/1124097-indication-0-0.pdf</v>
      </c>
      <c r="E1072">
        <v>120842</v>
      </c>
      <c r="F1072">
        <v>1124097</v>
      </c>
      <c r="G1072" t="s">
        <v>1822</v>
      </c>
      <c r="H1072" t="s">
        <v>1831</v>
      </c>
      <c r="I1072" t="s">
        <v>2730</v>
      </c>
    </row>
    <row r="1073" spans="1:9" x14ac:dyDescent="0.2">
      <c r="A1073" t="s">
        <v>2731</v>
      </c>
      <c r="D1073" t="str">
        <f>HYPERLINK("http://nlpdeep.cs.uic.edu:8080/proofing/t5/1124097-comparison-0-0.pdf","t5/1124097-comparison-0-0.pdf")</f>
        <v>t5/1124097-comparison-0-0.pdf</v>
      </c>
      <c r="E1073">
        <v>120842</v>
      </c>
      <c r="F1073">
        <v>1124097</v>
      </c>
      <c r="G1073" t="s">
        <v>1822</v>
      </c>
      <c r="H1073" t="s">
        <v>1834</v>
      </c>
      <c r="I1073" t="s">
        <v>2732</v>
      </c>
    </row>
    <row r="1074" spans="1:9" x14ac:dyDescent="0.2">
      <c r="A1074" t="s">
        <v>2731</v>
      </c>
      <c r="D1074" t="str">
        <f>HYPERLINK("http://nlpdeep.cs.uic.edu:8080/proofing/gsii/1124097-comparison-0-0.pdf","gsii/1124097-comparison-0-0.pdf")</f>
        <v>gsii/1124097-comparison-0-0.pdf</v>
      </c>
      <c r="E1074">
        <v>120842</v>
      </c>
      <c r="F1074">
        <v>1124097</v>
      </c>
      <c r="G1074" t="s">
        <v>1822</v>
      </c>
      <c r="H1074" t="s">
        <v>1834</v>
      </c>
      <c r="I1074" t="s">
        <v>2732</v>
      </c>
    </row>
    <row r="1075" spans="1:9" x14ac:dyDescent="0.2">
      <c r="A1075" t="s">
        <v>2733</v>
      </c>
      <c r="D1075" t="str">
        <f>HYPERLINK("http://nlpdeep.cs.uic.edu:8080/proofing/t5/1124097-findings-0-0.pdf","t5/1124097-findings-0-0.pdf")</f>
        <v>t5/1124097-findings-0-0.pdf</v>
      </c>
      <c r="E1075">
        <v>120842</v>
      </c>
      <c r="F1075">
        <v>1124097</v>
      </c>
      <c r="G1075" t="s">
        <v>1822</v>
      </c>
      <c r="H1075" t="s">
        <v>1840</v>
      </c>
      <c r="I1075" t="s">
        <v>2734</v>
      </c>
    </row>
    <row r="1076" spans="1:9" x14ac:dyDescent="0.2">
      <c r="A1076" t="s">
        <v>2733</v>
      </c>
      <c r="D1076" t="str">
        <f>HYPERLINK("http://nlpdeep.cs.uic.edu:8080/proofing/gsii/1124097-findings-0-0.pdf","gsii/1124097-findings-0-0.pdf")</f>
        <v>gsii/1124097-findings-0-0.pdf</v>
      </c>
      <c r="E1076">
        <v>120842</v>
      </c>
      <c r="F1076">
        <v>1124097</v>
      </c>
      <c r="G1076" t="s">
        <v>1822</v>
      </c>
      <c r="H1076" t="s">
        <v>1840</v>
      </c>
      <c r="I1076" t="s">
        <v>2734</v>
      </c>
    </row>
    <row r="1077" spans="1:9" x14ac:dyDescent="0.2">
      <c r="A1077" t="s">
        <v>2735</v>
      </c>
      <c r="D1077" t="str">
        <f>HYPERLINK("http://nlpdeep.cs.uic.edu:8080/proofing/t5/1124097-findings-0-1.pdf","t5/1124097-findings-0-1.pdf")</f>
        <v>t5/1124097-findings-0-1.pdf</v>
      </c>
      <c r="E1077">
        <v>120842</v>
      </c>
      <c r="F1077">
        <v>1124097</v>
      </c>
      <c r="G1077" t="s">
        <v>1822</v>
      </c>
      <c r="H1077" t="s">
        <v>1840</v>
      </c>
      <c r="I1077" t="s">
        <v>2736</v>
      </c>
    </row>
    <row r="1078" spans="1:9" x14ac:dyDescent="0.2">
      <c r="A1078" t="s">
        <v>2735</v>
      </c>
      <c r="D1078" t="str">
        <f>HYPERLINK("http://nlpdeep.cs.uic.edu:8080/proofing/gsii/1124097-findings-0-1.pdf","gsii/1124097-findings-0-1.pdf")</f>
        <v>gsii/1124097-findings-0-1.pdf</v>
      </c>
      <c r="E1078">
        <v>120842</v>
      </c>
      <c r="F1078">
        <v>1124097</v>
      </c>
      <c r="G1078" t="s">
        <v>1822</v>
      </c>
      <c r="H1078" t="s">
        <v>1840</v>
      </c>
      <c r="I1078" t="s">
        <v>2736</v>
      </c>
    </row>
    <row r="1079" spans="1:9" x14ac:dyDescent="0.2">
      <c r="A1079" t="s">
        <v>2737</v>
      </c>
      <c r="D1079" t="str">
        <f>HYPERLINK("http://nlpdeep.cs.uic.edu:8080/proofing/t5/1124097-findings-0-2.pdf","t5/1124097-findings-0-2.pdf")</f>
        <v>t5/1124097-findings-0-2.pdf</v>
      </c>
      <c r="E1079">
        <v>120842</v>
      </c>
      <c r="F1079">
        <v>1124097</v>
      </c>
      <c r="G1079" t="s">
        <v>1822</v>
      </c>
      <c r="H1079" t="s">
        <v>1840</v>
      </c>
      <c r="I1079" t="s">
        <v>2738</v>
      </c>
    </row>
    <row r="1080" spans="1:9" x14ac:dyDescent="0.2">
      <c r="A1080" t="s">
        <v>2737</v>
      </c>
      <c r="D1080" t="str">
        <f>HYPERLINK("http://nlpdeep.cs.uic.edu:8080/proofing/gsii/1124097-findings-0-2.pdf","gsii/1124097-findings-0-2.pdf")</f>
        <v>gsii/1124097-findings-0-2.pdf</v>
      </c>
      <c r="E1080">
        <v>120842</v>
      </c>
      <c r="F1080">
        <v>1124097</v>
      </c>
      <c r="G1080" t="s">
        <v>1822</v>
      </c>
      <c r="H1080" t="s">
        <v>1840</v>
      </c>
      <c r="I1080" t="s">
        <v>2738</v>
      </c>
    </row>
    <row r="1081" spans="1:9" x14ac:dyDescent="0.2">
      <c r="A1081" t="s">
        <v>2739</v>
      </c>
      <c r="D1081" t="str">
        <f>HYPERLINK("http://nlpdeep.cs.uic.edu:8080/proofing/t5/1124097-findings-0-3.pdf","t5/1124097-findings-0-3.pdf")</f>
        <v>t5/1124097-findings-0-3.pdf</v>
      </c>
      <c r="E1081">
        <v>120842</v>
      </c>
      <c r="F1081">
        <v>1124097</v>
      </c>
      <c r="G1081" t="s">
        <v>1822</v>
      </c>
      <c r="H1081" t="s">
        <v>1840</v>
      </c>
      <c r="I1081" t="s">
        <v>2740</v>
      </c>
    </row>
    <row r="1082" spans="1:9" x14ac:dyDescent="0.2">
      <c r="A1082" t="s">
        <v>2739</v>
      </c>
      <c r="D1082" t="str">
        <f>HYPERLINK("http://nlpdeep.cs.uic.edu:8080/proofing/gsii/1124097-findings-0-3.pdf","gsii/1124097-findings-0-3.pdf")</f>
        <v>gsii/1124097-findings-0-3.pdf</v>
      </c>
      <c r="E1082">
        <v>120842</v>
      </c>
      <c r="F1082">
        <v>1124097</v>
      </c>
      <c r="G1082" t="s">
        <v>1822</v>
      </c>
      <c r="H1082" t="s">
        <v>1840</v>
      </c>
      <c r="I1082" t="s">
        <v>2740</v>
      </c>
    </row>
    <row r="1083" spans="1:9" x14ac:dyDescent="0.2">
      <c r="A1083" t="s">
        <v>2741</v>
      </c>
      <c r="D1083" t="str">
        <f>HYPERLINK("http://nlpdeep.cs.uic.edu:8080/proofing/t5/1124097-impression-0-0.pdf","t5/1124097-impression-0-0.pdf")</f>
        <v>t5/1124097-impression-0-0.pdf</v>
      </c>
      <c r="E1083">
        <v>120842</v>
      </c>
      <c r="F1083">
        <v>1124097</v>
      </c>
      <c r="G1083" t="s">
        <v>1822</v>
      </c>
      <c r="H1083" t="s">
        <v>1859</v>
      </c>
      <c r="I1083" t="s">
        <v>2742</v>
      </c>
    </row>
    <row r="1084" spans="1:9" x14ac:dyDescent="0.2">
      <c r="A1084" t="s">
        <v>2741</v>
      </c>
      <c r="D1084" t="str">
        <f>HYPERLINK("http://nlpdeep.cs.uic.edu:8080/proofing/gsii/1124097-impression-0-0.pdf","gsii/1124097-impression-0-0.pdf")</f>
        <v>gsii/1124097-impression-0-0.pdf</v>
      </c>
      <c r="E1084">
        <v>120842</v>
      </c>
      <c r="F1084">
        <v>1124097</v>
      </c>
      <c r="G1084" t="s">
        <v>1822</v>
      </c>
      <c r="H1084" t="s">
        <v>1859</v>
      </c>
      <c r="I1084" t="s">
        <v>2742</v>
      </c>
    </row>
    <row r="1085" spans="1:9" x14ac:dyDescent="0.2">
      <c r="A1085" t="s">
        <v>2743</v>
      </c>
      <c r="D1085" t="str">
        <f>HYPERLINK("http://nlpdeep.cs.uic.edu:8080/proofing/t5/1124097-image-type-0-0.pdf","t5/1124097-image-type-0-0.pdf")</f>
        <v>t5/1124097-image-type-0-0.pdf</v>
      </c>
      <c r="E1085">
        <v>120842</v>
      </c>
      <c r="F1085">
        <v>1124097</v>
      </c>
      <c r="G1085" t="s">
        <v>1822</v>
      </c>
      <c r="H1085" t="s">
        <v>1888</v>
      </c>
      <c r="I1085" t="s">
        <v>2744</v>
      </c>
    </row>
    <row r="1086" spans="1:9" x14ac:dyDescent="0.2">
      <c r="A1086" t="s">
        <v>2743</v>
      </c>
      <c r="D1086" t="str">
        <f>HYPERLINK("http://nlpdeep.cs.uic.edu:8080/proofing/gsii/1124097-image-type-0-0.pdf","gsii/1124097-image-type-0-0.pdf")</f>
        <v>gsii/1124097-image-type-0-0.pdf</v>
      </c>
      <c r="E1086">
        <v>120842</v>
      </c>
      <c r="F1086">
        <v>1124097</v>
      </c>
      <c r="G1086" t="s">
        <v>1822</v>
      </c>
      <c r="H1086" t="s">
        <v>1888</v>
      </c>
      <c r="I1086" t="s">
        <v>2744</v>
      </c>
    </row>
    <row r="1087" spans="1:9" x14ac:dyDescent="0.2">
      <c r="A1087" t="s">
        <v>2745</v>
      </c>
      <c r="D1087" t="str">
        <f>HYPERLINK("http://nlpdeep.cs.uic.edu:8080/proofing/t5/523175-reason-0-0.pdf","t5/523175-reason-0-0.pdf")</f>
        <v>t5/523175-reason-0-0.pdf</v>
      </c>
      <c r="E1087">
        <v>120842</v>
      </c>
      <c r="F1087">
        <v>523175</v>
      </c>
      <c r="G1087" t="s">
        <v>306</v>
      </c>
      <c r="H1087" t="s">
        <v>1823</v>
      </c>
      <c r="I1087" t="s">
        <v>2746</v>
      </c>
    </row>
    <row r="1088" spans="1:9" x14ac:dyDescent="0.2">
      <c r="A1088" t="s">
        <v>2745</v>
      </c>
      <c r="D1088" t="str">
        <f>HYPERLINK("http://nlpdeep.cs.uic.edu:8080/proofing/gsii/523175-reason-0-0.pdf","gsii/523175-reason-0-0.pdf")</f>
        <v>gsii/523175-reason-0-0.pdf</v>
      </c>
      <c r="E1088">
        <v>120842</v>
      </c>
      <c r="F1088">
        <v>523175</v>
      </c>
      <c r="G1088" t="s">
        <v>306</v>
      </c>
      <c r="H1088" t="s">
        <v>1823</v>
      </c>
      <c r="I1088" t="s">
        <v>2746</v>
      </c>
    </row>
    <row r="1089" spans="1:9" x14ac:dyDescent="0.2">
      <c r="A1089" t="s">
        <v>2747</v>
      </c>
      <c r="D1089" t="str">
        <f>HYPERLINK("http://nlpdeep.cs.uic.edu:8080/proofing/t5/523175-history-of-present-illness-0-0.pdf","t5/523175-history-of-present-illness-0-0.pdf")</f>
        <v>t5/523175-history-of-present-illness-0-0.pdf</v>
      </c>
      <c r="E1089">
        <v>120842</v>
      </c>
      <c r="F1089">
        <v>523175</v>
      </c>
      <c r="G1089" t="s">
        <v>306</v>
      </c>
      <c r="H1089" t="s">
        <v>13</v>
      </c>
      <c r="I1089" t="s">
        <v>2748</v>
      </c>
    </row>
    <row r="1090" spans="1:9" x14ac:dyDescent="0.2">
      <c r="A1090" t="s">
        <v>2747</v>
      </c>
      <c r="D1090" t="str">
        <f>HYPERLINK("http://nlpdeep.cs.uic.edu:8080/proofing/gsii/523175-history-of-present-illness-0-0.pdf","gsii/523175-history-of-present-illness-0-0.pdf")</f>
        <v>gsii/523175-history-of-present-illness-0-0.pdf</v>
      </c>
      <c r="E1090">
        <v>120842</v>
      </c>
      <c r="F1090">
        <v>523175</v>
      </c>
      <c r="G1090" t="s">
        <v>306</v>
      </c>
      <c r="H1090" t="s">
        <v>13</v>
      </c>
      <c r="I1090" t="s">
        <v>2748</v>
      </c>
    </row>
    <row r="1091" spans="1:9" x14ac:dyDescent="0.2">
      <c r="A1091" t="s">
        <v>2749</v>
      </c>
      <c r="D1091" t="str">
        <f>HYPERLINK("http://nlpdeep.cs.uic.edu:8080/proofing/t5/523175-history-of-present-illness-0-1.pdf","t5/523175-history-of-present-illness-0-1.pdf")</f>
        <v>t5/523175-history-of-present-illness-0-1.pdf</v>
      </c>
      <c r="E1091">
        <v>120842</v>
      </c>
      <c r="F1091">
        <v>523175</v>
      </c>
      <c r="G1091" t="s">
        <v>306</v>
      </c>
      <c r="H1091" t="s">
        <v>13</v>
      </c>
      <c r="I1091" t="s">
        <v>2750</v>
      </c>
    </row>
    <row r="1092" spans="1:9" x14ac:dyDescent="0.2">
      <c r="A1092" t="s">
        <v>2749</v>
      </c>
      <c r="D1092" t="str">
        <f>HYPERLINK("http://nlpdeep.cs.uic.edu:8080/proofing/gsii/523175-history-of-present-illness-0-1.pdf","gsii/523175-history-of-present-illness-0-1.pdf")</f>
        <v>gsii/523175-history-of-present-illness-0-1.pdf</v>
      </c>
      <c r="E1092">
        <v>120842</v>
      </c>
      <c r="F1092">
        <v>523175</v>
      </c>
      <c r="G1092" t="s">
        <v>306</v>
      </c>
      <c r="H1092" t="s">
        <v>13</v>
      </c>
      <c r="I1092" t="s">
        <v>2750</v>
      </c>
    </row>
    <row r="1093" spans="1:9" x14ac:dyDescent="0.2">
      <c r="A1093" t="s">
        <v>2751</v>
      </c>
      <c r="D1093" t="str">
        <f>HYPERLINK("http://nlpdeep.cs.uic.edu:8080/proofing/t5/523175-history-of-present-illness-0-2.pdf","t5/523175-history-of-present-illness-0-2.pdf")</f>
        <v>t5/523175-history-of-present-illness-0-2.pdf</v>
      </c>
      <c r="E1093">
        <v>120842</v>
      </c>
      <c r="F1093">
        <v>523175</v>
      </c>
      <c r="G1093" t="s">
        <v>306</v>
      </c>
      <c r="H1093" t="s">
        <v>13</v>
      </c>
      <c r="I1093" t="s">
        <v>2752</v>
      </c>
    </row>
    <row r="1094" spans="1:9" x14ac:dyDescent="0.2">
      <c r="A1094" t="s">
        <v>2751</v>
      </c>
      <c r="D1094" t="str">
        <f>HYPERLINK("http://nlpdeep.cs.uic.edu:8080/proofing/gsii/523175-history-of-present-illness-0-2.pdf","gsii/523175-history-of-present-illness-0-2.pdf")</f>
        <v>gsii/523175-history-of-present-illness-0-2.pdf</v>
      </c>
      <c r="E1094">
        <v>120842</v>
      </c>
      <c r="F1094">
        <v>523175</v>
      </c>
      <c r="G1094" t="s">
        <v>306</v>
      </c>
      <c r="H1094" t="s">
        <v>13</v>
      </c>
      <c r="I1094" t="s">
        <v>2752</v>
      </c>
    </row>
    <row r="1095" spans="1:9" x14ac:dyDescent="0.2">
      <c r="A1095" t="s">
        <v>2753</v>
      </c>
      <c r="D1095" t="str">
        <f>HYPERLINK("http://nlpdeep.cs.uic.edu:8080/proofing/t5/523175-history-of-present-illness-0-3.pdf","t5/523175-history-of-present-illness-0-3.pdf")</f>
        <v>t5/523175-history-of-present-illness-0-3.pdf</v>
      </c>
      <c r="E1095">
        <v>120842</v>
      </c>
      <c r="F1095">
        <v>523175</v>
      </c>
      <c r="G1095" t="s">
        <v>306</v>
      </c>
      <c r="H1095" t="s">
        <v>13</v>
      </c>
      <c r="I1095" t="s">
        <v>2754</v>
      </c>
    </row>
    <row r="1096" spans="1:9" x14ac:dyDescent="0.2">
      <c r="A1096" t="s">
        <v>2753</v>
      </c>
      <c r="D1096" t="str">
        <f>HYPERLINK("http://nlpdeep.cs.uic.edu:8080/proofing/gsii/523175-history-of-present-illness-0-3.pdf","gsii/523175-history-of-present-illness-0-3.pdf")</f>
        <v>gsii/523175-history-of-present-illness-0-3.pdf</v>
      </c>
      <c r="E1096">
        <v>120842</v>
      </c>
      <c r="F1096">
        <v>523175</v>
      </c>
      <c r="G1096" t="s">
        <v>306</v>
      </c>
      <c r="H1096" t="s">
        <v>13</v>
      </c>
      <c r="I1096" t="s">
        <v>2754</v>
      </c>
    </row>
    <row r="1097" spans="1:9" x14ac:dyDescent="0.2">
      <c r="A1097" t="s">
        <v>2755</v>
      </c>
      <c r="D1097" t="str">
        <f>HYPERLINK("http://nlpdeep.cs.uic.edu:8080/proofing/t5/523175-history-of-present-illness-0-4.pdf","t5/523175-history-of-present-illness-0-4.pdf")</f>
        <v>t5/523175-history-of-present-illness-0-4.pdf</v>
      </c>
      <c r="E1097">
        <v>120842</v>
      </c>
      <c r="F1097">
        <v>523175</v>
      </c>
      <c r="G1097" t="s">
        <v>306</v>
      </c>
      <c r="H1097" t="s">
        <v>13</v>
      </c>
      <c r="I1097" t="s">
        <v>2756</v>
      </c>
    </row>
    <row r="1098" spans="1:9" x14ac:dyDescent="0.2">
      <c r="A1098" t="s">
        <v>2755</v>
      </c>
      <c r="D1098" t="str">
        <f>HYPERLINK("http://nlpdeep.cs.uic.edu:8080/proofing/gsii/523175-history-of-present-illness-0-4.pdf","gsii/523175-history-of-present-illness-0-4.pdf")</f>
        <v>gsii/523175-history-of-present-illness-0-4.pdf</v>
      </c>
      <c r="E1098">
        <v>120842</v>
      </c>
      <c r="F1098">
        <v>523175</v>
      </c>
      <c r="G1098" t="s">
        <v>306</v>
      </c>
      <c r="H1098" t="s">
        <v>13</v>
      </c>
      <c r="I1098" t="s">
        <v>2756</v>
      </c>
    </row>
    <row r="1099" spans="1:9" x14ac:dyDescent="0.2">
      <c r="A1099" t="s">
        <v>2757</v>
      </c>
      <c r="D1099" t="str">
        <f>HYPERLINK("http://nlpdeep.cs.uic.edu:8080/proofing/t5/523175-history-of-present-illness-0-5.pdf","t5/523175-history-of-present-illness-0-5.pdf")</f>
        <v>t5/523175-history-of-present-illness-0-5.pdf</v>
      </c>
      <c r="E1099">
        <v>120842</v>
      </c>
      <c r="F1099">
        <v>523175</v>
      </c>
      <c r="G1099" t="s">
        <v>306</v>
      </c>
      <c r="H1099" t="s">
        <v>13</v>
      </c>
      <c r="I1099" t="s">
        <v>2758</v>
      </c>
    </row>
    <row r="1100" spans="1:9" x14ac:dyDescent="0.2">
      <c r="A1100" t="s">
        <v>2757</v>
      </c>
      <c r="D1100" t="str">
        <f>HYPERLINK("http://nlpdeep.cs.uic.edu:8080/proofing/gsii/523175-history-of-present-illness-0-5.pdf","gsii/523175-history-of-present-illness-0-5.pdf")</f>
        <v>gsii/523175-history-of-present-illness-0-5.pdf</v>
      </c>
      <c r="E1100">
        <v>120842</v>
      </c>
      <c r="F1100">
        <v>523175</v>
      </c>
      <c r="G1100" t="s">
        <v>306</v>
      </c>
      <c r="H1100" t="s">
        <v>13</v>
      </c>
      <c r="I1100" t="s">
        <v>2758</v>
      </c>
    </row>
    <row r="1101" spans="1:9" x14ac:dyDescent="0.2">
      <c r="A1101" t="s">
        <v>2759</v>
      </c>
      <c r="D1101" t="str">
        <f>HYPERLINK("http://nlpdeep.cs.uic.edu:8080/proofing/t5/523175-history-of-present-illness-1-0.pdf","t5/523175-history-of-present-illness-1-0.pdf")</f>
        <v>t5/523175-history-of-present-illness-1-0.pdf</v>
      </c>
      <c r="E1101">
        <v>120842</v>
      </c>
      <c r="F1101">
        <v>523175</v>
      </c>
      <c r="G1101" t="s">
        <v>306</v>
      </c>
      <c r="H1101" t="s">
        <v>13</v>
      </c>
      <c r="I1101" t="s">
        <v>2760</v>
      </c>
    </row>
    <row r="1102" spans="1:9" x14ac:dyDescent="0.2">
      <c r="A1102" t="s">
        <v>2759</v>
      </c>
      <c r="D1102" t="str">
        <f>HYPERLINK("http://nlpdeep.cs.uic.edu:8080/proofing/gsii/523175-history-of-present-illness-1-0.pdf","gsii/523175-history-of-present-illness-1-0.pdf")</f>
        <v>gsii/523175-history-of-present-illness-1-0.pdf</v>
      </c>
      <c r="E1102">
        <v>120842</v>
      </c>
      <c r="F1102">
        <v>523175</v>
      </c>
      <c r="G1102" t="s">
        <v>306</v>
      </c>
      <c r="H1102" t="s">
        <v>13</v>
      </c>
      <c r="I1102" t="s">
        <v>2760</v>
      </c>
    </row>
    <row r="1103" spans="1:9" x14ac:dyDescent="0.2">
      <c r="A1103" t="s">
        <v>2761</v>
      </c>
      <c r="D1103" t="str">
        <f>HYPERLINK("http://nlpdeep.cs.uic.edu:8080/proofing/t5/523175-history-of-present-illness-1-1.pdf","t5/523175-history-of-present-illness-1-1.pdf")</f>
        <v>t5/523175-history-of-present-illness-1-1.pdf</v>
      </c>
      <c r="E1103">
        <v>120842</v>
      </c>
      <c r="F1103">
        <v>523175</v>
      </c>
      <c r="G1103" t="s">
        <v>306</v>
      </c>
      <c r="H1103" t="s">
        <v>13</v>
      </c>
      <c r="I1103" t="s">
        <v>2762</v>
      </c>
    </row>
    <row r="1104" spans="1:9" x14ac:dyDescent="0.2">
      <c r="A1104" t="s">
        <v>2761</v>
      </c>
      <c r="D1104" t="str">
        <f>HYPERLINK("http://nlpdeep.cs.uic.edu:8080/proofing/gsii/523175-history-of-present-illness-1-1.pdf","gsii/523175-history-of-present-illness-1-1.pdf")</f>
        <v>gsii/523175-history-of-present-illness-1-1.pdf</v>
      </c>
      <c r="E1104">
        <v>120842</v>
      </c>
      <c r="F1104">
        <v>523175</v>
      </c>
      <c r="G1104" t="s">
        <v>306</v>
      </c>
      <c r="H1104" t="s">
        <v>13</v>
      </c>
      <c r="I1104" t="s">
        <v>2762</v>
      </c>
    </row>
    <row r="1105" spans="1:9" x14ac:dyDescent="0.2">
      <c r="A1105" t="s">
        <v>2763</v>
      </c>
      <c r="D1105" t="str">
        <f>HYPERLINK("http://nlpdeep.cs.uic.edu:8080/proofing/t5/523175-history-of-present-illness-1-2.pdf","t5/523175-history-of-present-illness-1-2.pdf")</f>
        <v>t5/523175-history-of-present-illness-1-2.pdf</v>
      </c>
      <c r="E1105">
        <v>120842</v>
      </c>
      <c r="F1105">
        <v>523175</v>
      </c>
      <c r="G1105" t="s">
        <v>306</v>
      </c>
      <c r="H1105" t="s">
        <v>13</v>
      </c>
      <c r="I1105" t="s">
        <v>2764</v>
      </c>
    </row>
    <row r="1106" spans="1:9" x14ac:dyDescent="0.2">
      <c r="A1106" t="s">
        <v>2763</v>
      </c>
      <c r="D1106" t="str">
        <f>HYPERLINK("http://nlpdeep.cs.uic.edu:8080/proofing/gsii/523175-history-of-present-illness-1-2.pdf","gsii/523175-history-of-present-illness-1-2.pdf")</f>
        <v>gsii/523175-history-of-present-illness-1-2.pdf</v>
      </c>
      <c r="E1106">
        <v>120842</v>
      </c>
      <c r="F1106">
        <v>523175</v>
      </c>
      <c r="G1106" t="s">
        <v>306</v>
      </c>
      <c r="H1106" t="s">
        <v>13</v>
      </c>
      <c r="I1106" t="s">
        <v>2764</v>
      </c>
    </row>
    <row r="1107" spans="1:9" x14ac:dyDescent="0.2">
      <c r="A1107" t="s">
        <v>2765</v>
      </c>
      <c r="D1107" t="str">
        <f>HYPERLINK("http://nlpdeep.cs.uic.edu:8080/proofing/t5/523175-allergies-0-0.pdf","t5/523175-allergies-0-0.pdf")</f>
        <v>t5/523175-allergies-0-0.pdf</v>
      </c>
      <c r="E1107">
        <v>120842</v>
      </c>
      <c r="F1107">
        <v>523175</v>
      </c>
      <c r="G1107" t="s">
        <v>306</v>
      </c>
      <c r="H1107" t="s">
        <v>64</v>
      </c>
      <c r="I1107" t="s">
        <v>2766</v>
      </c>
    </row>
    <row r="1108" spans="1:9" x14ac:dyDescent="0.2">
      <c r="A1108" t="s">
        <v>2765</v>
      </c>
      <c r="D1108" t="str">
        <f>HYPERLINK("http://nlpdeep.cs.uic.edu:8080/proofing/gsii/523175-allergies-0-0.pdf","gsii/523175-allergies-0-0.pdf")</f>
        <v>gsii/523175-allergies-0-0.pdf</v>
      </c>
      <c r="E1108">
        <v>120842</v>
      </c>
      <c r="F1108">
        <v>523175</v>
      </c>
      <c r="G1108" t="s">
        <v>306</v>
      </c>
      <c r="H1108" t="s">
        <v>64</v>
      </c>
      <c r="I1108" t="s">
        <v>2766</v>
      </c>
    </row>
    <row r="1109" spans="1:9" x14ac:dyDescent="0.2">
      <c r="A1109" t="s">
        <v>2767</v>
      </c>
      <c r="D1109" t="str">
        <f>HYPERLINK("http://nlpdeep.cs.uic.edu:8080/proofing/t5/523175-medication-history-0-0.pdf","t5/523175-medication-history-0-0.pdf")</f>
        <v>t5/523175-medication-history-0-0.pdf</v>
      </c>
      <c r="E1109">
        <v>120842</v>
      </c>
      <c r="F1109">
        <v>523175</v>
      </c>
      <c r="G1109" t="s">
        <v>306</v>
      </c>
      <c r="H1109" t="s">
        <v>336</v>
      </c>
      <c r="I1109" t="s">
        <v>2768</v>
      </c>
    </row>
    <row r="1110" spans="1:9" x14ac:dyDescent="0.2">
      <c r="A1110" t="s">
        <v>2767</v>
      </c>
      <c r="D1110" t="str">
        <f>HYPERLINK("http://nlpdeep.cs.uic.edu:8080/proofing/gsii/523175-medication-history-0-0.pdf","gsii/523175-medication-history-0-0.pdf")</f>
        <v>gsii/523175-medication-history-0-0.pdf</v>
      </c>
      <c r="E1110">
        <v>120842</v>
      </c>
      <c r="F1110">
        <v>523175</v>
      </c>
      <c r="G1110" t="s">
        <v>306</v>
      </c>
      <c r="H1110" t="s">
        <v>336</v>
      </c>
      <c r="I1110" t="s">
        <v>2768</v>
      </c>
    </row>
    <row r="1111" spans="1:9" x14ac:dyDescent="0.2">
      <c r="A1111" t="s">
        <v>2769</v>
      </c>
      <c r="D1111" t="str">
        <f>HYPERLINK("http://nlpdeep.cs.uic.edu:8080/proofing/t5/523175-medication-history-0-1.pdf","t5/523175-medication-history-0-1.pdf")</f>
        <v>t5/523175-medication-history-0-1.pdf</v>
      </c>
      <c r="E1111">
        <v>120842</v>
      </c>
      <c r="F1111">
        <v>523175</v>
      </c>
      <c r="G1111" t="s">
        <v>306</v>
      </c>
      <c r="H1111" t="s">
        <v>336</v>
      </c>
      <c r="I1111" t="s">
        <v>2770</v>
      </c>
    </row>
    <row r="1112" spans="1:9" x14ac:dyDescent="0.2">
      <c r="A1112" t="s">
        <v>2769</v>
      </c>
      <c r="D1112" t="str">
        <f>HYPERLINK("http://nlpdeep.cs.uic.edu:8080/proofing/gsii/523175-medication-history-0-1.pdf","gsii/523175-medication-history-0-1.pdf")</f>
        <v>gsii/523175-medication-history-0-1.pdf</v>
      </c>
      <c r="E1112">
        <v>120842</v>
      </c>
      <c r="F1112">
        <v>523175</v>
      </c>
      <c r="G1112" t="s">
        <v>306</v>
      </c>
      <c r="H1112" t="s">
        <v>336</v>
      </c>
      <c r="I1112" t="s">
        <v>2770</v>
      </c>
    </row>
    <row r="1113" spans="1:9" x14ac:dyDescent="0.2">
      <c r="A1113" t="s">
        <v>2771</v>
      </c>
      <c r="D1113" t="str">
        <f>HYPERLINK("http://nlpdeep.cs.uic.edu:8080/proofing/t5/523175-medication-history-0-2.pdf","t5/523175-medication-history-0-2.pdf")</f>
        <v>t5/523175-medication-history-0-2.pdf</v>
      </c>
      <c r="E1113">
        <v>120842</v>
      </c>
      <c r="F1113">
        <v>523175</v>
      </c>
      <c r="G1113" t="s">
        <v>306</v>
      </c>
      <c r="H1113" t="s">
        <v>336</v>
      </c>
      <c r="I1113" t="s">
        <v>2772</v>
      </c>
    </row>
    <row r="1114" spans="1:9" x14ac:dyDescent="0.2">
      <c r="A1114" t="s">
        <v>2771</v>
      </c>
      <c r="D1114" t="str">
        <f>HYPERLINK("http://nlpdeep.cs.uic.edu:8080/proofing/gsii/523175-medication-history-0-2.pdf","gsii/523175-medication-history-0-2.pdf")</f>
        <v>gsii/523175-medication-history-0-2.pdf</v>
      </c>
      <c r="E1114">
        <v>120842</v>
      </c>
      <c r="F1114">
        <v>523175</v>
      </c>
      <c r="G1114" t="s">
        <v>306</v>
      </c>
      <c r="H1114" t="s">
        <v>336</v>
      </c>
      <c r="I1114" t="s">
        <v>2772</v>
      </c>
    </row>
    <row r="1115" spans="1:9" x14ac:dyDescent="0.2">
      <c r="A1115" t="s">
        <v>2773</v>
      </c>
      <c r="D1115" t="str">
        <f>HYPERLINK("http://nlpdeep.cs.uic.edu:8080/proofing/t5/523175-medication-history-0-3.pdf","t5/523175-medication-history-0-3.pdf")</f>
        <v>t5/523175-medication-history-0-3.pdf</v>
      </c>
      <c r="E1115">
        <v>120842</v>
      </c>
      <c r="F1115">
        <v>523175</v>
      </c>
      <c r="G1115" t="s">
        <v>306</v>
      </c>
      <c r="H1115" t="s">
        <v>336</v>
      </c>
      <c r="I1115" t="s">
        <v>2774</v>
      </c>
    </row>
    <row r="1116" spans="1:9" x14ac:dyDescent="0.2">
      <c r="A1116" t="s">
        <v>2773</v>
      </c>
      <c r="D1116" t="str">
        <f>HYPERLINK("http://nlpdeep.cs.uic.edu:8080/proofing/gsii/523175-medication-history-0-3.pdf","gsii/523175-medication-history-0-3.pdf")</f>
        <v>gsii/523175-medication-history-0-3.pdf</v>
      </c>
      <c r="E1116">
        <v>120842</v>
      </c>
      <c r="F1116">
        <v>523175</v>
      </c>
      <c r="G1116" t="s">
        <v>306</v>
      </c>
      <c r="H1116" t="s">
        <v>336</v>
      </c>
      <c r="I1116" t="s">
        <v>2774</v>
      </c>
    </row>
    <row r="1117" spans="1:9" x14ac:dyDescent="0.2">
      <c r="A1117" t="s">
        <v>2775</v>
      </c>
      <c r="D1117" t="str">
        <f>HYPERLINK("http://nlpdeep.cs.uic.edu:8080/proofing/t5/523175-medication-history-0-4.pdf","t5/523175-medication-history-0-4.pdf")</f>
        <v>t5/523175-medication-history-0-4.pdf</v>
      </c>
      <c r="E1117">
        <v>120842</v>
      </c>
      <c r="F1117">
        <v>523175</v>
      </c>
      <c r="G1117" t="s">
        <v>306</v>
      </c>
      <c r="H1117" t="s">
        <v>336</v>
      </c>
      <c r="I1117" t="s">
        <v>2776</v>
      </c>
    </row>
    <row r="1118" spans="1:9" x14ac:dyDescent="0.2">
      <c r="A1118" t="s">
        <v>2775</v>
      </c>
      <c r="D1118" t="str">
        <f>HYPERLINK("http://nlpdeep.cs.uic.edu:8080/proofing/gsii/523175-medication-history-0-4.pdf","gsii/523175-medication-history-0-4.pdf")</f>
        <v>gsii/523175-medication-history-0-4.pdf</v>
      </c>
      <c r="E1118">
        <v>120842</v>
      </c>
      <c r="F1118">
        <v>523175</v>
      </c>
      <c r="G1118" t="s">
        <v>306</v>
      </c>
      <c r="H1118" t="s">
        <v>336</v>
      </c>
      <c r="I1118" t="s">
        <v>2776</v>
      </c>
    </row>
    <row r="1119" spans="1:9" x14ac:dyDescent="0.2">
      <c r="A1119" t="s">
        <v>2777</v>
      </c>
      <c r="D1119" t="str">
        <f>HYPERLINK("http://nlpdeep.cs.uic.edu:8080/proofing/t5/523175-medication-history-0-5.pdf","t5/523175-medication-history-0-5.pdf")</f>
        <v>t5/523175-medication-history-0-5.pdf</v>
      </c>
      <c r="E1119">
        <v>120842</v>
      </c>
      <c r="F1119">
        <v>523175</v>
      </c>
      <c r="G1119" t="s">
        <v>306</v>
      </c>
      <c r="H1119" t="s">
        <v>336</v>
      </c>
      <c r="I1119" t="s">
        <v>2778</v>
      </c>
    </row>
    <row r="1120" spans="1:9" x14ac:dyDescent="0.2">
      <c r="A1120" t="s">
        <v>2777</v>
      </c>
      <c r="D1120" t="str">
        <f>HYPERLINK("http://nlpdeep.cs.uic.edu:8080/proofing/gsii/523175-medication-history-0-5.pdf","gsii/523175-medication-history-0-5.pdf")</f>
        <v>gsii/523175-medication-history-0-5.pdf</v>
      </c>
      <c r="E1120">
        <v>120842</v>
      </c>
      <c r="F1120">
        <v>523175</v>
      </c>
      <c r="G1120" t="s">
        <v>306</v>
      </c>
      <c r="H1120" t="s">
        <v>336</v>
      </c>
      <c r="I1120" t="s">
        <v>2778</v>
      </c>
    </row>
    <row r="1121" spans="1:9" x14ac:dyDescent="0.2">
      <c r="A1121" t="s">
        <v>2779</v>
      </c>
      <c r="D1121" t="str">
        <f>HYPERLINK("http://nlpdeep.cs.uic.edu:8080/proofing/t5/523175-medication-history-0-6.pdf","t5/523175-medication-history-0-6.pdf")</f>
        <v>t5/523175-medication-history-0-6.pdf</v>
      </c>
      <c r="E1121">
        <v>120842</v>
      </c>
      <c r="F1121">
        <v>523175</v>
      </c>
      <c r="G1121" t="s">
        <v>306</v>
      </c>
      <c r="H1121" t="s">
        <v>336</v>
      </c>
      <c r="I1121" t="s">
        <v>2780</v>
      </c>
    </row>
    <row r="1122" spans="1:9" x14ac:dyDescent="0.2">
      <c r="A1122" t="s">
        <v>2779</v>
      </c>
      <c r="D1122" t="str">
        <f>HYPERLINK("http://nlpdeep.cs.uic.edu:8080/proofing/gsii/523175-medication-history-0-6.pdf","gsii/523175-medication-history-0-6.pdf")</f>
        <v>gsii/523175-medication-history-0-6.pdf</v>
      </c>
      <c r="E1122">
        <v>120842</v>
      </c>
      <c r="F1122">
        <v>523175</v>
      </c>
      <c r="G1122" t="s">
        <v>306</v>
      </c>
      <c r="H1122" t="s">
        <v>336</v>
      </c>
      <c r="I1122" t="s">
        <v>2780</v>
      </c>
    </row>
    <row r="1123" spans="1:9" x14ac:dyDescent="0.2">
      <c r="A1123" t="s">
        <v>2781</v>
      </c>
      <c r="D1123" t="str">
        <f>HYPERLINK("http://nlpdeep.cs.uic.edu:8080/proofing/t5/523175-medication-history-0-7.pdf","t5/523175-medication-history-0-7.pdf")</f>
        <v>t5/523175-medication-history-0-7.pdf</v>
      </c>
      <c r="E1123">
        <v>120842</v>
      </c>
      <c r="F1123">
        <v>523175</v>
      </c>
      <c r="G1123" t="s">
        <v>306</v>
      </c>
      <c r="H1123" t="s">
        <v>336</v>
      </c>
      <c r="I1123" t="s">
        <v>2782</v>
      </c>
    </row>
    <row r="1124" spans="1:9" x14ac:dyDescent="0.2">
      <c r="A1124" t="s">
        <v>2781</v>
      </c>
      <c r="D1124" t="str">
        <f>HYPERLINK("http://nlpdeep.cs.uic.edu:8080/proofing/gsii/523175-medication-history-0-7.pdf","gsii/523175-medication-history-0-7.pdf")</f>
        <v>gsii/523175-medication-history-0-7.pdf</v>
      </c>
      <c r="E1124">
        <v>120842</v>
      </c>
      <c r="F1124">
        <v>523175</v>
      </c>
      <c r="G1124" t="s">
        <v>306</v>
      </c>
      <c r="H1124" t="s">
        <v>336</v>
      </c>
      <c r="I1124" t="s">
        <v>2782</v>
      </c>
    </row>
    <row r="1125" spans="1:9" x14ac:dyDescent="0.2">
      <c r="A1125" t="s">
        <v>2783</v>
      </c>
      <c r="D1125" t="str">
        <f>HYPERLINK("http://nlpdeep.cs.uic.edu:8080/proofing/t5/523175-medication-history-0-8.pdf","t5/523175-medication-history-0-8.pdf")</f>
        <v>t5/523175-medication-history-0-8.pdf</v>
      </c>
      <c r="E1125">
        <v>120842</v>
      </c>
      <c r="F1125">
        <v>523175</v>
      </c>
      <c r="G1125" t="s">
        <v>306</v>
      </c>
      <c r="H1125" t="s">
        <v>336</v>
      </c>
      <c r="I1125" t="s">
        <v>2764</v>
      </c>
    </row>
    <row r="1126" spans="1:9" x14ac:dyDescent="0.2">
      <c r="A1126" t="s">
        <v>2783</v>
      </c>
      <c r="D1126" t="str">
        <f>HYPERLINK("http://nlpdeep.cs.uic.edu:8080/proofing/gsii/523175-medication-history-0-8.pdf","gsii/523175-medication-history-0-8.pdf")</f>
        <v>gsii/523175-medication-history-0-8.pdf</v>
      </c>
      <c r="E1126">
        <v>120842</v>
      </c>
      <c r="F1126">
        <v>523175</v>
      </c>
      <c r="G1126" t="s">
        <v>306</v>
      </c>
      <c r="H1126" t="s">
        <v>336</v>
      </c>
      <c r="I1126" t="s">
        <v>2764</v>
      </c>
    </row>
    <row r="1127" spans="1:9" x14ac:dyDescent="0.2">
      <c r="A1127" t="s">
        <v>2784</v>
      </c>
      <c r="D1127" t="str">
        <f>HYPERLINK("http://nlpdeep.cs.uic.edu:8080/proofing/t5/523175-current-medications-0-0.pdf","t5/523175-current-medications-0-0.pdf")</f>
        <v>t5/523175-current-medications-0-0.pdf</v>
      </c>
      <c r="E1127">
        <v>120842</v>
      </c>
      <c r="F1127">
        <v>523175</v>
      </c>
      <c r="G1127" t="s">
        <v>306</v>
      </c>
      <c r="H1127" t="s">
        <v>365</v>
      </c>
      <c r="I1127" t="s">
        <v>2785</v>
      </c>
    </row>
    <row r="1128" spans="1:9" x14ac:dyDescent="0.2">
      <c r="A1128" t="s">
        <v>2784</v>
      </c>
      <c r="D1128" t="str">
        <f>HYPERLINK("http://nlpdeep.cs.uic.edu:8080/proofing/gsii/523175-current-medications-0-0.pdf","gsii/523175-current-medications-0-0.pdf")</f>
        <v>gsii/523175-current-medications-0-0.pdf</v>
      </c>
      <c r="E1128">
        <v>120842</v>
      </c>
      <c r="F1128">
        <v>523175</v>
      </c>
      <c r="G1128" t="s">
        <v>306</v>
      </c>
      <c r="H1128" t="s">
        <v>365</v>
      </c>
      <c r="I1128" t="s">
        <v>2785</v>
      </c>
    </row>
    <row r="1129" spans="1:9" x14ac:dyDescent="0.2">
      <c r="A1129" t="s">
        <v>2786</v>
      </c>
      <c r="D1129" t="str">
        <f>HYPERLINK("http://nlpdeep.cs.uic.edu:8080/proofing/t5/523175-past-medical-history-0-0.pdf","t5/523175-past-medical-history-0-0.pdf")</f>
        <v>t5/523175-past-medical-history-0-0.pdf</v>
      </c>
      <c r="E1129">
        <v>120842</v>
      </c>
      <c r="F1129">
        <v>523175</v>
      </c>
      <c r="G1129" t="s">
        <v>306</v>
      </c>
      <c r="H1129" t="s">
        <v>76</v>
      </c>
      <c r="I1129" t="s">
        <v>2787</v>
      </c>
    </row>
    <row r="1130" spans="1:9" x14ac:dyDescent="0.2">
      <c r="A1130" t="s">
        <v>2786</v>
      </c>
      <c r="D1130" t="str">
        <f>HYPERLINK("http://nlpdeep.cs.uic.edu:8080/proofing/gsii/523175-past-medical-history-0-0.pdf","gsii/523175-past-medical-history-0-0.pdf")</f>
        <v>gsii/523175-past-medical-history-0-0.pdf</v>
      </c>
      <c r="E1130">
        <v>120842</v>
      </c>
      <c r="F1130">
        <v>523175</v>
      </c>
      <c r="G1130" t="s">
        <v>306</v>
      </c>
      <c r="H1130" t="s">
        <v>76</v>
      </c>
      <c r="I1130" t="s">
        <v>2787</v>
      </c>
    </row>
    <row r="1131" spans="1:9" x14ac:dyDescent="0.2">
      <c r="A1131" t="s">
        <v>2788</v>
      </c>
      <c r="D1131" t="str">
        <f>HYPERLINK("http://nlpdeep.cs.uic.edu:8080/proofing/t5/523175-past-medical-history-0-1.pdf","t5/523175-past-medical-history-0-1.pdf")</f>
        <v>t5/523175-past-medical-history-0-1.pdf</v>
      </c>
      <c r="E1131">
        <v>120842</v>
      </c>
      <c r="F1131">
        <v>523175</v>
      </c>
      <c r="G1131" t="s">
        <v>306</v>
      </c>
      <c r="H1131" t="s">
        <v>76</v>
      </c>
      <c r="I1131" t="s">
        <v>2789</v>
      </c>
    </row>
    <row r="1132" spans="1:9" x14ac:dyDescent="0.2">
      <c r="A1132" t="s">
        <v>2788</v>
      </c>
      <c r="D1132" t="str">
        <f>HYPERLINK("http://nlpdeep.cs.uic.edu:8080/proofing/gsii/523175-past-medical-history-0-1.pdf","gsii/523175-past-medical-history-0-1.pdf")</f>
        <v>gsii/523175-past-medical-history-0-1.pdf</v>
      </c>
      <c r="E1132">
        <v>120842</v>
      </c>
      <c r="F1132">
        <v>523175</v>
      </c>
      <c r="G1132" t="s">
        <v>306</v>
      </c>
      <c r="H1132" t="s">
        <v>76</v>
      </c>
      <c r="I1132" t="s">
        <v>2789</v>
      </c>
    </row>
    <row r="1133" spans="1:9" x14ac:dyDescent="0.2">
      <c r="A1133" t="s">
        <v>2790</v>
      </c>
      <c r="D1133" t="str">
        <f>HYPERLINK("http://nlpdeep.cs.uic.edu:8080/proofing/t5/523175-past-medical-history-0-2.pdf","t5/523175-past-medical-history-0-2.pdf")</f>
        <v>t5/523175-past-medical-history-0-2.pdf</v>
      </c>
      <c r="E1133">
        <v>120842</v>
      </c>
      <c r="F1133">
        <v>523175</v>
      </c>
      <c r="G1133" t="s">
        <v>306</v>
      </c>
      <c r="H1133" t="s">
        <v>76</v>
      </c>
      <c r="I1133" t="s">
        <v>2791</v>
      </c>
    </row>
    <row r="1134" spans="1:9" x14ac:dyDescent="0.2">
      <c r="A1134" t="s">
        <v>2790</v>
      </c>
      <c r="D1134" t="str">
        <f>HYPERLINK("http://nlpdeep.cs.uic.edu:8080/proofing/gsii/523175-past-medical-history-0-2.pdf","gsii/523175-past-medical-history-0-2.pdf")</f>
        <v>gsii/523175-past-medical-history-0-2.pdf</v>
      </c>
      <c r="E1134">
        <v>120842</v>
      </c>
      <c r="F1134">
        <v>523175</v>
      </c>
      <c r="G1134" t="s">
        <v>306</v>
      </c>
      <c r="H1134" t="s">
        <v>76</v>
      </c>
      <c r="I1134" t="s">
        <v>2791</v>
      </c>
    </row>
    <row r="1135" spans="1:9" x14ac:dyDescent="0.2">
      <c r="A1135" t="s">
        <v>2792</v>
      </c>
      <c r="D1135" t="str">
        <f>HYPERLINK("http://nlpdeep.cs.uic.edu:8080/proofing/t5/523175-past-medical-history-0-3.pdf","t5/523175-past-medical-history-0-3.pdf")</f>
        <v>t5/523175-past-medical-history-0-3.pdf</v>
      </c>
      <c r="E1135">
        <v>120842</v>
      </c>
      <c r="F1135">
        <v>523175</v>
      </c>
      <c r="G1135" t="s">
        <v>306</v>
      </c>
      <c r="H1135" t="s">
        <v>76</v>
      </c>
      <c r="I1135" t="s">
        <v>2793</v>
      </c>
    </row>
    <row r="1136" spans="1:9" x14ac:dyDescent="0.2">
      <c r="A1136" t="s">
        <v>2792</v>
      </c>
      <c r="D1136" t="str">
        <f>HYPERLINK("http://nlpdeep.cs.uic.edu:8080/proofing/gsii/523175-past-medical-history-0-3.pdf","gsii/523175-past-medical-history-0-3.pdf")</f>
        <v>gsii/523175-past-medical-history-0-3.pdf</v>
      </c>
      <c r="E1136">
        <v>120842</v>
      </c>
      <c r="F1136">
        <v>523175</v>
      </c>
      <c r="G1136" t="s">
        <v>306</v>
      </c>
      <c r="H1136" t="s">
        <v>76</v>
      </c>
      <c r="I1136" t="s">
        <v>2793</v>
      </c>
    </row>
    <row r="1137" spans="1:9" x14ac:dyDescent="0.2">
      <c r="A1137" t="s">
        <v>2794</v>
      </c>
      <c r="D1137" t="str">
        <f>HYPERLINK("http://nlpdeep.cs.uic.edu:8080/proofing/t5/523175-past-medical-history-0-4.pdf","t5/523175-past-medical-history-0-4.pdf")</f>
        <v>t5/523175-past-medical-history-0-4.pdf</v>
      </c>
      <c r="E1137">
        <v>120842</v>
      </c>
      <c r="F1137">
        <v>523175</v>
      </c>
      <c r="G1137" t="s">
        <v>306</v>
      </c>
      <c r="H1137" t="s">
        <v>76</v>
      </c>
      <c r="I1137" t="s">
        <v>2795</v>
      </c>
    </row>
    <row r="1138" spans="1:9" x14ac:dyDescent="0.2">
      <c r="A1138" t="s">
        <v>2794</v>
      </c>
      <c r="D1138" t="str">
        <f>HYPERLINK("http://nlpdeep.cs.uic.edu:8080/proofing/gsii/523175-past-medical-history-0-4.pdf","gsii/523175-past-medical-history-0-4.pdf")</f>
        <v>gsii/523175-past-medical-history-0-4.pdf</v>
      </c>
      <c r="E1138">
        <v>120842</v>
      </c>
      <c r="F1138">
        <v>523175</v>
      </c>
      <c r="G1138" t="s">
        <v>306</v>
      </c>
      <c r="H1138" t="s">
        <v>76</v>
      </c>
      <c r="I1138" t="s">
        <v>2795</v>
      </c>
    </row>
    <row r="1139" spans="1:9" x14ac:dyDescent="0.2">
      <c r="A1139" t="s">
        <v>2796</v>
      </c>
      <c r="D1139" t="str">
        <f>HYPERLINK("http://nlpdeep.cs.uic.edu:8080/proofing/t5/523175-past-medical-history-0-5.pdf","t5/523175-past-medical-history-0-5.pdf")</f>
        <v>t5/523175-past-medical-history-0-5.pdf</v>
      </c>
      <c r="E1139">
        <v>120842</v>
      </c>
      <c r="F1139">
        <v>523175</v>
      </c>
      <c r="G1139" t="s">
        <v>306</v>
      </c>
      <c r="H1139" t="s">
        <v>76</v>
      </c>
      <c r="I1139" t="s">
        <v>2797</v>
      </c>
    </row>
    <row r="1140" spans="1:9" x14ac:dyDescent="0.2">
      <c r="A1140" t="s">
        <v>2796</v>
      </c>
      <c r="D1140" t="str">
        <f>HYPERLINK("http://nlpdeep.cs.uic.edu:8080/proofing/gsii/523175-past-medical-history-0-5.pdf","gsii/523175-past-medical-history-0-5.pdf")</f>
        <v>gsii/523175-past-medical-history-0-5.pdf</v>
      </c>
      <c r="E1140">
        <v>120842</v>
      </c>
      <c r="F1140">
        <v>523175</v>
      </c>
      <c r="G1140" t="s">
        <v>306</v>
      </c>
      <c r="H1140" t="s">
        <v>76</v>
      </c>
      <c r="I1140" t="s">
        <v>2797</v>
      </c>
    </row>
    <row r="1141" spans="1:9" x14ac:dyDescent="0.2">
      <c r="A1141" t="s">
        <v>2798</v>
      </c>
      <c r="D1141" t="str">
        <f>HYPERLINK("http://nlpdeep.cs.uic.edu:8080/proofing/t5/523175-social-and-family-history-0-0.pdf","t5/523175-social-and-family-history-0-0.pdf")</f>
        <v>t5/523175-social-and-family-history-0-0.pdf</v>
      </c>
      <c r="E1141">
        <v>120842</v>
      </c>
      <c r="F1141">
        <v>523175</v>
      </c>
      <c r="G1141" t="s">
        <v>306</v>
      </c>
      <c r="H1141" t="s">
        <v>2799</v>
      </c>
      <c r="I1141" t="s">
        <v>2800</v>
      </c>
    </row>
    <row r="1142" spans="1:9" x14ac:dyDescent="0.2">
      <c r="A1142" t="s">
        <v>2798</v>
      </c>
      <c r="D1142" t="str">
        <f>HYPERLINK("http://nlpdeep.cs.uic.edu:8080/proofing/gsii/523175-social-and-family-history-0-0.pdf","gsii/523175-social-and-family-history-0-0.pdf")</f>
        <v>gsii/523175-social-and-family-history-0-0.pdf</v>
      </c>
      <c r="E1142">
        <v>120842</v>
      </c>
      <c r="F1142">
        <v>523175</v>
      </c>
      <c r="G1142" t="s">
        <v>306</v>
      </c>
      <c r="H1142" t="s">
        <v>2799</v>
      </c>
      <c r="I1142" t="s">
        <v>2800</v>
      </c>
    </row>
    <row r="1143" spans="1:9" x14ac:dyDescent="0.2">
      <c r="A1143" t="s">
        <v>2801</v>
      </c>
      <c r="D1143" t="str">
        <f>HYPERLINK("http://nlpdeep.cs.uic.edu:8080/proofing/t5/523175-social-and-family-history-0-1.pdf","t5/523175-social-and-family-history-0-1.pdf")</f>
        <v>t5/523175-social-and-family-history-0-1.pdf</v>
      </c>
      <c r="E1143">
        <v>120842</v>
      </c>
      <c r="F1143">
        <v>523175</v>
      </c>
      <c r="G1143" t="s">
        <v>306</v>
      </c>
      <c r="H1143" t="s">
        <v>2799</v>
      </c>
      <c r="I1143" t="s">
        <v>2802</v>
      </c>
    </row>
    <row r="1144" spans="1:9" x14ac:dyDescent="0.2">
      <c r="A1144" t="s">
        <v>2801</v>
      </c>
      <c r="D1144" t="str">
        <f>HYPERLINK("http://nlpdeep.cs.uic.edu:8080/proofing/gsii/523175-social-and-family-history-0-1.pdf","gsii/523175-social-and-family-history-0-1.pdf")</f>
        <v>gsii/523175-social-and-family-history-0-1.pdf</v>
      </c>
      <c r="E1144">
        <v>120842</v>
      </c>
      <c r="F1144">
        <v>523175</v>
      </c>
      <c r="G1144" t="s">
        <v>306</v>
      </c>
      <c r="H1144" t="s">
        <v>2799</v>
      </c>
      <c r="I1144" t="s">
        <v>2802</v>
      </c>
    </row>
    <row r="1145" spans="1:9" x14ac:dyDescent="0.2">
      <c r="A1145" t="s">
        <v>2803</v>
      </c>
      <c r="D1145" t="str">
        <f>HYPERLINK("http://nlpdeep.cs.uic.edu:8080/proofing/t5/523175-social-and-family-history-0-2.pdf","t5/523175-social-and-family-history-0-2.pdf")</f>
        <v>t5/523175-social-and-family-history-0-2.pdf</v>
      </c>
      <c r="E1145">
        <v>120842</v>
      </c>
      <c r="F1145">
        <v>523175</v>
      </c>
      <c r="G1145" t="s">
        <v>306</v>
      </c>
      <c r="H1145" t="s">
        <v>2799</v>
      </c>
      <c r="I1145" t="s">
        <v>2804</v>
      </c>
    </row>
    <row r="1146" spans="1:9" x14ac:dyDescent="0.2">
      <c r="A1146" t="s">
        <v>2803</v>
      </c>
      <c r="D1146" t="str">
        <f>HYPERLINK("http://nlpdeep.cs.uic.edu:8080/proofing/gsii/523175-social-and-family-history-0-2.pdf","gsii/523175-social-and-family-history-0-2.pdf")</f>
        <v>gsii/523175-social-and-family-history-0-2.pdf</v>
      </c>
      <c r="E1146">
        <v>120842</v>
      </c>
      <c r="F1146">
        <v>523175</v>
      </c>
      <c r="G1146" t="s">
        <v>306</v>
      </c>
      <c r="H1146" t="s">
        <v>2799</v>
      </c>
      <c r="I1146" t="s">
        <v>2804</v>
      </c>
    </row>
    <row r="1147" spans="1:9" x14ac:dyDescent="0.2">
      <c r="A1147" t="s">
        <v>2805</v>
      </c>
      <c r="D1147" t="str">
        <f>HYPERLINK("http://nlpdeep.cs.uic.edu:8080/proofing/t5/523175-social-and-family-history-0-3.pdf","t5/523175-social-and-family-history-0-3.pdf")</f>
        <v>t5/523175-social-and-family-history-0-3.pdf</v>
      </c>
      <c r="E1147">
        <v>120842</v>
      </c>
      <c r="F1147">
        <v>523175</v>
      </c>
      <c r="G1147" t="s">
        <v>306</v>
      </c>
      <c r="H1147" t="s">
        <v>2799</v>
      </c>
      <c r="I1147" t="s">
        <v>2806</v>
      </c>
    </row>
    <row r="1148" spans="1:9" x14ac:dyDescent="0.2">
      <c r="A1148" t="s">
        <v>2805</v>
      </c>
      <c r="D1148" t="str">
        <f>HYPERLINK("http://nlpdeep.cs.uic.edu:8080/proofing/gsii/523175-social-and-family-history-0-3.pdf","gsii/523175-social-and-family-history-0-3.pdf")</f>
        <v>gsii/523175-social-and-family-history-0-3.pdf</v>
      </c>
      <c r="E1148">
        <v>120842</v>
      </c>
      <c r="F1148">
        <v>523175</v>
      </c>
      <c r="G1148" t="s">
        <v>306</v>
      </c>
      <c r="H1148" t="s">
        <v>2799</v>
      </c>
      <c r="I1148" t="s">
        <v>2806</v>
      </c>
    </row>
    <row r="1149" spans="1:9" x14ac:dyDescent="0.2">
      <c r="A1149" t="s">
        <v>2807</v>
      </c>
      <c r="D1149" t="str">
        <f>HYPERLINK("http://nlpdeep.cs.uic.edu:8080/proofing/t5/523175-social-and-family-history-0-4.pdf","t5/523175-social-and-family-history-0-4.pdf")</f>
        <v>t5/523175-social-and-family-history-0-4.pdf</v>
      </c>
      <c r="E1149">
        <v>120842</v>
      </c>
      <c r="F1149">
        <v>523175</v>
      </c>
      <c r="G1149" t="s">
        <v>306</v>
      </c>
      <c r="H1149" t="s">
        <v>2799</v>
      </c>
      <c r="I1149" t="s">
        <v>2808</v>
      </c>
    </row>
    <row r="1150" spans="1:9" x14ac:dyDescent="0.2">
      <c r="A1150" t="s">
        <v>2807</v>
      </c>
      <c r="D1150" t="str">
        <f>HYPERLINK("http://nlpdeep.cs.uic.edu:8080/proofing/gsii/523175-social-and-family-history-0-4.pdf","gsii/523175-social-and-family-history-0-4.pdf")</f>
        <v>gsii/523175-social-and-family-history-0-4.pdf</v>
      </c>
      <c r="E1150">
        <v>120842</v>
      </c>
      <c r="F1150">
        <v>523175</v>
      </c>
      <c r="G1150" t="s">
        <v>306</v>
      </c>
      <c r="H1150" t="s">
        <v>2799</v>
      </c>
      <c r="I1150" t="s">
        <v>2808</v>
      </c>
    </row>
    <row r="1151" spans="1:9" x14ac:dyDescent="0.2">
      <c r="A1151" t="s">
        <v>2809</v>
      </c>
      <c r="D1151" t="str">
        <f>HYPERLINK("http://nlpdeep.cs.uic.edu:8080/proofing/t5/523175-physical-examination-0-0.pdf","t5/523175-physical-examination-0-0.pdf")</f>
        <v>t5/523175-physical-examination-0-0.pdf</v>
      </c>
      <c r="E1151">
        <v>120842</v>
      </c>
      <c r="F1151">
        <v>523175</v>
      </c>
      <c r="G1151" t="s">
        <v>306</v>
      </c>
      <c r="H1151" t="s">
        <v>138</v>
      </c>
      <c r="I1151" t="s">
        <v>2810</v>
      </c>
    </row>
    <row r="1152" spans="1:9" x14ac:dyDescent="0.2">
      <c r="A1152" t="s">
        <v>2809</v>
      </c>
      <c r="D1152" t="str">
        <f>HYPERLINK("http://nlpdeep.cs.uic.edu:8080/proofing/gsii/523175-physical-examination-0-0.pdf","gsii/523175-physical-examination-0-0.pdf")</f>
        <v>gsii/523175-physical-examination-0-0.pdf</v>
      </c>
      <c r="E1152">
        <v>120842</v>
      </c>
      <c r="F1152">
        <v>523175</v>
      </c>
      <c r="G1152" t="s">
        <v>306</v>
      </c>
      <c r="H1152" t="s">
        <v>138</v>
      </c>
      <c r="I1152" t="s">
        <v>2810</v>
      </c>
    </row>
    <row r="1153" spans="1:9" x14ac:dyDescent="0.2">
      <c r="A1153" t="s">
        <v>2811</v>
      </c>
      <c r="D1153" t="str">
        <f>HYPERLINK("http://nlpdeep.cs.uic.edu:8080/proofing/t5/523175-physical-examination-0-1.pdf","t5/523175-physical-examination-0-1.pdf")</f>
        <v>t5/523175-physical-examination-0-1.pdf</v>
      </c>
      <c r="E1153">
        <v>120842</v>
      </c>
      <c r="F1153">
        <v>523175</v>
      </c>
      <c r="G1153" t="s">
        <v>306</v>
      </c>
      <c r="H1153" t="s">
        <v>138</v>
      </c>
      <c r="I1153" t="s">
        <v>2812</v>
      </c>
    </row>
    <row r="1154" spans="1:9" x14ac:dyDescent="0.2">
      <c r="A1154" t="s">
        <v>2811</v>
      </c>
      <c r="D1154" t="str">
        <f>HYPERLINK("http://nlpdeep.cs.uic.edu:8080/proofing/gsii/523175-physical-examination-0-1.pdf","gsii/523175-physical-examination-0-1.pdf")</f>
        <v>gsii/523175-physical-examination-0-1.pdf</v>
      </c>
      <c r="E1154">
        <v>120842</v>
      </c>
      <c r="F1154">
        <v>523175</v>
      </c>
      <c r="G1154" t="s">
        <v>306</v>
      </c>
      <c r="H1154" t="s">
        <v>138</v>
      </c>
      <c r="I1154" t="s">
        <v>2812</v>
      </c>
    </row>
    <row r="1155" spans="1:9" x14ac:dyDescent="0.2">
      <c r="A1155" t="s">
        <v>2813</v>
      </c>
      <c r="D1155" t="str">
        <f>HYPERLINK("http://nlpdeep.cs.uic.edu:8080/proofing/t5/523175-labs-imaging-0-0.pdf","t5/523175-labs-imaging-0-0.pdf")</f>
        <v>t5/523175-labs-imaging-0-0.pdf</v>
      </c>
      <c r="E1155">
        <v>120842</v>
      </c>
      <c r="F1155">
        <v>523175</v>
      </c>
      <c r="G1155" t="s">
        <v>306</v>
      </c>
      <c r="H1155" t="s">
        <v>147</v>
      </c>
      <c r="I1155" t="s">
        <v>2814</v>
      </c>
    </row>
    <row r="1156" spans="1:9" x14ac:dyDescent="0.2">
      <c r="A1156" t="s">
        <v>2813</v>
      </c>
      <c r="D1156" t="str">
        <f>HYPERLINK("http://nlpdeep.cs.uic.edu:8080/proofing/gsii/523175-labs-imaging-0-0.pdf","gsii/523175-labs-imaging-0-0.pdf")</f>
        <v>gsii/523175-labs-imaging-0-0.pdf</v>
      </c>
      <c r="E1156">
        <v>120842</v>
      </c>
      <c r="F1156">
        <v>523175</v>
      </c>
      <c r="G1156" t="s">
        <v>306</v>
      </c>
      <c r="H1156" t="s">
        <v>147</v>
      </c>
      <c r="I1156" t="s">
        <v>2814</v>
      </c>
    </row>
    <row r="1157" spans="1:9" x14ac:dyDescent="0.2">
      <c r="A1157" t="s">
        <v>2815</v>
      </c>
      <c r="D1157" t="str">
        <f>HYPERLINK("http://nlpdeep.cs.uic.edu:8080/proofing/t5/523175-labs-imaging-0-1.pdf","t5/523175-labs-imaging-0-1.pdf")</f>
        <v>t5/523175-labs-imaging-0-1.pdf</v>
      </c>
      <c r="E1157">
        <v>120842</v>
      </c>
      <c r="F1157">
        <v>523175</v>
      </c>
      <c r="G1157" t="s">
        <v>306</v>
      </c>
      <c r="H1157" t="s">
        <v>147</v>
      </c>
      <c r="I1157" t="s">
        <v>2816</v>
      </c>
    </row>
    <row r="1158" spans="1:9" x14ac:dyDescent="0.2">
      <c r="A1158" t="s">
        <v>2815</v>
      </c>
      <c r="D1158" t="str">
        <f>HYPERLINK("http://nlpdeep.cs.uic.edu:8080/proofing/gsii/523175-labs-imaging-0-1.pdf","gsii/523175-labs-imaging-0-1.pdf")</f>
        <v>gsii/523175-labs-imaging-0-1.pdf</v>
      </c>
      <c r="E1158">
        <v>120842</v>
      </c>
      <c r="F1158">
        <v>523175</v>
      </c>
      <c r="G1158" t="s">
        <v>306</v>
      </c>
      <c r="H1158" t="s">
        <v>147</v>
      </c>
      <c r="I1158" t="s">
        <v>2816</v>
      </c>
    </row>
    <row r="1159" spans="1:9" x14ac:dyDescent="0.2">
      <c r="A1159" t="s">
        <v>2817</v>
      </c>
      <c r="D1159" t="str">
        <f>HYPERLINK("http://nlpdeep.cs.uic.edu:8080/proofing/t5/523175-assessment-and-plan-0-0.pdf","t5/523175-assessment-and-plan-0-0.pdf")</f>
        <v>t5/523175-assessment-and-plan-0-0.pdf</v>
      </c>
      <c r="E1159">
        <v>120842</v>
      </c>
      <c r="F1159">
        <v>523175</v>
      </c>
      <c r="G1159" t="s">
        <v>306</v>
      </c>
      <c r="H1159" t="s">
        <v>195</v>
      </c>
      <c r="I1159" t="s">
        <v>2818</v>
      </c>
    </row>
    <row r="1160" spans="1:9" x14ac:dyDescent="0.2">
      <c r="A1160" t="s">
        <v>2817</v>
      </c>
      <c r="D1160" t="str">
        <f>HYPERLINK("http://nlpdeep.cs.uic.edu:8080/proofing/gsii/523175-assessment-and-plan-0-0.pdf","gsii/523175-assessment-and-plan-0-0.pdf")</f>
        <v>gsii/523175-assessment-and-plan-0-0.pdf</v>
      </c>
      <c r="E1160">
        <v>120842</v>
      </c>
      <c r="F1160">
        <v>523175</v>
      </c>
      <c r="G1160" t="s">
        <v>306</v>
      </c>
      <c r="H1160" t="s">
        <v>195</v>
      </c>
      <c r="I1160" t="s">
        <v>2818</v>
      </c>
    </row>
    <row r="1161" spans="1:9" x14ac:dyDescent="0.2">
      <c r="A1161" t="s">
        <v>2819</v>
      </c>
      <c r="D1161" t="str">
        <f>HYPERLINK("http://nlpdeep.cs.uic.edu:8080/proofing/t5/523175-assessment-and-plan-0-1.pdf","t5/523175-assessment-and-plan-0-1.pdf")</f>
        <v>t5/523175-assessment-and-plan-0-1.pdf</v>
      </c>
      <c r="E1161">
        <v>120842</v>
      </c>
      <c r="F1161">
        <v>523175</v>
      </c>
      <c r="G1161" t="s">
        <v>306</v>
      </c>
      <c r="H1161" t="s">
        <v>195</v>
      </c>
      <c r="I1161" t="s">
        <v>2820</v>
      </c>
    </row>
    <row r="1162" spans="1:9" x14ac:dyDescent="0.2">
      <c r="A1162" t="s">
        <v>2819</v>
      </c>
      <c r="D1162" t="str">
        <f>HYPERLINK("http://nlpdeep.cs.uic.edu:8080/proofing/gsii/523175-assessment-and-plan-0-1.pdf","gsii/523175-assessment-and-plan-0-1.pdf")</f>
        <v>gsii/523175-assessment-and-plan-0-1.pdf</v>
      </c>
      <c r="E1162">
        <v>120842</v>
      </c>
      <c r="F1162">
        <v>523175</v>
      </c>
      <c r="G1162" t="s">
        <v>306</v>
      </c>
      <c r="H1162" t="s">
        <v>195</v>
      </c>
      <c r="I1162" t="s">
        <v>2820</v>
      </c>
    </row>
    <row r="1163" spans="1:9" x14ac:dyDescent="0.2">
      <c r="A1163" t="s">
        <v>2821</v>
      </c>
      <c r="D1163" t="str">
        <f>HYPERLINK("http://nlpdeep.cs.uic.edu:8080/proofing/t5/523175-assessment-and-plan-0-2.pdf","t5/523175-assessment-and-plan-0-2.pdf")</f>
        <v>t5/523175-assessment-and-plan-0-2.pdf</v>
      </c>
      <c r="E1163">
        <v>120842</v>
      </c>
      <c r="F1163">
        <v>523175</v>
      </c>
      <c r="G1163" t="s">
        <v>306</v>
      </c>
      <c r="H1163" t="s">
        <v>195</v>
      </c>
      <c r="I1163" t="s">
        <v>2822</v>
      </c>
    </row>
    <row r="1164" spans="1:9" x14ac:dyDescent="0.2">
      <c r="A1164" t="s">
        <v>2821</v>
      </c>
      <c r="D1164" t="str">
        <f>HYPERLINK("http://nlpdeep.cs.uic.edu:8080/proofing/gsii/523175-assessment-and-plan-0-2.pdf","gsii/523175-assessment-and-plan-0-2.pdf")</f>
        <v>gsii/523175-assessment-and-plan-0-2.pdf</v>
      </c>
      <c r="E1164">
        <v>120842</v>
      </c>
      <c r="F1164">
        <v>523175</v>
      </c>
      <c r="G1164" t="s">
        <v>306</v>
      </c>
      <c r="H1164" t="s">
        <v>195</v>
      </c>
      <c r="I1164" t="s">
        <v>2822</v>
      </c>
    </row>
    <row r="1165" spans="1:9" x14ac:dyDescent="0.2">
      <c r="A1165" t="s">
        <v>2823</v>
      </c>
      <c r="D1165" t="str">
        <f>HYPERLINK("http://nlpdeep.cs.uic.edu:8080/proofing/t5/523175-assessment-and-plan-0-3.pdf","t5/523175-assessment-and-plan-0-3.pdf")</f>
        <v>t5/523175-assessment-and-plan-0-3.pdf</v>
      </c>
      <c r="E1165">
        <v>120842</v>
      </c>
      <c r="F1165">
        <v>523175</v>
      </c>
      <c r="G1165" t="s">
        <v>306</v>
      </c>
      <c r="H1165" t="s">
        <v>195</v>
      </c>
      <c r="I1165" t="s">
        <v>2824</v>
      </c>
    </row>
    <row r="1166" spans="1:9" x14ac:dyDescent="0.2">
      <c r="A1166" t="s">
        <v>2823</v>
      </c>
      <c r="D1166" t="str">
        <f>HYPERLINK("http://nlpdeep.cs.uic.edu:8080/proofing/gsii/523175-assessment-and-plan-0-3.pdf","gsii/523175-assessment-and-plan-0-3.pdf")</f>
        <v>gsii/523175-assessment-and-plan-0-3.pdf</v>
      </c>
      <c r="E1166">
        <v>120842</v>
      </c>
      <c r="F1166">
        <v>523175</v>
      </c>
      <c r="G1166" t="s">
        <v>306</v>
      </c>
      <c r="H1166" t="s">
        <v>195</v>
      </c>
      <c r="I1166" t="s">
        <v>2824</v>
      </c>
    </row>
    <row r="1167" spans="1:9" x14ac:dyDescent="0.2">
      <c r="A1167" t="s">
        <v>2825</v>
      </c>
      <c r="D1167" t="str">
        <f>HYPERLINK("http://nlpdeep.cs.uic.edu:8080/proofing/t5/523151-reason-0-0.pdf","t5/523151-reason-0-0.pdf")</f>
        <v>t5/523151-reason-0-0.pdf</v>
      </c>
      <c r="E1167">
        <v>120842</v>
      </c>
      <c r="F1167">
        <v>523151</v>
      </c>
      <c r="G1167" t="s">
        <v>306</v>
      </c>
      <c r="H1167" t="s">
        <v>1823</v>
      </c>
      <c r="I1167" t="s">
        <v>2826</v>
      </c>
    </row>
    <row r="1168" spans="1:9" x14ac:dyDescent="0.2">
      <c r="A1168" t="s">
        <v>2825</v>
      </c>
      <c r="D1168" t="str">
        <f>HYPERLINK("http://nlpdeep.cs.uic.edu:8080/proofing/gsii/523151-reason-0-0.pdf","gsii/523151-reason-0-0.pdf")</f>
        <v>gsii/523151-reason-0-0.pdf</v>
      </c>
      <c r="E1168">
        <v>120842</v>
      </c>
      <c r="F1168">
        <v>523151</v>
      </c>
      <c r="G1168" t="s">
        <v>306</v>
      </c>
      <c r="H1168" t="s">
        <v>1823</v>
      </c>
      <c r="I1168" t="s">
        <v>2826</v>
      </c>
    </row>
    <row r="1169" spans="1:9" x14ac:dyDescent="0.2">
      <c r="A1169" t="s">
        <v>2827</v>
      </c>
      <c r="D1169" t="str">
        <f>HYPERLINK("http://nlpdeep.cs.uic.edu:8080/proofing/t5/523151-history-of-present-illness-0-0.pdf","t5/523151-history-of-present-illness-0-0.pdf")</f>
        <v>t5/523151-history-of-present-illness-0-0.pdf</v>
      </c>
      <c r="E1169">
        <v>120842</v>
      </c>
      <c r="F1169">
        <v>523151</v>
      </c>
      <c r="G1169" t="s">
        <v>306</v>
      </c>
      <c r="H1169" t="s">
        <v>13</v>
      </c>
      <c r="I1169" t="s">
        <v>2748</v>
      </c>
    </row>
    <row r="1170" spans="1:9" x14ac:dyDescent="0.2">
      <c r="A1170" t="s">
        <v>2827</v>
      </c>
      <c r="D1170" t="str">
        <f>HYPERLINK("http://nlpdeep.cs.uic.edu:8080/proofing/gsii/523151-history-of-present-illness-0-0.pdf","gsii/523151-history-of-present-illness-0-0.pdf")</f>
        <v>gsii/523151-history-of-present-illness-0-0.pdf</v>
      </c>
      <c r="E1170">
        <v>120842</v>
      </c>
      <c r="F1170">
        <v>523151</v>
      </c>
      <c r="G1170" t="s">
        <v>306</v>
      </c>
      <c r="H1170" t="s">
        <v>13</v>
      </c>
      <c r="I1170" t="s">
        <v>2748</v>
      </c>
    </row>
    <row r="1171" spans="1:9" x14ac:dyDescent="0.2">
      <c r="A1171" t="s">
        <v>2828</v>
      </c>
      <c r="D1171" t="str">
        <f>HYPERLINK("http://nlpdeep.cs.uic.edu:8080/proofing/t5/523151-history-of-present-illness-0-1.pdf","t5/523151-history-of-present-illness-0-1.pdf")</f>
        <v>t5/523151-history-of-present-illness-0-1.pdf</v>
      </c>
      <c r="E1171">
        <v>120842</v>
      </c>
      <c r="F1171">
        <v>523151</v>
      </c>
      <c r="G1171" t="s">
        <v>306</v>
      </c>
      <c r="H1171" t="s">
        <v>13</v>
      </c>
      <c r="I1171" t="s">
        <v>2750</v>
      </c>
    </row>
    <row r="1172" spans="1:9" x14ac:dyDescent="0.2">
      <c r="A1172" t="s">
        <v>2828</v>
      </c>
      <c r="D1172" t="str">
        <f>HYPERLINK("http://nlpdeep.cs.uic.edu:8080/proofing/gsii/523151-history-of-present-illness-0-1.pdf","gsii/523151-history-of-present-illness-0-1.pdf")</f>
        <v>gsii/523151-history-of-present-illness-0-1.pdf</v>
      </c>
      <c r="E1172">
        <v>120842</v>
      </c>
      <c r="F1172">
        <v>523151</v>
      </c>
      <c r="G1172" t="s">
        <v>306</v>
      </c>
      <c r="H1172" t="s">
        <v>13</v>
      </c>
      <c r="I1172" t="s">
        <v>2750</v>
      </c>
    </row>
    <row r="1173" spans="1:9" x14ac:dyDescent="0.2">
      <c r="A1173" t="s">
        <v>2829</v>
      </c>
      <c r="D1173" t="str">
        <f>HYPERLINK("http://nlpdeep.cs.uic.edu:8080/proofing/t5/523151-history-of-present-illness-0-2.pdf","t5/523151-history-of-present-illness-0-2.pdf")</f>
        <v>t5/523151-history-of-present-illness-0-2.pdf</v>
      </c>
      <c r="E1173">
        <v>120842</v>
      </c>
      <c r="F1173">
        <v>523151</v>
      </c>
      <c r="G1173" t="s">
        <v>306</v>
      </c>
      <c r="H1173" t="s">
        <v>13</v>
      </c>
      <c r="I1173" t="s">
        <v>2752</v>
      </c>
    </row>
    <row r="1174" spans="1:9" x14ac:dyDescent="0.2">
      <c r="A1174" t="s">
        <v>2829</v>
      </c>
      <c r="D1174" t="str">
        <f>HYPERLINK("http://nlpdeep.cs.uic.edu:8080/proofing/gsii/523151-history-of-present-illness-0-2.pdf","gsii/523151-history-of-present-illness-0-2.pdf")</f>
        <v>gsii/523151-history-of-present-illness-0-2.pdf</v>
      </c>
      <c r="E1174">
        <v>120842</v>
      </c>
      <c r="F1174">
        <v>523151</v>
      </c>
      <c r="G1174" t="s">
        <v>306</v>
      </c>
      <c r="H1174" t="s">
        <v>13</v>
      </c>
      <c r="I1174" t="s">
        <v>2752</v>
      </c>
    </row>
    <row r="1175" spans="1:9" x14ac:dyDescent="0.2">
      <c r="A1175" t="s">
        <v>2830</v>
      </c>
      <c r="D1175" t="str">
        <f>HYPERLINK("http://nlpdeep.cs.uic.edu:8080/proofing/t5/523151-history-of-present-illness-0-3.pdf","t5/523151-history-of-present-illness-0-3.pdf")</f>
        <v>t5/523151-history-of-present-illness-0-3.pdf</v>
      </c>
      <c r="E1175">
        <v>120842</v>
      </c>
      <c r="F1175">
        <v>523151</v>
      </c>
      <c r="G1175" t="s">
        <v>306</v>
      </c>
      <c r="H1175" t="s">
        <v>13</v>
      </c>
      <c r="I1175" t="s">
        <v>2754</v>
      </c>
    </row>
    <row r="1176" spans="1:9" x14ac:dyDescent="0.2">
      <c r="A1176" t="s">
        <v>2830</v>
      </c>
      <c r="D1176" t="str">
        <f>HYPERLINK("http://nlpdeep.cs.uic.edu:8080/proofing/gsii/523151-history-of-present-illness-0-3.pdf","gsii/523151-history-of-present-illness-0-3.pdf")</f>
        <v>gsii/523151-history-of-present-illness-0-3.pdf</v>
      </c>
      <c r="E1176">
        <v>120842</v>
      </c>
      <c r="F1176">
        <v>523151</v>
      </c>
      <c r="G1176" t="s">
        <v>306</v>
      </c>
      <c r="H1176" t="s">
        <v>13</v>
      </c>
      <c r="I1176" t="s">
        <v>2754</v>
      </c>
    </row>
    <row r="1177" spans="1:9" x14ac:dyDescent="0.2">
      <c r="A1177" t="s">
        <v>2831</v>
      </c>
      <c r="D1177" t="str">
        <f>HYPERLINK("http://nlpdeep.cs.uic.edu:8080/proofing/t5/523151-history-of-present-illness-0-4.pdf","t5/523151-history-of-present-illness-0-4.pdf")</f>
        <v>t5/523151-history-of-present-illness-0-4.pdf</v>
      </c>
      <c r="E1177">
        <v>120842</v>
      </c>
      <c r="F1177">
        <v>523151</v>
      </c>
      <c r="G1177" t="s">
        <v>306</v>
      </c>
      <c r="H1177" t="s">
        <v>13</v>
      </c>
      <c r="I1177" t="s">
        <v>2756</v>
      </c>
    </row>
    <row r="1178" spans="1:9" x14ac:dyDescent="0.2">
      <c r="A1178" t="s">
        <v>2831</v>
      </c>
      <c r="D1178" t="str">
        <f>HYPERLINK("http://nlpdeep.cs.uic.edu:8080/proofing/gsii/523151-history-of-present-illness-0-4.pdf","gsii/523151-history-of-present-illness-0-4.pdf")</f>
        <v>gsii/523151-history-of-present-illness-0-4.pdf</v>
      </c>
      <c r="E1178">
        <v>120842</v>
      </c>
      <c r="F1178">
        <v>523151</v>
      </c>
      <c r="G1178" t="s">
        <v>306</v>
      </c>
      <c r="H1178" t="s">
        <v>13</v>
      </c>
      <c r="I1178" t="s">
        <v>2756</v>
      </c>
    </row>
    <row r="1179" spans="1:9" x14ac:dyDescent="0.2">
      <c r="A1179" t="s">
        <v>2832</v>
      </c>
      <c r="D1179" t="str">
        <f>HYPERLINK("http://nlpdeep.cs.uic.edu:8080/proofing/t5/523151-history-of-present-illness-0-5.pdf","t5/523151-history-of-present-illness-0-5.pdf")</f>
        <v>t5/523151-history-of-present-illness-0-5.pdf</v>
      </c>
      <c r="E1179">
        <v>120842</v>
      </c>
      <c r="F1179">
        <v>523151</v>
      </c>
      <c r="G1179" t="s">
        <v>306</v>
      </c>
      <c r="H1179" t="s">
        <v>13</v>
      </c>
      <c r="I1179" t="s">
        <v>2758</v>
      </c>
    </row>
    <row r="1180" spans="1:9" x14ac:dyDescent="0.2">
      <c r="A1180" t="s">
        <v>2832</v>
      </c>
      <c r="D1180" t="str">
        <f>HYPERLINK("http://nlpdeep.cs.uic.edu:8080/proofing/gsii/523151-history-of-present-illness-0-5.pdf","gsii/523151-history-of-present-illness-0-5.pdf")</f>
        <v>gsii/523151-history-of-present-illness-0-5.pdf</v>
      </c>
      <c r="E1180">
        <v>120842</v>
      </c>
      <c r="F1180">
        <v>523151</v>
      </c>
      <c r="G1180" t="s">
        <v>306</v>
      </c>
      <c r="H1180" t="s">
        <v>13</v>
      </c>
      <c r="I1180" t="s">
        <v>2758</v>
      </c>
    </row>
    <row r="1181" spans="1:9" x14ac:dyDescent="0.2">
      <c r="A1181" t="s">
        <v>2833</v>
      </c>
      <c r="D1181" t="str">
        <f>HYPERLINK("http://nlpdeep.cs.uic.edu:8080/proofing/t5/523151-history-of-present-illness-1-0.pdf","t5/523151-history-of-present-illness-1-0.pdf")</f>
        <v>t5/523151-history-of-present-illness-1-0.pdf</v>
      </c>
      <c r="E1181">
        <v>120842</v>
      </c>
      <c r="F1181">
        <v>523151</v>
      </c>
      <c r="G1181" t="s">
        <v>306</v>
      </c>
      <c r="H1181" t="s">
        <v>13</v>
      </c>
      <c r="I1181" t="s">
        <v>2760</v>
      </c>
    </row>
    <row r="1182" spans="1:9" x14ac:dyDescent="0.2">
      <c r="A1182" t="s">
        <v>2833</v>
      </c>
      <c r="D1182" t="str">
        <f>HYPERLINK("http://nlpdeep.cs.uic.edu:8080/proofing/gsii/523151-history-of-present-illness-1-0.pdf","gsii/523151-history-of-present-illness-1-0.pdf")</f>
        <v>gsii/523151-history-of-present-illness-1-0.pdf</v>
      </c>
      <c r="E1182">
        <v>120842</v>
      </c>
      <c r="F1182">
        <v>523151</v>
      </c>
      <c r="G1182" t="s">
        <v>306</v>
      </c>
      <c r="H1182" t="s">
        <v>13</v>
      </c>
      <c r="I1182" t="s">
        <v>2760</v>
      </c>
    </row>
    <row r="1183" spans="1:9" x14ac:dyDescent="0.2">
      <c r="A1183" t="s">
        <v>2834</v>
      </c>
      <c r="D1183" t="str">
        <f>HYPERLINK("http://nlpdeep.cs.uic.edu:8080/proofing/t5/523151-history-of-present-illness-1-1.pdf","t5/523151-history-of-present-illness-1-1.pdf")</f>
        <v>t5/523151-history-of-present-illness-1-1.pdf</v>
      </c>
      <c r="E1183">
        <v>120842</v>
      </c>
      <c r="F1183">
        <v>523151</v>
      </c>
      <c r="G1183" t="s">
        <v>306</v>
      </c>
      <c r="H1183" t="s">
        <v>13</v>
      </c>
      <c r="I1183" t="s">
        <v>2762</v>
      </c>
    </row>
    <row r="1184" spans="1:9" x14ac:dyDescent="0.2">
      <c r="A1184" t="s">
        <v>2834</v>
      </c>
      <c r="D1184" t="str">
        <f>HYPERLINK("http://nlpdeep.cs.uic.edu:8080/proofing/gsii/523151-history-of-present-illness-1-1.pdf","gsii/523151-history-of-present-illness-1-1.pdf")</f>
        <v>gsii/523151-history-of-present-illness-1-1.pdf</v>
      </c>
      <c r="E1184">
        <v>120842</v>
      </c>
      <c r="F1184">
        <v>523151</v>
      </c>
      <c r="G1184" t="s">
        <v>306</v>
      </c>
      <c r="H1184" t="s">
        <v>13</v>
      </c>
      <c r="I1184" t="s">
        <v>2762</v>
      </c>
    </row>
    <row r="1185" spans="1:9" x14ac:dyDescent="0.2">
      <c r="A1185" t="s">
        <v>2835</v>
      </c>
      <c r="D1185" t="str">
        <f>HYPERLINK("http://nlpdeep.cs.uic.edu:8080/proofing/t5/523151-history-of-present-illness-1-2.pdf","t5/523151-history-of-present-illness-1-2.pdf")</f>
        <v>t5/523151-history-of-present-illness-1-2.pdf</v>
      </c>
      <c r="E1185">
        <v>120842</v>
      </c>
      <c r="F1185">
        <v>523151</v>
      </c>
      <c r="G1185" t="s">
        <v>306</v>
      </c>
      <c r="H1185" t="s">
        <v>13</v>
      </c>
      <c r="I1185" t="s">
        <v>2764</v>
      </c>
    </row>
    <row r="1186" spans="1:9" x14ac:dyDescent="0.2">
      <c r="A1186" t="s">
        <v>2835</v>
      </c>
      <c r="D1186" t="str">
        <f>HYPERLINK("http://nlpdeep.cs.uic.edu:8080/proofing/gsii/523151-history-of-present-illness-1-2.pdf","gsii/523151-history-of-present-illness-1-2.pdf")</f>
        <v>gsii/523151-history-of-present-illness-1-2.pdf</v>
      </c>
      <c r="E1186">
        <v>120842</v>
      </c>
      <c r="F1186">
        <v>523151</v>
      </c>
      <c r="G1186" t="s">
        <v>306</v>
      </c>
      <c r="H1186" t="s">
        <v>13</v>
      </c>
      <c r="I1186" t="s">
        <v>2764</v>
      </c>
    </row>
    <row r="1187" spans="1:9" x14ac:dyDescent="0.2">
      <c r="A1187" t="s">
        <v>2836</v>
      </c>
      <c r="D1187" t="str">
        <f>HYPERLINK("http://nlpdeep.cs.uic.edu:8080/proofing/t5/523151-allergies-0-0.pdf","t5/523151-allergies-0-0.pdf")</f>
        <v>t5/523151-allergies-0-0.pdf</v>
      </c>
      <c r="E1187">
        <v>120842</v>
      </c>
      <c r="F1187">
        <v>523151</v>
      </c>
      <c r="G1187" t="s">
        <v>306</v>
      </c>
      <c r="H1187" t="s">
        <v>64</v>
      </c>
      <c r="I1187" t="s">
        <v>2766</v>
      </c>
    </row>
    <row r="1188" spans="1:9" x14ac:dyDescent="0.2">
      <c r="A1188" t="s">
        <v>2836</v>
      </c>
      <c r="D1188" t="str">
        <f>HYPERLINK("http://nlpdeep.cs.uic.edu:8080/proofing/gsii/523151-allergies-0-0.pdf","gsii/523151-allergies-0-0.pdf")</f>
        <v>gsii/523151-allergies-0-0.pdf</v>
      </c>
      <c r="E1188">
        <v>120842</v>
      </c>
      <c r="F1188">
        <v>523151</v>
      </c>
      <c r="G1188" t="s">
        <v>306</v>
      </c>
      <c r="H1188" t="s">
        <v>64</v>
      </c>
      <c r="I1188" t="s">
        <v>2766</v>
      </c>
    </row>
    <row r="1189" spans="1:9" x14ac:dyDescent="0.2">
      <c r="A1189" t="s">
        <v>2837</v>
      </c>
      <c r="D1189" t="str">
        <f>HYPERLINK("http://nlpdeep.cs.uic.edu:8080/proofing/t5/523151-medication-history-0-0.pdf","t5/523151-medication-history-0-0.pdf")</f>
        <v>t5/523151-medication-history-0-0.pdf</v>
      </c>
      <c r="E1189">
        <v>120842</v>
      </c>
      <c r="F1189">
        <v>523151</v>
      </c>
      <c r="G1189" t="s">
        <v>306</v>
      </c>
      <c r="H1189" t="s">
        <v>336</v>
      </c>
      <c r="I1189" t="s">
        <v>2768</v>
      </c>
    </row>
    <row r="1190" spans="1:9" x14ac:dyDescent="0.2">
      <c r="A1190" t="s">
        <v>2837</v>
      </c>
      <c r="D1190" t="str">
        <f>HYPERLINK("http://nlpdeep.cs.uic.edu:8080/proofing/gsii/523151-medication-history-0-0.pdf","gsii/523151-medication-history-0-0.pdf")</f>
        <v>gsii/523151-medication-history-0-0.pdf</v>
      </c>
      <c r="E1190">
        <v>120842</v>
      </c>
      <c r="F1190">
        <v>523151</v>
      </c>
      <c r="G1190" t="s">
        <v>306</v>
      </c>
      <c r="H1190" t="s">
        <v>336</v>
      </c>
      <c r="I1190" t="s">
        <v>2768</v>
      </c>
    </row>
    <row r="1191" spans="1:9" x14ac:dyDescent="0.2">
      <c r="A1191" t="s">
        <v>2838</v>
      </c>
      <c r="D1191" t="str">
        <f>HYPERLINK("http://nlpdeep.cs.uic.edu:8080/proofing/t5/523151-medication-history-0-1.pdf","t5/523151-medication-history-0-1.pdf")</f>
        <v>t5/523151-medication-history-0-1.pdf</v>
      </c>
      <c r="E1191">
        <v>120842</v>
      </c>
      <c r="F1191">
        <v>523151</v>
      </c>
      <c r="G1191" t="s">
        <v>306</v>
      </c>
      <c r="H1191" t="s">
        <v>336</v>
      </c>
      <c r="I1191" t="s">
        <v>2770</v>
      </c>
    </row>
    <row r="1192" spans="1:9" x14ac:dyDescent="0.2">
      <c r="A1192" t="s">
        <v>2838</v>
      </c>
      <c r="D1192" t="str">
        <f>HYPERLINK("http://nlpdeep.cs.uic.edu:8080/proofing/gsii/523151-medication-history-0-1.pdf","gsii/523151-medication-history-0-1.pdf")</f>
        <v>gsii/523151-medication-history-0-1.pdf</v>
      </c>
      <c r="E1192">
        <v>120842</v>
      </c>
      <c r="F1192">
        <v>523151</v>
      </c>
      <c r="G1192" t="s">
        <v>306</v>
      </c>
      <c r="H1192" t="s">
        <v>336</v>
      </c>
      <c r="I1192" t="s">
        <v>2770</v>
      </c>
    </row>
    <row r="1193" spans="1:9" x14ac:dyDescent="0.2">
      <c r="A1193" t="s">
        <v>2839</v>
      </c>
      <c r="D1193" t="str">
        <f>HYPERLINK("http://nlpdeep.cs.uic.edu:8080/proofing/t5/523151-medication-history-0-2.pdf","t5/523151-medication-history-0-2.pdf")</f>
        <v>t5/523151-medication-history-0-2.pdf</v>
      </c>
      <c r="E1193">
        <v>120842</v>
      </c>
      <c r="F1193">
        <v>523151</v>
      </c>
      <c r="G1193" t="s">
        <v>306</v>
      </c>
      <c r="H1193" t="s">
        <v>336</v>
      </c>
      <c r="I1193" t="s">
        <v>2772</v>
      </c>
    </row>
    <row r="1194" spans="1:9" x14ac:dyDescent="0.2">
      <c r="A1194" t="s">
        <v>2839</v>
      </c>
      <c r="D1194" t="str">
        <f>HYPERLINK("http://nlpdeep.cs.uic.edu:8080/proofing/gsii/523151-medication-history-0-2.pdf","gsii/523151-medication-history-0-2.pdf")</f>
        <v>gsii/523151-medication-history-0-2.pdf</v>
      </c>
      <c r="E1194">
        <v>120842</v>
      </c>
      <c r="F1194">
        <v>523151</v>
      </c>
      <c r="G1194" t="s">
        <v>306</v>
      </c>
      <c r="H1194" t="s">
        <v>336</v>
      </c>
      <c r="I1194" t="s">
        <v>2772</v>
      </c>
    </row>
    <row r="1195" spans="1:9" x14ac:dyDescent="0.2">
      <c r="A1195" t="s">
        <v>2840</v>
      </c>
      <c r="D1195" t="str">
        <f>HYPERLINK("http://nlpdeep.cs.uic.edu:8080/proofing/t5/523151-medication-history-0-3.pdf","t5/523151-medication-history-0-3.pdf")</f>
        <v>t5/523151-medication-history-0-3.pdf</v>
      </c>
      <c r="E1195">
        <v>120842</v>
      </c>
      <c r="F1195">
        <v>523151</v>
      </c>
      <c r="G1195" t="s">
        <v>306</v>
      </c>
      <c r="H1195" t="s">
        <v>336</v>
      </c>
      <c r="I1195" t="s">
        <v>2774</v>
      </c>
    </row>
    <row r="1196" spans="1:9" x14ac:dyDescent="0.2">
      <c r="A1196" t="s">
        <v>2840</v>
      </c>
      <c r="D1196" t="str">
        <f>HYPERLINK("http://nlpdeep.cs.uic.edu:8080/proofing/gsii/523151-medication-history-0-3.pdf","gsii/523151-medication-history-0-3.pdf")</f>
        <v>gsii/523151-medication-history-0-3.pdf</v>
      </c>
      <c r="E1196">
        <v>120842</v>
      </c>
      <c r="F1196">
        <v>523151</v>
      </c>
      <c r="G1196" t="s">
        <v>306</v>
      </c>
      <c r="H1196" t="s">
        <v>336</v>
      </c>
      <c r="I1196" t="s">
        <v>2774</v>
      </c>
    </row>
    <row r="1197" spans="1:9" x14ac:dyDescent="0.2">
      <c r="A1197" t="s">
        <v>2841</v>
      </c>
      <c r="D1197" t="str">
        <f>HYPERLINK("http://nlpdeep.cs.uic.edu:8080/proofing/t5/523151-medication-history-0-4.pdf","t5/523151-medication-history-0-4.pdf")</f>
        <v>t5/523151-medication-history-0-4.pdf</v>
      </c>
      <c r="E1197">
        <v>120842</v>
      </c>
      <c r="F1197">
        <v>523151</v>
      </c>
      <c r="G1197" t="s">
        <v>306</v>
      </c>
      <c r="H1197" t="s">
        <v>336</v>
      </c>
      <c r="I1197" t="s">
        <v>2776</v>
      </c>
    </row>
    <row r="1198" spans="1:9" x14ac:dyDescent="0.2">
      <c r="A1198" t="s">
        <v>2841</v>
      </c>
      <c r="D1198" t="str">
        <f>HYPERLINK("http://nlpdeep.cs.uic.edu:8080/proofing/gsii/523151-medication-history-0-4.pdf","gsii/523151-medication-history-0-4.pdf")</f>
        <v>gsii/523151-medication-history-0-4.pdf</v>
      </c>
      <c r="E1198">
        <v>120842</v>
      </c>
      <c r="F1198">
        <v>523151</v>
      </c>
      <c r="G1198" t="s">
        <v>306</v>
      </c>
      <c r="H1198" t="s">
        <v>336</v>
      </c>
      <c r="I1198" t="s">
        <v>2776</v>
      </c>
    </row>
    <row r="1199" spans="1:9" x14ac:dyDescent="0.2">
      <c r="A1199" t="s">
        <v>2842</v>
      </c>
      <c r="D1199" t="str">
        <f>HYPERLINK("http://nlpdeep.cs.uic.edu:8080/proofing/t5/523151-medication-history-0-5.pdf","t5/523151-medication-history-0-5.pdf")</f>
        <v>t5/523151-medication-history-0-5.pdf</v>
      </c>
      <c r="E1199">
        <v>120842</v>
      </c>
      <c r="F1199">
        <v>523151</v>
      </c>
      <c r="G1199" t="s">
        <v>306</v>
      </c>
      <c r="H1199" t="s">
        <v>336</v>
      </c>
      <c r="I1199" t="s">
        <v>2778</v>
      </c>
    </row>
    <row r="1200" spans="1:9" x14ac:dyDescent="0.2">
      <c r="A1200" t="s">
        <v>2842</v>
      </c>
      <c r="D1200" t="str">
        <f>HYPERLINK("http://nlpdeep.cs.uic.edu:8080/proofing/gsii/523151-medication-history-0-5.pdf","gsii/523151-medication-history-0-5.pdf")</f>
        <v>gsii/523151-medication-history-0-5.pdf</v>
      </c>
      <c r="E1200">
        <v>120842</v>
      </c>
      <c r="F1200">
        <v>523151</v>
      </c>
      <c r="G1200" t="s">
        <v>306</v>
      </c>
      <c r="H1200" t="s">
        <v>336</v>
      </c>
      <c r="I1200" t="s">
        <v>2778</v>
      </c>
    </row>
    <row r="1201" spans="1:9" x14ac:dyDescent="0.2">
      <c r="A1201" t="s">
        <v>2843</v>
      </c>
      <c r="D1201" t="str">
        <f>HYPERLINK("http://nlpdeep.cs.uic.edu:8080/proofing/t5/523151-medication-history-0-6.pdf","t5/523151-medication-history-0-6.pdf")</f>
        <v>t5/523151-medication-history-0-6.pdf</v>
      </c>
      <c r="E1201">
        <v>120842</v>
      </c>
      <c r="F1201">
        <v>523151</v>
      </c>
      <c r="G1201" t="s">
        <v>306</v>
      </c>
      <c r="H1201" t="s">
        <v>336</v>
      </c>
      <c r="I1201" t="s">
        <v>2780</v>
      </c>
    </row>
    <row r="1202" spans="1:9" x14ac:dyDescent="0.2">
      <c r="A1202" t="s">
        <v>2843</v>
      </c>
      <c r="D1202" t="str">
        <f>HYPERLINK("http://nlpdeep.cs.uic.edu:8080/proofing/gsii/523151-medication-history-0-6.pdf","gsii/523151-medication-history-0-6.pdf")</f>
        <v>gsii/523151-medication-history-0-6.pdf</v>
      </c>
      <c r="E1202">
        <v>120842</v>
      </c>
      <c r="F1202">
        <v>523151</v>
      </c>
      <c r="G1202" t="s">
        <v>306</v>
      </c>
      <c r="H1202" t="s">
        <v>336</v>
      </c>
      <c r="I1202" t="s">
        <v>2780</v>
      </c>
    </row>
    <row r="1203" spans="1:9" x14ac:dyDescent="0.2">
      <c r="A1203" t="s">
        <v>2844</v>
      </c>
      <c r="D1203" t="str">
        <f>HYPERLINK("http://nlpdeep.cs.uic.edu:8080/proofing/t5/523151-medication-history-0-7.pdf","t5/523151-medication-history-0-7.pdf")</f>
        <v>t5/523151-medication-history-0-7.pdf</v>
      </c>
      <c r="E1203">
        <v>120842</v>
      </c>
      <c r="F1203">
        <v>523151</v>
      </c>
      <c r="G1203" t="s">
        <v>306</v>
      </c>
      <c r="H1203" t="s">
        <v>336</v>
      </c>
      <c r="I1203" t="s">
        <v>2782</v>
      </c>
    </row>
    <row r="1204" spans="1:9" x14ac:dyDescent="0.2">
      <c r="A1204" t="s">
        <v>2844</v>
      </c>
      <c r="D1204" t="str">
        <f>HYPERLINK("http://nlpdeep.cs.uic.edu:8080/proofing/gsii/523151-medication-history-0-7.pdf","gsii/523151-medication-history-0-7.pdf")</f>
        <v>gsii/523151-medication-history-0-7.pdf</v>
      </c>
      <c r="E1204">
        <v>120842</v>
      </c>
      <c r="F1204">
        <v>523151</v>
      </c>
      <c r="G1204" t="s">
        <v>306</v>
      </c>
      <c r="H1204" t="s">
        <v>336</v>
      </c>
      <c r="I1204" t="s">
        <v>2782</v>
      </c>
    </row>
    <row r="1205" spans="1:9" x14ac:dyDescent="0.2">
      <c r="A1205" t="s">
        <v>2845</v>
      </c>
      <c r="D1205" t="str">
        <f>HYPERLINK("http://nlpdeep.cs.uic.edu:8080/proofing/t5/523151-medication-history-0-8.pdf","t5/523151-medication-history-0-8.pdf")</f>
        <v>t5/523151-medication-history-0-8.pdf</v>
      </c>
      <c r="E1205">
        <v>120842</v>
      </c>
      <c r="F1205">
        <v>523151</v>
      </c>
      <c r="G1205" t="s">
        <v>306</v>
      </c>
      <c r="H1205" t="s">
        <v>336</v>
      </c>
      <c r="I1205" t="s">
        <v>2764</v>
      </c>
    </row>
    <row r="1206" spans="1:9" x14ac:dyDescent="0.2">
      <c r="A1206" t="s">
        <v>2845</v>
      </c>
      <c r="D1206" t="str">
        <f>HYPERLINK("http://nlpdeep.cs.uic.edu:8080/proofing/gsii/523151-medication-history-0-8.pdf","gsii/523151-medication-history-0-8.pdf")</f>
        <v>gsii/523151-medication-history-0-8.pdf</v>
      </c>
      <c r="E1206">
        <v>120842</v>
      </c>
      <c r="F1206">
        <v>523151</v>
      </c>
      <c r="G1206" t="s">
        <v>306</v>
      </c>
      <c r="H1206" t="s">
        <v>336</v>
      </c>
      <c r="I1206" t="s">
        <v>2764</v>
      </c>
    </row>
    <row r="1207" spans="1:9" x14ac:dyDescent="0.2">
      <c r="A1207" t="s">
        <v>2846</v>
      </c>
      <c r="D1207" t="str">
        <f>HYPERLINK("http://nlpdeep.cs.uic.edu:8080/proofing/t5/523151-current-medications-0-0.pdf","t5/523151-current-medications-0-0.pdf")</f>
        <v>t5/523151-current-medications-0-0.pdf</v>
      </c>
      <c r="E1207">
        <v>120842</v>
      </c>
      <c r="F1207">
        <v>523151</v>
      </c>
      <c r="G1207" t="s">
        <v>306</v>
      </c>
      <c r="H1207" t="s">
        <v>365</v>
      </c>
      <c r="I1207" t="s">
        <v>2785</v>
      </c>
    </row>
    <row r="1208" spans="1:9" x14ac:dyDescent="0.2">
      <c r="A1208" t="s">
        <v>2846</v>
      </c>
      <c r="D1208" t="str">
        <f>HYPERLINK("http://nlpdeep.cs.uic.edu:8080/proofing/gsii/523151-current-medications-0-0.pdf","gsii/523151-current-medications-0-0.pdf")</f>
        <v>gsii/523151-current-medications-0-0.pdf</v>
      </c>
      <c r="E1208">
        <v>120842</v>
      </c>
      <c r="F1208">
        <v>523151</v>
      </c>
      <c r="G1208" t="s">
        <v>306</v>
      </c>
      <c r="H1208" t="s">
        <v>365</v>
      </c>
      <c r="I1208" t="s">
        <v>2785</v>
      </c>
    </row>
    <row r="1209" spans="1:9" x14ac:dyDescent="0.2">
      <c r="A1209" t="s">
        <v>2847</v>
      </c>
      <c r="D1209" t="str">
        <f>HYPERLINK("http://nlpdeep.cs.uic.edu:8080/proofing/t5/523151-past-medical-history-0-0.pdf","t5/523151-past-medical-history-0-0.pdf")</f>
        <v>t5/523151-past-medical-history-0-0.pdf</v>
      </c>
      <c r="E1209">
        <v>120842</v>
      </c>
      <c r="F1209">
        <v>523151</v>
      </c>
      <c r="G1209" t="s">
        <v>306</v>
      </c>
      <c r="H1209" t="s">
        <v>76</v>
      </c>
      <c r="I1209" t="s">
        <v>2787</v>
      </c>
    </row>
    <row r="1210" spans="1:9" x14ac:dyDescent="0.2">
      <c r="A1210" t="s">
        <v>2847</v>
      </c>
      <c r="D1210" t="str">
        <f>HYPERLINK("http://nlpdeep.cs.uic.edu:8080/proofing/gsii/523151-past-medical-history-0-0.pdf","gsii/523151-past-medical-history-0-0.pdf")</f>
        <v>gsii/523151-past-medical-history-0-0.pdf</v>
      </c>
      <c r="E1210">
        <v>120842</v>
      </c>
      <c r="F1210">
        <v>523151</v>
      </c>
      <c r="G1210" t="s">
        <v>306</v>
      </c>
      <c r="H1210" t="s">
        <v>76</v>
      </c>
      <c r="I1210" t="s">
        <v>2787</v>
      </c>
    </row>
    <row r="1211" spans="1:9" x14ac:dyDescent="0.2">
      <c r="A1211" t="s">
        <v>2848</v>
      </c>
      <c r="D1211" t="str">
        <f>HYPERLINK("http://nlpdeep.cs.uic.edu:8080/proofing/t5/523151-past-medical-history-0-1.pdf","t5/523151-past-medical-history-0-1.pdf")</f>
        <v>t5/523151-past-medical-history-0-1.pdf</v>
      </c>
      <c r="E1211">
        <v>120842</v>
      </c>
      <c r="F1211">
        <v>523151</v>
      </c>
      <c r="G1211" t="s">
        <v>306</v>
      </c>
      <c r="H1211" t="s">
        <v>76</v>
      </c>
      <c r="I1211" t="s">
        <v>2789</v>
      </c>
    </row>
    <row r="1212" spans="1:9" x14ac:dyDescent="0.2">
      <c r="A1212" t="s">
        <v>2848</v>
      </c>
      <c r="D1212" t="str">
        <f>HYPERLINK("http://nlpdeep.cs.uic.edu:8080/proofing/gsii/523151-past-medical-history-0-1.pdf","gsii/523151-past-medical-history-0-1.pdf")</f>
        <v>gsii/523151-past-medical-history-0-1.pdf</v>
      </c>
      <c r="E1212">
        <v>120842</v>
      </c>
      <c r="F1212">
        <v>523151</v>
      </c>
      <c r="G1212" t="s">
        <v>306</v>
      </c>
      <c r="H1212" t="s">
        <v>76</v>
      </c>
      <c r="I1212" t="s">
        <v>2789</v>
      </c>
    </row>
    <row r="1213" spans="1:9" x14ac:dyDescent="0.2">
      <c r="A1213" t="s">
        <v>2849</v>
      </c>
      <c r="D1213" t="str">
        <f>HYPERLINK("http://nlpdeep.cs.uic.edu:8080/proofing/t5/523151-past-medical-history-0-2.pdf","t5/523151-past-medical-history-0-2.pdf")</f>
        <v>t5/523151-past-medical-history-0-2.pdf</v>
      </c>
      <c r="E1213">
        <v>120842</v>
      </c>
      <c r="F1213">
        <v>523151</v>
      </c>
      <c r="G1213" t="s">
        <v>306</v>
      </c>
      <c r="H1213" t="s">
        <v>76</v>
      </c>
      <c r="I1213" t="s">
        <v>2791</v>
      </c>
    </row>
    <row r="1214" spans="1:9" x14ac:dyDescent="0.2">
      <c r="A1214" t="s">
        <v>2849</v>
      </c>
      <c r="D1214" t="str">
        <f>HYPERLINK("http://nlpdeep.cs.uic.edu:8080/proofing/gsii/523151-past-medical-history-0-2.pdf","gsii/523151-past-medical-history-0-2.pdf")</f>
        <v>gsii/523151-past-medical-history-0-2.pdf</v>
      </c>
      <c r="E1214">
        <v>120842</v>
      </c>
      <c r="F1214">
        <v>523151</v>
      </c>
      <c r="G1214" t="s">
        <v>306</v>
      </c>
      <c r="H1214" t="s">
        <v>76</v>
      </c>
      <c r="I1214" t="s">
        <v>2791</v>
      </c>
    </row>
    <row r="1215" spans="1:9" x14ac:dyDescent="0.2">
      <c r="A1215" t="s">
        <v>2850</v>
      </c>
      <c r="D1215" t="str">
        <f>HYPERLINK("http://nlpdeep.cs.uic.edu:8080/proofing/t5/523151-past-medical-history-0-3.pdf","t5/523151-past-medical-history-0-3.pdf")</f>
        <v>t5/523151-past-medical-history-0-3.pdf</v>
      </c>
      <c r="E1215">
        <v>120842</v>
      </c>
      <c r="F1215">
        <v>523151</v>
      </c>
      <c r="G1215" t="s">
        <v>306</v>
      </c>
      <c r="H1215" t="s">
        <v>76</v>
      </c>
      <c r="I1215" t="s">
        <v>2793</v>
      </c>
    </row>
    <row r="1216" spans="1:9" x14ac:dyDescent="0.2">
      <c r="A1216" t="s">
        <v>2850</v>
      </c>
      <c r="D1216" t="str">
        <f>HYPERLINK("http://nlpdeep.cs.uic.edu:8080/proofing/gsii/523151-past-medical-history-0-3.pdf","gsii/523151-past-medical-history-0-3.pdf")</f>
        <v>gsii/523151-past-medical-history-0-3.pdf</v>
      </c>
      <c r="E1216">
        <v>120842</v>
      </c>
      <c r="F1216">
        <v>523151</v>
      </c>
      <c r="G1216" t="s">
        <v>306</v>
      </c>
      <c r="H1216" t="s">
        <v>76</v>
      </c>
      <c r="I1216" t="s">
        <v>2793</v>
      </c>
    </row>
    <row r="1217" spans="1:9" x14ac:dyDescent="0.2">
      <c r="A1217" t="s">
        <v>2851</v>
      </c>
      <c r="D1217" t="str">
        <f>HYPERLINK("http://nlpdeep.cs.uic.edu:8080/proofing/t5/523151-past-medical-history-0-4.pdf","t5/523151-past-medical-history-0-4.pdf")</f>
        <v>t5/523151-past-medical-history-0-4.pdf</v>
      </c>
      <c r="E1217">
        <v>120842</v>
      </c>
      <c r="F1217">
        <v>523151</v>
      </c>
      <c r="G1217" t="s">
        <v>306</v>
      </c>
      <c r="H1217" t="s">
        <v>76</v>
      </c>
      <c r="I1217" t="s">
        <v>2795</v>
      </c>
    </row>
    <row r="1218" spans="1:9" x14ac:dyDescent="0.2">
      <c r="A1218" t="s">
        <v>2851</v>
      </c>
      <c r="D1218" t="str">
        <f>HYPERLINK("http://nlpdeep.cs.uic.edu:8080/proofing/gsii/523151-past-medical-history-0-4.pdf","gsii/523151-past-medical-history-0-4.pdf")</f>
        <v>gsii/523151-past-medical-history-0-4.pdf</v>
      </c>
      <c r="E1218">
        <v>120842</v>
      </c>
      <c r="F1218">
        <v>523151</v>
      </c>
      <c r="G1218" t="s">
        <v>306</v>
      </c>
      <c r="H1218" t="s">
        <v>76</v>
      </c>
      <c r="I1218" t="s">
        <v>2795</v>
      </c>
    </row>
    <row r="1219" spans="1:9" x14ac:dyDescent="0.2">
      <c r="A1219" t="s">
        <v>2852</v>
      </c>
      <c r="D1219" t="str">
        <f>HYPERLINK("http://nlpdeep.cs.uic.edu:8080/proofing/t5/523151-past-medical-history-0-5.pdf","t5/523151-past-medical-history-0-5.pdf")</f>
        <v>t5/523151-past-medical-history-0-5.pdf</v>
      </c>
      <c r="E1219">
        <v>120842</v>
      </c>
      <c r="F1219">
        <v>523151</v>
      </c>
      <c r="G1219" t="s">
        <v>306</v>
      </c>
      <c r="H1219" t="s">
        <v>76</v>
      </c>
      <c r="I1219" t="s">
        <v>2797</v>
      </c>
    </row>
    <row r="1220" spans="1:9" x14ac:dyDescent="0.2">
      <c r="A1220" t="s">
        <v>2852</v>
      </c>
      <c r="D1220" t="str">
        <f>HYPERLINK("http://nlpdeep.cs.uic.edu:8080/proofing/gsii/523151-past-medical-history-0-5.pdf","gsii/523151-past-medical-history-0-5.pdf")</f>
        <v>gsii/523151-past-medical-history-0-5.pdf</v>
      </c>
      <c r="E1220">
        <v>120842</v>
      </c>
      <c r="F1220">
        <v>523151</v>
      </c>
      <c r="G1220" t="s">
        <v>306</v>
      </c>
      <c r="H1220" t="s">
        <v>76</v>
      </c>
      <c r="I1220" t="s">
        <v>2797</v>
      </c>
    </row>
    <row r="1221" spans="1:9" x14ac:dyDescent="0.2">
      <c r="A1221" t="s">
        <v>2853</v>
      </c>
      <c r="D1221" t="str">
        <f>HYPERLINK("http://nlpdeep.cs.uic.edu:8080/proofing/t5/523151-social-and-family-history-0-0.pdf","t5/523151-social-and-family-history-0-0.pdf")</f>
        <v>t5/523151-social-and-family-history-0-0.pdf</v>
      </c>
      <c r="E1221">
        <v>120842</v>
      </c>
      <c r="F1221">
        <v>523151</v>
      </c>
      <c r="G1221" t="s">
        <v>306</v>
      </c>
      <c r="H1221" t="s">
        <v>2799</v>
      </c>
      <c r="I1221" t="s">
        <v>2800</v>
      </c>
    </row>
    <row r="1222" spans="1:9" x14ac:dyDescent="0.2">
      <c r="A1222" t="s">
        <v>2853</v>
      </c>
      <c r="D1222" t="str">
        <f>HYPERLINK("http://nlpdeep.cs.uic.edu:8080/proofing/gsii/523151-social-and-family-history-0-0.pdf","gsii/523151-social-and-family-history-0-0.pdf")</f>
        <v>gsii/523151-social-and-family-history-0-0.pdf</v>
      </c>
      <c r="E1222">
        <v>120842</v>
      </c>
      <c r="F1222">
        <v>523151</v>
      </c>
      <c r="G1222" t="s">
        <v>306</v>
      </c>
      <c r="H1222" t="s">
        <v>2799</v>
      </c>
      <c r="I1222" t="s">
        <v>2800</v>
      </c>
    </row>
    <row r="1223" spans="1:9" x14ac:dyDescent="0.2">
      <c r="A1223" t="s">
        <v>2854</v>
      </c>
      <c r="D1223" t="str">
        <f>HYPERLINK("http://nlpdeep.cs.uic.edu:8080/proofing/t5/523151-social-and-family-history-0-1.pdf","t5/523151-social-and-family-history-0-1.pdf")</f>
        <v>t5/523151-social-and-family-history-0-1.pdf</v>
      </c>
      <c r="E1223">
        <v>120842</v>
      </c>
      <c r="F1223">
        <v>523151</v>
      </c>
      <c r="G1223" t="s">
        <v>306</v>
      </c>
      <c r="H1223" t="s">
        <v>2799</v>
      </c>
      <c r="I1223" t="s">
        <v>2802</v>
      </c>
    </row>
    <row r="1224" spans="1:9" x14ac:dyDescent="0.2">
      <c r="A1224" t="s">
        <v>2854</v>
      </c>
      <c r="D1224" t="str">
        <f>HYPERLINK("http://nlpdeep.cs.uic.edu:8080/proofing/gsii/523151-social-and-family-history-0-1.pdf","gsii/523151-social-and-family-history-0-1.pdf")</f>
        <v>gsii/523151-social-and-family-history-0-1.pdf</v>
      </c>
      <c r="E1224">
        <v>120842</v>
      </c>
      <c r="F1224">
        <v>523151</v>
      </c>
      <c r="G1224" t="s">
        <v>306</v>
      </c>
      <c r="H1224" t="s">
        <v>2799</v>
      </c>
      <c r="I1224" t="s">
        <v>2802</v>
      </c>
    </row>
    <row r="1225" spans="1:9" x14ac:dyDescent="0.2">
      <c r="A1225" t="s">
        <v>2855</v>
      </c>
      <c r="D1225" t="str">
        <f>HYPERLINK("http://nlpdeep.cs.uic.edu:8080/proofing/t5/523151-social-and-family-history-0-2.pdf","t5/523151-social-and-family-history-0-2.pdf")</f>
        <v>t5/523151-social-and-family-history-0-2.pdf</v>
      </c>
      <c r="E1225">
        <v>120842</v>
      </c>
      <c r="F1225">
        <v>523151</v>
      </c>
      <c r="G1225" t="s">
        <v>306</v>
      </c>
      <c r="H1225" t="s">
        <v>2799</v>
      </c>
      <c r="I1225" t="s">
        <v>2804</v>
      </c>
    </row>
    <row r="1226" spans="1:9" x14ac:dyDescent="0.2">
      <c r="A1226" t="s">
        <v>2855</v>
      </c>
      <c r="D1226" t="str">
        <f>HYPERLINK("http://nlpdeep.cs.uic.edu:8080/proofing/gsii/523151-social-and-family-history-0-2.pdf","gsii/523151-social-and-family-history-0-2.pdf")</f>
        <v>gsii/523151-social-and-family-history-0-2.pdf</v>
      </c>
      <c r="E1226">
        <v>120842</v>
      </c>
      <c r="F1226">
        <v>523151</v>
      </c>
      <c r="G1226" t="s">
        <v>306</v>
      </c>
      <c r="H1226" t="s">
        <v>2799</v>
      </c>
      <c r="I1226" t="s">
        <v>2804</v>
      </c>
    </row>
    <row r="1227" spans="1:9" x14ac:dyDescent="0.2">
      <c r="A1227" t="s">
        <v>2856</v>
      </c>
      <c r="D1227" t="str">
        <f>HYPERLINK("http://nlpdeep.cs.uic.edu:8080/proofing/t5/523151-social-and-family-history-0-3.pdf","t5/523151-social-and-family-history-0-3.pdf")</f>
        <v>t5/523151-social-and-family-history-0-3.pdf</v>
      </c>
      <c r="E1227">
        <v>120842</v>
      </c>
      <c r="F1227">
        <v>523151</v>
      </c>
      <c r="G1227" t="s">
        <v>306</v>
      </c>
      <c r="H1227" t="s">
        <v>2799</v>
      </c>
      <c r="I1227" t="s">
        <v>2806</v>
      </c>
    </row>
    <row r="1228" spans="1:9" x14ac:dyDescent="0.2">
      <c r="A1228" t="s">
        <v>2856</v>
      </c>
      <c r="D1228" t="str">
        <f>HYPERLINK("http://nlpdeep.cs.uic.edu:8080/proofing/gsii/523151-social-and-family-history-0-3.pdf","gsii/523151-social-and-family-history-0-3.pdf")</f>
        <v>gsii/523151-social-and-family-history-0-3.pdf</v>
      </c>
      <c r="E1228">
        <v>120842</v>
      </c>
      <c r="F1228">
        <v>523151</v>
      </c>
      <c r="G1228" t="s">
        <v>306</v>
      </c>
      <c r="H1228" t="s">
        <v>2799</v>
      </c>
      <c r="I1228" t="s">
        <v>2806</v>
      </c>
    </row>
    <row r="1229" spans="1:9" x14ac:dyDescent="0.2">
      <c r="A1229" t="s">
        <v>2857</v>
      </c>
      <c r="D1229" t="str">
        <f>HYPERLINK("http://nlpdeep.cs.uic.edu:8080/proofing/t5/523151-social-and-family-history-0-4.pdf","t5/523151-social-and-family-history-0-4.pdf")</f>
        <v>t5/523151-social-and-family-history-0-4.pdf</v>
      </c>
      <c r="E1229">
        <v>120842</v>
      </c>
      <c r="F1229">
        <v>523151</v>
      </c>
      <c r="G1229" t="s">
        <v>306</v>
      </c>
      <c r="H1229" t="s">
        <v>2799</v>
      </c>
      <c r="I1229" t="s">
        <v>2808</v>
      </c>
    </row>
    <row r="1230" spans="1:9" x14ac:dyDescent="0.2">
      <c r="A1230" t="s">
        <v>2857</v>
      </c>
      <c r="D1230" t="str">
        <f>HYPERLINK("http://nlpdeep.cs.uic.edu:8080/proofing/gsii/523151-social-and-family-history-0-4.pdf","gsii/523151-social-and-family-history-0-4.pdf")</f>
        <v>gsii/523151-social-and-family-history-0-4.pdf</v>
      </c>
      <c r="E1230">
        <v>120842</v>
      </c>
      <c r="F1230">
        <v>523151</v>
      </c>
      <c r="G1230" t="s">
        <v>306</v>
      </c>
      <c r="H1230" t="s">
        <v>2799</v>
      </c>
      <c r="I1230" t="s">
        <v>2808</v>
      </c>
    </row>
    <row r="1231" spans="1:9" x14ac:dyDescent="0.2">
      <c r="A1231" t="s">
        <v>2858</v>
      </c>
      <c r="D1231" t="str">
        <f>HYPERLINK("http://nlpdeep.cs.uic.edu:8080/proofing/t5/523151-physical-examination-0-0.pdf","t5/523151-physical-examination-0-0.pdf")</f>
        <v>t5/523151-physical-examination-0-0.pdf</v>
      </c>
      <c r="E1231">
        <v>120842</v>
      </c>
      <c r="F1231">
        <v>523151</v>
      </c>
      <c r="G1231" t="s">
        <v>306</v>
      </c>
      <c r="H1231" t="s">
        <v>138</v>
      </c>
      <c r="I1231" t="s">
        <v>2810</v>
      </c>
    </row>
    <row r="1232" spans="1:9" x14ac:dyDescent="0.2">
      <c r="A1232" t="s">
        <v>2858</v>
      </c>
      <c r="D1232" t="str">
        <f>HYPERLINK("http://nlpdeep.cs.uic.edu:8080/proofing/gsii/523151-physical-examination-0-0.pdf","gsii/523151-physical-examination-0-0.pdf")</f>
        <v>gsii/523151-physical-examination-0-0.pdf</v>
      </c>
      <c r="E1232">
        <v>120842</v>
      </c>
      <c r="F1232">
        <v>523151</v>
      </c>
      <c r="G1232" t="s">
        <v>306</v>
      </c>
      <c r="H1232" t="s">
        <v>138</v>
      </c>
      <c r="I1232" t="s">
        <v>2810</v>
      </c>
    </row>
    <row r="1233" spans="1:9" x14ac:dyDescent="0.2">
      <c r="A1233" t="s">
        <v>2859</v>
      </c>
      <c r="D1233" t="str">
        <f>HYPERLINK("http://nlpdeep.cs.uic.edu:8080/proofing/t5/523151-physical-examination-0-1.pdf","t5/523151-physical-examination-0-1.pdf")</f>
        <v>t5/523151-physical-examination-0-1.pdf</v>
      </c>
      <c r="E1233">
        <v>120842</v>
      </c>
      <c r="F1233">
        <v>523151</v>
      </c>
      <c r="G1233" t="s">
        <v>306</v>
      </c>
      <c r="H1233" t="s">
        <v>138</v>
      </c>
      <c r="I1233" t="s">
        <v>2812</v>
      </c>
    </row>
    <row r="1234" spans="1:9" x14ac:dyDescent="0.2">
      <c r="A1234" t="s">
        <v>2859</v>
      </c>
      <c r="D1234" t="str">
        <f>HYPERLINK("http://nlpdeep.cs.uic.edu:8080/proofing/gsii/523151-physical-examination-0-1.pdf","gsii/523151-physical-examination-0-1.pdf")</f>
        <v>gsii/523151-physical-examination-0-1.pdf</v>
      </c>
      <c r="E1234">
        <v>120842</v>
      </c>
      <c r="F1234">
        <v>523151</v>
      </c>
      <c r="G1234" t="s">
        <v>306</v>
      </c>
      <c r="H1234" t="s">
        <v>138</v>
      </c>
      <c r="I1234" t="s">
        <v>2812</v>
      </c>
    </row>
    <row r="1235" spans="1:9" x14ac:dyDescent="0.2">
      <c r="A1235" t="s">
        <v>2860</v>
      </c>
      <c r="D1235" t="str">
        <f>HYPERLINK("http://nlpdeep.cs.uic.edu:8080/proofing/t5/523151-labs-imaging-0-0.pdf","t5/523151-labs-imaging-0-0.pdf")</f>
        <v>t5/523151-labs-imaging-0-0.pdf</v>
      </c>
      <c r="E1235">
        <v>120842</v>
      </c>
      <c r="F1235">
        <v>523151</v>
      </c>
      <c r="G1235" t="s">
        <v>306</v>
      </c>
      <c r="H1235" t="s">
        <v>147</v>
      </c>
      <c r="I1235" t="s">
        <v>2814</v>
      </c>
    </row>
    <row r="1236" spans="1:9" x14ac:dyDescent="0.2">
      <c r="A1236" t="s">
        <v>2860</v>
      </c>
      <c r="D1236" t="str">
        <f>HYPERLINK("http://nlpdeep.cs.uic.edu:8080/proofing/gsii/523151-labs-imaging-0-0.pdf","gsii/523151-labs-imaging-0-0.pdf")</f>
        <v>gsii/523151-labs-imaging-0-0.pdf</v>
      </c>
      <c r="E1236">
        <v>120842</v>
      </c>
      <c r="F1236">
        <v>523151</v>
      </c>
      <c r="G1236" t="s">
        <v>306</v>
      </c>
      <c r="H1236" t="s">
        <v>147</v>
      </c>
      <c r="I1236" t="s">
        <v>2814</v>
      </c>
    </row>
    <row r="1237" spans="1:9" x14ac:dyDescent="0.2">
      <c r="A1237" t="s">
        <v>2861</v>
      </c>
      <c r="D1237" t="str">
        <f>HYPERLINK("http://nlpdeep.cs.uic.edu:8080/proofing/t5/523151-labs-imaging-0-1.pdf","t5/523151-labs-imaging-0-1.pdf")</f>
        <v>t5/523151-labs-imaging-0-1.pdf</v>
      </c>
      <c r="E1237">
        <v>120842</v>
      </c>
      <c r="F1237">
        <v>523151</v>
      </c>
      <c r="G1237" t="s">
        <v>306</v>
      </c>
      <c r="H1237" t="s">
        <v>147</v>
      </c>
      <c r="I1237" t="s">
        <v>2816</v>
      </c>
    </row>
    <row r="1238" spans="1:9" x14ac:dyDescent="0.2">
      <c r="A1238" t="s">
        <v>2861</v>
      </c>
      <c r="D1238" t="str">
        <f>HYPERLINK("http://nlpdeep.cs.uic.edu:8080/proofing/gsii/523151-labs-imaging-0-1.pdf","gsii/523151-labs-imaging-0-1.pdf")</f>
        <v>gsii/523151-labs-imaging-0-1.pdf</v>
      </c>
      <c r="E1238">
        <v>120842</v>
      </c>
      <c r="F1238">
        <v>523151</v>
      </c>
      <c r="G1238" t="s">
        <v>306</v>
      </c>
      <c r="H1238" t="s">
        <v>147</v>
      </c>
      <c r="I1238" t="s">
        <v>2816</v>
      </c>
    </row>
    <row r="1239" spans="1:9" x14ac:dyDescent="0.2">
      <c r="A1239" t="s">
        <v>2862</v>
      </c>
      <c r="D1239" t="str">
        <f>HYPERLINK("http://nlpdeep.cs.uic.edu:8080/proofing/t5/523151-assessment-and-plan-0-0.pdf","t5/523151-assessment-and-plan-0-0.pdf")</f>
        <v>t5/523151-assessment-and-plan-0-0.pdf</v>
      </c>
      <c r="E1239">
        <v>120842</v>
      </c>
      <c r="F1239">
        <v>523151</v>
      </c>
      <c r="G1239" t="s">
        <v>306</v>
      </c>
      <c r="H1239" t="s">
        <v>195</v>
      </c>
      <c r="I1239" t="s">
        <v>2863</v>
      </c>
    </row>
    <row r="1240" spans="1:9" x14ac:dyDescent="0.2">
      <c r="A1240" t="s">
        <v>2862</v>
      </c>
      <c r="D1240" t="str">
        <f>HYPERLINK("http://nlpdeep.cs.uic.edu:8080/proofing/gsii/523151-assessment-and-plan-0-0.pdf","gsii/523151-assessment-and-plan-0-0.pdf")</f>
        <v>gsii/523151-assessment-and-plan-0-0.pdf</v>
      </c>
      <c r="E1240">
        <v>120842</v>
      </c>
      <c r="F1240">
        <v>523151</v>
      </c>
      <c r="G1240" t="s">
        <v>306</v>
      </c>
      <c r="H1240" t="s">
        <v>195</v>
      </c>
      <c r="I1240" t="s">
        <v>2863</v>
      </c>
    </row>
    <row r="1241" spans="1:9" x14ac:dyDescent="0.2">
      <c r="A1241" t="s">
        <v>2864</v>
      </c>
      <c r="D1241" t="str">
        <f>HYPERLINK("http://nlpdeep.cs.uic.edu:8080/proofing/t5/523151-assessment-and-plan-0-1.pdf","t5/523151-assessment-and-plan-0-1.pdf")</f>
        <v>t5/523151-assessment-and-plan-0-1.pdf</v>
      </c>
      <c r="E1241">
        <v>120842</v>
      </c>
      <c r="F1241">
        <v>523151</v>
      </c>
      <c r="G1241" t="s">
        <v>306</v>
      </c>
      <c r="H1241" t="s">
        <v>195</v>
      </c>
      <c r="I1241" t="s">
        <v>2865</v>
      </c>
    </row>
    <row r="1242" spans="1:9" x14ac:dyDescent="0.2">
      <c r="A1242" t="s">
        <v>2864</v>
      </c>
      <c r="D1242" t="str">
        <f>HYPERLINK("http://nlpdeep.cs.uic.edu:8080/proofing/gsii/523151-assessment-and-plan-0-1.pdf","gsii/523151-assessment-and-plan-0-1.pdf")</f>
        <v>gsii/523151-assessment-and-plan-0-1.pdf</v>
      </c>
      <c r="E1242">
        <v>120842</v>
      </c>
      <c r="F1242">
        <v>523151</v>
      </c>
      <c r="G1242" t="s">
        <v>306</v>
      </c>
      <c r="H1242" t="s">
        <v>195</v>
      </c>
      <c r="I1242" t="s">
        <v>2865</v>
      </c>
    </row>
    <row r="1243" spans="1:9" x14ac:dyDescent="0.2">
      <c r="A1243" t="s">
        <v>2866</v>
      </c>
      <c r="D1243" t="str">
        <f>HYPERLINK("http://nlpdeep.cs.uic.edu:8080/proofing/t5/1123153-reason-0-0.pdf","t5/1123153-reason-0-0.pdf")</f>
        <v>t5/1123153-reason-0-0.pdf</v>
      </c>
      <c r="E1243">
        <v>120842</v>
      </c>
      <c r="F1243">
        <v>1123153</v>
      </c>
      <c r="G1243" t="s">
        <v>1822</v>
      </c>
      <c r="H1243" t="s">
        <v>1823</v>
      </c>
      <c r="I1243" t="s">
        <v>2867</v>
      </c>
    </row>
    <row r="1244" spans="1:9" x14ac:dyDescent="0.2">
      <c r="A1244" t="s">
        <v>2866</v>
      </c>
      <c r="D1244" t="str">
        <f>HYPERLINK("http://nlpdeep.cs.uic.edu:8080/proofing/gsii/1123153-reason-0-0.pdf","gsii/1123153-reason-0-0.pdf")</f>
        <v>gsii/1123153-reason-0-0.pdf</v>
      </c>
      <c r="E1244">
        <v>120842</v>
      </c>
      <c r="F1244">
        <v>1123153</v>
      </c>
      <c r="G1244" t="s">
        <v>1822</v>
      </c>
      <c r="H1244" t="s">
        <v>1823</v>
      </c>
      <c r="I1244" t="s">
        <v>2867</v>
      </c>
    </row>
    <row r="1245" spans="1:9" x14ac:dyDescent="0.2">
      <c r="A1245" t="s">
        <v>2868</v>
      </c>
      <c r="D1245" t="str">
        <f>HYPERLINK("http://nlpdeep.cs.uic.edu:8080/proofing/t5/1123153-medical-condition-0-0.pdf","t5/1123153-medical-condition-0-0.pdf")</f>
        <v>t5/1123153-medical-condition-0-0.pdf</v>
      </c>
      <c r="E1245">
        <v>120842</v>
      </c>
      <c r="F1245">
        <v>1123153</v>
      </c>
      <c r="G1245" t="s">
        <v>1822</v>
      </c>
      <c r="H1245" t="s">
        <v>1826</v>
      </c>
      <c r="I1245" t="s">
        <v>2869</v>
      </c>
    </row>
    <row r="1246" spans="1:9" x14ac:dyDescent="0.2">
      <c r="A1246" t="s">
        <v>2868</v>
      </c>
      <c r="D1246" t="str">
        <f>HYPERLINK("http://nlpdeep.cs.uic.edu:8080/proofing/gsii/1123153-medical-condition-0-0.pdf","gsii/1123153-medical-condition-0-0.pdf")</f>
        <v>gsii/1123153-medical-condition-0-0.pdf</v>
      </c>
      <c r="E1246">
        <v>120842</v>
      </c>
      <c r="F1246">
        <v>1123153</v>
      </c>
      <c r="G1246" t="s">
        <v>1822</v>
      </c>
      <c r="H1246" t="s">
        <v>1826</v>
      </c>
      <c r="I1246" t="s">
        <v>2869</v>
      </c>
    </row>
    <row r="1247" spans="1:9" x14ac:dyDescent="0.2">
      <c r="A1247" t="s">
        <v>2870</v>
      </c>
      <c r="D1247" t="str">
        <f>HYPERLINK("http://nlpdeep.cs.uic.edu:8080/proofing/t5/1123153-indication-0-0.pdf","t5/1123153-indication-0-0.pdf")</f>
        <v>t5/1123153-indication-0-0.pdf</v>
      </c>
      <c r="E1247">
        <v>120842</v>
      </c>
      <c r="F1247">
        <v>1123153</v>
      </c>
      <c r="G1247" t="s">
        <v>1822</v>
      </c>
      <c r="H1247" t="s">
        <v>1831</v>
      </c>
      <c r="I1247" t="s">
        <v>2871</v>
      </c>
    </row>
    <row r="1248" spans="1:9" x14ac:dyDescent="0.2">
      <c r="A1248" t="s">
        <v>2870</v>
      </c>
      <c r="D1248" t="str">
        <f>HYPERLINK("http://nlpdeep.cs.uic.edu:8080/proofing/gsii/1123153-indication-0-0.pdf","gsii/1123153-indication-0-0.pdf")</f>
        <v>gsii/1123153-indication-0-0.pdf</v>
      </c>
      <c r="E1248">
        <v>120842</v>
      </c>
      <c r="F1248">
        <v>1123153</v>
      </c>
      <c r="G1248" t="s">
        <v>1822</v>
      </c>
      <c r="H1248" t="s">
        <v>1831</v>
      </c>
      <c r="I1248" t="s">
        <v>2871</v>
      </c>
    </row>
    <row r="1249" spans="1:9" x14ac:dyDescent="0.2">
      <c r="A1249" t="s">
        <v>2872</v>
      </c>
      <c r="D1249" t="str">
        <f>HYPERLINK("http://nlpdeep.cs.uic.edu:8080/proofing/t5/1123153-comparison-0-0.pdf","t5/1123153-comparison-0-0.pdf")</f>
        <v>t5/1123153-comparison-0-0.pdf</v>
      </c>
      <c r="E1249">
        <v>120842</v>
      </c>
      <c r="F1249">
        <v>1123153</v>
      </c>
      <c r="G1249" t="s">
        <v>1822</v>
      </c>
      <c r="H1249" t="s">
        <v>1834</v>
      </c>
      <c r="I1249" t="s">
        <v>2873</v>
      </c>
    </row>
    <row r="1250" spans="1:9" x14ac:dyDescent="0.2">
      <c r="A1250" t="s">
        <v>2872</v>
      </c>
      <c r="D1250" t="str">
        <f>HYPERLINK("http://nlpdeep.cs.uic.edu:8080/proofing/gsii/1123153-comparison-0-0.pdf","gsii/1123153-comparison-0-0.pdf")</f>
        <v>gsii/1123153-comparison-0-0.pdf</v>
      </c>
      <c r="E1250">
        <v>120842</v>
      </c>
      <c r="F1250">
        <v>1123153</v>
      </c>
      <c r="G1250" t="s">
        <v>1822</v>
      </c>
      <c r="H1250" t="s">
        <v>1834</v>
      </c>
      <c r="I1250" t="s">
        <v>2873</v>
      </c>
    </row>
    <row r="1251" spans="1:9" x14ac:dyDescent="0.2">
      <c r="A1251" t="s">
        <v>2874</v>
      </c>
      <c r="D1251" t="str">
        <f>HYPERLINK("http://nlpdeep.cs.uic.edu:8080/proofing/t5/1123153-findings-0-0.pdf","t5/1123153-findings-0-0.pdf")</f>
        <v>t5/1123153-findings-0-0.pdf</v>
      </c>
      <c r="E1251">
        <v>120842</v>
      </c>
      <c r="F1251">
        <v>1123153</v>
      </c>
      <c r="G1251" t="s">
        <v>1822</v>
      </c>
      <c r="H1251" t="s">
        <v>1840</v>
      </c>
      <c r="I1251" t="s">
        <v>2875</v>
      </c>
    </row>
    <row r="1252" spans="1:9" x14ac:dyDescent="0.2">
      <c r="A1252" t="s">
        <v>2874</v>
      </c>
      <c r="D1252" t="str">
        <f>HYPERLINK("http://nlpdeep.cs.uic.edu:8080/proofing/gsii/1123153-findings-0-0.pdf","gsii/1123153-findings-0-0.pdf")</f>
        <v>gsii/1123153-findings-0-0.pdf</v>
      </c>
      <c r="E1252">
        <v>120842</v>
      </c>
      <c r="F1252">
        <v>1123153</v>
      </c>
      <c r="G1252" t="s">
        <v>1822</v>
      </c>
      <c r="H1252" t="s">
        <v>1840</v>
      </c>
      <c r="I1252" t="s">
        <v>2875</v>
      </c>
    </row>
    <row r="1253" spans="1:9" x14ac:dyDescent="0.2">
      <c r="A1253" t="s">
        <v>2876</v>
      </c>
      <c r="D1253" t="str">
        <f>HYPERLINK("http://nlpdeep.cs.uic.edu:8080/proofing/t5/1123153-findings-0-1.pdf","t5/1123153-findings-0-1.pdf")</f>
        <v>t5/1123153-findings-0-1.pdf</v>
      </c>
      <c r="E1253">
        <v>120842</v>
      </c>
      <c r="F1253">
        <v>1123153</v>
      </c>
      <c r="G1253" t="s">
        <v>1822</v>
      </c>
      <c r="H1253" t="s">
        <v>1840</v>
      </c>
      <c r="I1253" t="s">
        <v>2877</v>
      </c>
    </row>
    <row r="1254" spans="1:9" x14ac:dyDescent="0.2">
      <c r="A1254" t="s">
        <v>2876</v>
      </c>
      <c r="D1254" t="str">
        <f>HYPERLINK("http://nlpdeep.cs.uic.edu:8080/proofing/gsii/1123153-findings-0-1.pdf","gsii/1123153-findings-0-1.pdf")</f>
        <v>gsii/1123153-findings-0-1.pdf</v>
      </c>
      <c r="E1254">
        <v>120842</v>
      </c>
      <c r="F1254">
        <v>1123153</v>
      </c>
      <c r="G1254" t="s">
        <v>1822</v>
      </c>
      <c r="H1254" t="s">
        <v>1840</v>
      </c>
      <c r="I1254" t="s">
        <v>2877</v>
      </c>
    </row>
    <row r="1255" spans="1:9" x14ac:dyDescent="0.2">
      <c r="A1255" t="s">
        <v>2878</v>
      </c>
      <c r="D1255" t="str">
        <f>HYPERLINK("http://nlpdeep.cs.uic.edu:8080/proofing/t5/1123153-findings-0-2.pdf","t5/1123153-findings-0-2.pdf")</f>
        <v>t5/1123153-findings-0-2.pdf</v>
      </c>
      <c r="E1255">
        <v>120842</v>
      </c>
      <c r="F1255">
        <v>1123153</v>
      </c>
      <c r="G1255" t="s">
        <v>1822</v>
      </c>
      <c r="H1255" t="s">
        <v>1840</v>
      </c>
      <c r="I1255" t="s">
        <v>2879</v>
      </c>
    </row>
    <row r="1256" spans="1:9" x14ac:dyDescent="0.2">
      <c r="A1256" t="s">
        <v>2878</v>
      </c>
      <c r="D1256" t="str">
        <f>HYPERLINK("http://nlpdeep.cs.uic.edu:8080/proofing/gsii/1123153-findings-0-2.pdf","gsii/1123153-findings-0-2.pdf")</f>
        <v>gsii/1123153-findings-0-2.pdf</v>
      </c>
      <c r="E1256">
        <v>120842</v>
      </c>
      <c r="F1256">
        <v>1123153</v>
      </c>
      <c r="G1256" t="s">
        <v>1822</v>
      </c>
      <c r="H1256" t="s">
        <v>1840</v>
      </c>
      <c r="I1256" t="s">
        <v>2879</v>
      </c>
    </row>
    <row r="1257" spans="1:9" x14ac:dyDescent="0.2">
      <c r="A1257" t="s">
        <v>2880</v>
      </c>
      <c r="D1257" t="str">
        <f>HYPERLINK("http://nlpdeep.cs.uic.edu:8080/proofing/t5/1123153-findings-0-3.pdf","t5/1123153-findings-0-3.pdf")</f>
        <v>t5/1123153-findings-0-3.pdf</v>
      </c>
      <c r="E1257">
        <v>120842</v>
      </c>
      <c r="F1257">
        <v>1123153</v>
      </c>
      <c r="G1257" t="s">
        <v>1822</v>
      </c>
      <c r="H1257" t="s">
        <v>1840</v>
      </c>
      <c r="I1257" t="s">
        <v>2881</v>
      </c>
    </row>
    <row r="1258" spans="1:9" x14ac:dyDescent="0.2">
      <c r="A1258" t="s">
        <v>2880</v>
      </c>
      <c r="D1258" t="str">
        <f>HYPERLINK("http://nlpdeep.cs.uic.edu:8080/proofing/gsii/1123153-findings-0-3.pdf","gsii/1123153-findings-0-3.pdf")</f>
        <v>gsii/1123153-findings-0-3.pdf</v>
      </c>
      <c r="E1258">
        <v>120842</v>
      </c>
      <c r="F1258">
        <v>1123153</v>
      </c>
      <c r="G1258" t="s">
        <v>1822</v>
      </c>
      <c r="H1258" t="s">
        <v>1840</v>
      </c>
      <c r="I1258" t="s">
        <v>2881</v>
      </c>
    </row>
    <row r="1259" spans="1:9" x14ac:dyDescent="0.2">
      <c r="A1259" t="s">
        <v>2882</v>
      </c>
      <c r="D1259" t="str">
        <f>HYPERLINK("http://nlpdeep.cs.uic.edu:8080/proofing/t5/1123153-impression-0-0.pdf","t5/1123153-impression-0-0.pdf")</f>
        <v>t5/1123153-impression-0-0.pdf</v>
      </c>
      <c r="E1259">
        <v>120842</v>
      </c>
      <c r="F1259">
        <v>1123153</v>
      </c>
      <c r="G1259" t="s">
        <v>1822</v>
      </c>
      <c r="H1259" t="s">
        <v>1859</v>
      </c>
      <c r="I1259" t="s">
        <v>2883</v>
      </c>
    </row>
    <row r="1260" spans="1:9" x14ac:dyDescent="0.2">
      <c r="A1260" t="s">
        <v>2882</v>
      </c>
      <c r="D1260" t="str">
        <f>HYPERLINK("http://nlpdeep.cs.uic.edu:8080/proofing/gsii/1123153-impression-0-0.pdf","gsii/1123153-impression-0-0.pdf")</f>
        <v>gsii/1123153-impression-0-0.pdf</v>
      </c>
      <c r="E1260">
        <v>120842</v>
      </c>
      <c r="F1260">
        <v>1123153</v>
      </c>
      <c r="G1260" t="s">
        <v>1822</v>
      </c>
      <c r="H1260" t="s">
        <v>1859</v>
      </c>
      <c r="I1260" t="s">
        <v>2883</v>
      </c>
    </row>
    <row r="1261" spans="1:9" x14ac:dyDescent="0.2">
      <c r="A1261" t="s">
        <v>2884</v>
      </c>
      <c r="D1261" t="str">
        <f>HYPERLINK("http://nlpdeep.cs.uic.edu:8080/proofing/t5/1123570-reason-0-0.pdf","t5/1123570-reason-0-0.pdf")</f>
        <v>t5/1123570-reason-0-0.pdf</v>
      </c>
      <c r="E1261">
        <v>120842</v>
      </c>
      <c r="F1261">
        <v>1123570</v>
      </c>
      <c r="G1261" t="s">
        <v>1822</v>
      </c>
      <c r="H1261" t="s">
        <v>1823</v>
      </c>
      <c r="I1261" t="s">
        <v>2885</v>
      </c>
    </row>
    <row r="1262" spans="1:9" x14ac:dyDescent="0.2">
      <c r="A1262" t="s">
        <v>2884</v>
      </c>
      <c r="D1262" t="str">
        <f>HYPERLINK("http://nlpdeep.cs.uic.edu:8080/proofing/gsii/1123570-reason-0-0.pdf","gsii/1123570-reason-0-0.pdf")</f>
        <v>gsii/1123570-reason-0-0.pdf</v>
      </c>
      <c r="E1262">
        <v>120842</v>
      </c>
      <c r="F1262">
        <v>1123570</v>
      </c>
      <c r="G1262" t="s">
        <v>1822</v>
      </c>
      <c r="H1262" t="s">
        <v>1823</v>
      </c>
      <c r="I1262" t="s">
        <v>2885</v>
      </c>
    </row>
    <row r="1263" spans="1:9" x14ac:dyDescent="0.2">
      <c r="A1263" t="s">
        <v>2886</v>
      </c>
      <c r="D1263" t="str">
        <f>HYPERLINK("http://nlpdeep.cs.uic.edu:8080/proofing/t5/1123570-medical-condition-0-0.pdf","t5/1123570-medical-condition-0-0.pdf")</f>
        <v>t5/1123570-medical-condition-0-0.pdf</v>
      </c>
      <c r="E1263">
        <v>120842</v>
      </c>
      <c r="F1263">
        <v>1123570</v>
      </c>
      <c r="G1263" t="s">
        <v>1822</v>
      </c>
      <c r="H1263" t="s">
        <v>1826</v>
      </c>
      <c r="I1263" t="s">
        <v>2887</v>
      </c>
    </row>
    <row r="1264" spans="1:9" x14ac:dyDescent="0.2">
      <c r="A1264" t="s">
        <v>2886</v>
      </c>
      <c r="D1264" t="str">
        <f>HYPERLINK("http://nlpdeep.cs.uic.edu:8080/proofing/gsii/1123570-medical-condition-0-0.pdf","gsii/1123570-medical-condition-0-0.pdf")</f>
        <v>gsii/1123570-medical-condition-0-0.pdf</v>
      </c>
      <c r="E1264">
        <v>120842</v>
      </c>
      <c r="F1264">
        <v>1123570</v>
      </c>
      <c r="G1264" t="s">
        <v>1822</v>
      </c>
      <c r="H1264" t="s">
        <v>1826</v>
      </c>
      <c r="I1264" t="s">
        <v>2887</v>
      </c>
    </row>
    <row r="1265" spans="1:9" x14ac:dyDescent="0.2">
      <c r="A1265" t="s">
        <v>2888</v>
      </c>
      <c r="D1265" t="str">
        <f>HYPERLINK("http://nlpdeep.cs.uic.edu:8080/proofing/t5/1123570-history-0-0.pdf","t5/1123570-history-0-0.pdf")</f>
        <v>t5/1123570-history-0-0.pdf</v>
      </c>
      <c r="E1265">
        <v>120842</v>
      </c>
      <c r="F1265">
        <v>1123570</v>
      </c>
      <c r="G1265" t="s">
        <v>1822</v>
      </c>
      <c r="H1265" t="s">
        <v>2889</v>
      </c>
      <c r="I1265" t="s">
        <v>2890</v>
      </c>
    </row>
    <row r="1266" spans="1:9" x14ac:dyDescent="0.2">
      <c r="A1266" t="s">
        <v>2888</v>
      </c>
      <c r="D1266" t="str">
        <f>HYPERLINK("http://nlpdeep.cs.uic.edu:8080/proofing/gsii/1123570-history-0-0.pdf","gsii/1123570-history-0-0.pdf")</f>
        <v>gsii/1123570-history-0-0.pdf</v>
      </c>
      <c r="E1266">
        <v>120842</v>
      </c>
      <c r="F1266">
        <v>1123570</v>
      </c>
      <c r="G1266" t="s">
        <v>1822</v>
      </c>
      <c r="H1266" t="s">
        <v>2889</v>
      </c>
      <c r="I1266" t="s">
        <v>2890</v>
      </c>
    </row>
    <row r="1267" spans="1:9" x14ac:dyDescent="0.2">
      <c r="A1267" t="s">
        <v>2891</v>
      </c>
      <c r="D1267" t="str">
        <f>HYPERLINK("http://nlpdeep.cs.uic.edu:8080/proofing/t5/1123570-history-0-1.pdf","t5/1123570-history-0-1.pdf")</f>
        <v>t5/1123570-history-0-1.pdf</v>
      </c>
      <c r="E1267">
        <v>120842</v>
      </c>
      <c r="F1267">
        <v>1123570</v>
      </c>
      <c r="G1267" t="s">
        <v>1822</v>
      </c>
      <c r="H1267" t="s">
        <v>2889</v>
      </c>
      <c r="I1267" t="s">
        <v>2892</v>
      </c>
    </row>
    <row r="1268" spans="1:9" x14ac:dyDescent="0.2">
      <c r="A1268" t="s">
        <v>2891</v>
      </c>
      <c r="D1268" t="str">
        <f>HYPERLINK("http://nlpdeep.cs.uic.edu:8080/proofing/gsii/1123570-history-0-1.pdf","gsii/1123570-history-0-1.pdf")</f>
        <v>gsii/1123570-history-0-1.pdf</v>
      </c>
      <c r="E1268">
        <v>120842</v>
      </c>
      <c r="F1268">
        <v>1123570</v>
      </c>
      <c r="G1268" t="s">
        <v>1822</v>
      </c>
      <c r="H1268" t="s">
        <v>2889</v>
      </c>
      <c r="I1268" t="s">
        <v>2892</v>
      </c>
    </row>
    <row r="1269" spans="1:9" x14ac:dyDescent="0.2">
      <c r="A1269" t="s">
        <v>2893</v>
      </c>
      <c r="D1269" t="str">
        <f>HYPERLINK("http://nlpdeep.cs.uic.edu:8080/proofing/t5/1123570-history-0-2.pdf","t5/1123570-history-0-2.pdf")</f>
        <v>t5/1123570-history-0-2.pdf</v>
      </c>
      <c r="E1269">
        <v>120842</v>
      </c>
      <c r="F1269">
        <v>1123570</v>
      </c>
      <c r="G1269" t="s">
        <v>1822</v>
      </c>
      <c r="H1269" t="s">
        <v>2889</v>
      </c>
      <c r="I1269" t="s">
        <v>2894</v>
      </c>
    </row>
    <row r="1270" spans="1:9" x14ac:dyDescent="0.2">
      <c r="A1270" t="s">
        <v>2893</v>
      </c>
      <c r="D1270" t="str">
        <f>HYPERLINK("http://nlpdeep.cs.uic.edu:8080/proofing/gsii/1123570-history-0-2.pdf","gsii/1123570-history-0-2.pdf")</f>
        <v>gsii/1123570-history-0-2.pdf</v>
      </c>
      <c r="E1270">
        <v>120842</v>
      </c>
      <c r="F1270">
        <v>1123570</v>
      </c>
      <c r="G1270" t="s">
        <v>1822</v>
      </c>
      <c r="H1270" t="s">
        <v>2889</v>
      </c>
      <c r="I1270" t="s">
        <v>2894</v>
      </c>
    </row>
    <row r="1271" spans="1:9" x14ac:dyDescent="0.2">
      <c r="A1271" t="s">
        <v>2895</v>
      </c>
      <c r="D1271" t="str">
        <f>HYPERLINK("http://nlpdeep.cs.uic.edu:8080/proofing/t5/1123570-technique-0-0.pdf","t5/1123570-technique-0-0.pdf")</f>
        <v>t5/1123570-technique-0-0.pdf</v>
      </c>
      <c r="E1271">
        <v>120842</v>
      </c>
      <c r="F1271">
        <v>1123570</v>
      </c>
      <c r="G1271" t="s">
        <v>1822</v>
      </c>
      <c r="H1271" t="s">
        <v>1837</v>
      </c>
      <c r="I1271" t="s">
        <v>2896</v>
      </c>
    </row>
    <row r="1272" spans="1:9" x14ac:dyDescent="0.2">
      <c r="A1272" t="s">
        <v>2895</v>
      </c>
      <c r="D1272" t="str">
        <f>HYPERLINK("http://nlpdeep.cs.uic.edu:8080/proofing/gsii/1123570-technique-0-0.pdf","gsii/1123570-technique-0-0.pdf")</f>
        <v>gsii/1123570-technique-0-0.pdf</v>
      </c>
      <c r="E1272">
        <v>120842</v>
      </c>
      <c r="F1272">
        <v>1123570</v>
      </c>
      <c r="G1272" t="s">
        <v>1822</v>
      </c>
      <c r="H1272" t="s">
        <v>1837</v>
      </c>
      <c r="I1272" t="s">
        <v>2896</v>
      </c>
    </row>
    <row r="1273" spans="1:9" x14ac:dyDescent="0.2">
      <c r="A1273" t="s">
        <v>2897</v>
      </c>
      <c r="D1273" t="str">
        <f>HYPERLINK("http://nlpdeep.cs.uic.edu:8080/proofing/t5/1123570-findings-0-0.pdf","t5/1123570-findings-0-0.pdf")</f>
        <v>t5/1123570-findings-0-0.pdf</v>
      </c>
      <c r="E1273">
        <v>120842</v>
      </c>
      <c r="F1273">
        <v>1123570</v>
      </c>
      <c r="G1273" t="s">
        <v>1822</v>
      </c>
      <c r="H1273" t="s">
        <v>1840</v>
      </c>
      <c r="I1273" t="s">
        <v>2898</v>
      </c>
    </row>
    <row r="1274" spans="1:9" x14ac:dyDescent="0.2">
      <c r="A1274" t="s">
        <v>2897</v>
      </c>
      <c r="D1274" t="str">
        <f>HYPERLINK("http://nlpdeep.cs.uic.edu:8080/proofing/gsii/1123570-findings-0-0.pdf","gsii/1123570-findings-0-0.pdf")</f>
        <v>gsii/1123570-findings-0-0.pdf</v>
      </c>
      <c r="E1274">
        <v>120842</v>
      </c>
      <c r="F1274">
        <v>1123570</v>
      </c>
      <c r="G1274" t="s">
        <v>1822</v>
      </c>
      <c r="H1274" t="s">
        <v>1840</v>
      </c>
      <c r="I1274" t="s">
        <v>2898</v>
      </c>
    </row>
    <row r="1275" spans="1:9" x14ac:dyDescent="0.2">
      <c r="A1275" t="s">
        <v>2899</v>
      </c>
      <c r="D1275" t="str">
        <f>HYPERLINK("http://nlpdeep.cs.uic.edu:8080/proofing/t5/1123570-findings-0-1.pdf","t5/1123570-findings-0-1.pdf")</f>
        <v>t5/1123570-findings-0-1.pdf</v>
      </c>
      <c r="E1275">
        <v>120842</v>
      </c>
      <c r="F1275">
        <v>1123570</v>
      </c>
      <c r="G1275" t="s">
        <v>1822</v>
      </c>
      <c r="H1275" t="s">
        <v>1840</v>
      </c>
      <c r="I1275" t="s">
        <v>2900</v>
      </c>
    </row>
    <row r="1276" spans="1:9" x14ac:dyDescent="0.2">
      <c r="A1276" t="s">
        <v>2899</v>
      </c>
      <c r="D1276" t="str">
        <f>HYPERLINK("http://nlpdeep.cs.uic.edu:8080/proofing/gsii/1123570-findings-0-1.pdf","gsii/1123570-findings-0-1.pdf")</f>
        <v>gsii/1123570-findings-0-1.pdf</v>
      </c>
      <c r="E1276">
        <v>120842</v>
      </c>
      <c r="F1276">
        <v>1123570</v>
      </c>
      <c r="G1276" t="s">
        <v>1822</v>
      </c>
      <c r="H1276" t="s">
        <v>1840</v>
      </c>
      <c r="I1276" t="s">
        <v>2900</v>
      </c>
    </row>
    <row r="1277" spans="1:9" x14ac:dyDescent="0.2">
      <c r="A1277" t="s">
        <v>2901</v>
      </c>
      <c r="D1277" t="str">
        <f>HYPERLINK("http://nlpdeep.cs.uic.edu:8080/proofing/t5/1123570-findings-0-2.pdf","t5/1123570-findings-0-2.pdf")</f>
        <v>t5/1123570-findings-0-2.pdf</v>
      </c>
      <c r="E1277">
        <v>120842</v>
      </c>
      <c r="F1277">
        <v>1123570</v>
      </c>
      <c r="G1277" t="s">
        <v>1822</v>
      </c>
      <c r="H1277" t="s">
        <v>1840</v>
      </c>
      <c r="I1277" t="s">
        <v>2902</v>
      </c>
    </row>
    <row r="1278" spans="1:9" x14ac:dyDescent="0.2">
      <c r="A1278" t="s">
        <v>2901</v>
      </c>
      <c r="D1278" t="str">
        <f>HYPERLINK("http://nlpdeep.cs.uic.edu:8080/proofing/gsii/1123570-findings-0-2.pdf","gsii/1123570-findings-0-2.pdf")</f>
        <v>gsii/1123570-findings-0-2.pdf</v>
      </c>
      <c r="E1278">
        <v>120842</v>
      </c>
      <c r="F1278">
        <v>1123570</v>
      </c>
      <c r="G1278" t="s">
        <v>1822</v>
      </c>
      <c r="H1278" t="s">
        <v>1840</v>
      </c>
      <c r="I1278" t="s">
        <v>2902</v>
      </c>
    </row>
    <row r="1279" spans="1:9" x14ac:dyDescent="0.2">
      <c r="A1279" t="s">
        <v>2903</v>
      </c>
      <c r="D1279" t="str">
        <f>HYPERLINK("http://nlpdeep.cs.uic.edu:8080/proofing/t5/1123570-findings-1-0.pdf","t5/1123570-findings-1-0.pdf")</f>
        <v>t5/1123570-findings-1-0.pdf</v>
      </c>
      <c r="E1279">
        <v>120842</v>
      </c>
      <c r="F1279">
        <v>1123570</v>
      </c>
      <c r="G1279" t="s">
        <v>1822</v>
      </c>
      <c r="H1279" t="s">
        <v>1840</v>
      </c>
      <c r="I1279" t="s">
        <v>2904</v>
      </c>
    </row>
    <row r="1280" spans="1:9" x14ac:dyDescent="0.2">
      <c r="A1280" t="s">
        <v>2903</v>
      </c>
      <c r="D1280" t="str">
        <f>HYPERLINK("http://nlpdeep.cs.uic.edu:8080/proofing/gsii/1123570-findings-1-0.pdf","gsii/1123570-findings-1-0.pdf")</f>
        <v>gsii/1123570-findings-1-0.pdf</v>
      </c>
      <c r="E1280">
        <v>120842</v>
      </c>
      <c r="F1280">
        <v>1123570</v>
      </c>
      <c r="G1280" t="s">
        <v>1822</v>
      </c>
      <c r="H1280" t="s">
        <v>1840</v>
      </c>
      <c r="I1280" t="s">
        <v>2904</v>
      </c>
    </row>
    <row r="1281" spans="1:9" x14ac:dyDescent="0.2">
      <c r="A1281" t="s">
        <v>2905</v>
      </c>
      <c r="D1281" t="str">
        <f>HYPERLINK("http://nlpdeep.cs.uic.edu:8080/proofing/t5/1123570-findings-2-0.pdf","t5/1123570-findings-2-0.pdf")</f>
        <v>t5/1123570-findings-2-0.pdf</v>
      </c>
      <c r="E1281">
        <v>120842</v>
      </c>
      <c r="F1281">
        <v>1123570</v>
      </c>
      <c r="G1281" t="s">
        <v>1822</v>
      </c>
      <c r="H1281" t="s">
        <v>1840</v>
      </c>
      <c r="I1281" t="s">
        <v>2906</v>
      </c>
    </row>
    <row r="1282" spans="1:9" x14ac:dyDescent="0.2">
      <c r="A1282" t="s">
        <v>2905</v>
      </c>
      <c r="D1282" t="str">
        <f>HYPERLINK("http://nlpdeep.cs.uic.edu:8080/proofing/gsii/1123570-findings-2-0.pdf","gsii/1123570-findings-2-0.pdf")</f>
        <v>gsii/1123570-findings-2-0.pdf</v>
      </c>
      <c r="E1282">
        <v>120842</v>
      </c>
      <c r="F1282">
        <v>1123570</v>
      </c>
      <c r="G1282" t="s">
        <v>1822</v>
      </c>
      <c r="H1282" t="s">
        <v>1840</v>
      </c>
      <c r="I1282" t="s">
        <v>2906</v>
      </c>
    </row>
    <row r="1283" spans="1:9" x14ac:dyDescent="0.2">
      <c r="A1283" t="s">
        <v>2907</v>
      </c>
      <c r="D1283" t="str">
        <f>HYPERLINK("http://nlpdeep.cs.uic.edu:8080/proofing/t5/1123570-findings-2-1.pdf","t5/1123570-findings-2-1.pdf")</f>
        <v>t5/1123570-findings-2-1.pdf</v>
      </c>
      <c r="E1283">
        <v>120842</v>
      </c>
      <c r="F1283">
        <v>1123570</v>
      </c>
      <c r="G1283" t="s">
        <v>1822</v>
      </c>
      <c r="H1283" t="s">
        <v>1840</v>
      </c>
      <c r="I1283" t="s">
        <v>2908</v>
      </c>
    </row>
    <row r="1284" spans="1:9" x14ac:dyDescent="0.2">
      <c r="A1284" t="s">
        <v>2907</v>
      </c>
      <c r="D1284" t="str">
        <f>HYPERLINK("http://nlpdeep.cs.uic.edu:8080/proofing/gsii/1123570-findings-2-1.pdf","gsii/1123570-findings-2-1.pdf")</f>
        <v>gsii/1123570-findings-2-1.pdf</v>
      </c>
      <c r="E1284">
        <v>120842</v>
      </c>
      <c r="F1284">
        <v>1123570</v>
      </c>
      <c r="G1284" t="s">
        <v>1822</v>
      </c>
      <c r="H1284" t="s">
        <v>1840</v>
      </c>
      <c r="I1284" t="s">
        <v>2908</v>
      </c>
    </row>
    <row r="1285" spans="1:9" x14ac:dyDescent="0.2">
      <c r="A1285" t="s">
        <v>2909</v>
      </c>
      <c r="D1285" t="str">
        <f>HYPERLINK("http://nlpdeep.cs.uic.edu:8080/proofing/t5/1123570-findings-2-2.pdf","t5/1123570-findings-2-2.pdf")</f>
        <v>t5/1123570-findings-2-2.pdf</v>
      </c>
      <c r="E1285">
        <v>120842</v>
      </c>
      <c r="F1285">
        <v>1123570</v>
      </c>
      <c r="G1285" t="s">
        <v>1822</v>
      </c>
      <c r="H1285" t="s">
        <v>1840</v>
      </c>
      <c r="I1285" t="s">
        <v>2910</v>
      </c>
    </row>
    <row r="1286" spans="1:9" x14ac:dyDescent="0.2">
      <c r="A1286" t="s">
        <v>2909</v>
      </c>
      <c r="D1286" t="str">
        <f>HYPERLINK("http://nlpdeep.cs.uic.edu:8080/proofing/gsii/1123570-findings-2-2.pdf","gsii/1123570-findings-2-2.pdf")</f>
        <v>gsii/1123570-findings-2-2.pdf</v>
      </c>
      <c r="E1286">
        <v>120842</v>
      </c>
      <c r="F1286">
        <v>1123570</v>
      </c>
      <c r="G1286" t="s">
        <v>1822</v>
      </c>
      <c r="H1286" t="s">
        <v>1840</v>
      </c>
      <c r="I1286" t="s">
        <v>2910</v>
      </c>
    </row>
    <row r="1287" spans="1:9" x14ac:dyDescent="0.2">
      <c r="A1287" t="s">
        <v>2911</v>
      </c>
      <c r="D1287" t="str">
        <f>HYPERLINK("http://nlpdeep.cs.uic.edu:8080/proofing/t5/1123570-findings-2-3.pdf","t5/1123570-findings-2-3.pdf")</f>
        <v>t5/1123570-findings-2-3.pdf</v>
      </c>
      <c r="E1287">
        <v>120842</v>
      </c>
      <c r="F1287">
        <v>1123570</v>
      </c>
      <c r="G1287" t="s">
        <v>1822</v>
      </c>
      <c r="H1287" t="s">
        <v>1840</v>
      </c>
      <c r="I1287" t="s">
        <v>2912</v>
      </c>
    </row>
    <row r="1288" spans="1:9" x14ac:dyDescent="0.2">
      <c r="A1288" t="s">
        <v>2911</v>
      </c>
      <c r="D1288" t="str">
        <f>HYPERLINK("http://nlpdeep.cs.uic.edu:8080/proofing/gsii/1123570-findings-2-3.pdf","gsii/1123570-findings-2-3.pdf")</f>
        <v>gsii/1123570-findings-2-3.pdf</v>
      </c>
      <c r="E1288">
        <v>120842</v>
      </c>
      <c r="F1288">
        <v>1123570</v>
      </c>
      <c r="G1288" t="s">
        <v>1822</v>
      </c>
      <c r="H1288" t="s">
        <v>1840</v>
      </c>
      <c r="I1288" t="s">
        <v>2912</v>
      </c>
    </row>
    <row r="1289" spans="1:9" x14ac:dyDescent="0.2">
      <c r="A1289" t="s">
        <v>2913</v>
      </c>
      <c r="D1289" t="str">
        <f>HYPERLINK("http://nlpdeep.cs.uic.edu:8080/proofing/t5/1123570-impression-0-0.pdf","t5/1123570-impression-0-0.pdf")</f>
        <v>t5/1123570-impression-0-0.pdf</v>
      </c>
      <c r="E1289">
        <v>120842</v>
      </c>
      <c r="F1289">
        <v>1123570</v>
      </c>
      <c r="G1289" t="s">
        <v>1822</v>
      </c>
      <c r="H1289" t="s">
        <v>1859</v>
      </c>
      <c r="I1289" t="s">
        <v>2914</v>
      </c>
    </row>
    <row r="1290" spans="1:9" x14ac:dyDescent="0.2">
      <c r="A1290" t="s">
        <v>2913</v>
      </c>
      <c r="D1290" t="str">
        <f>HYPERLINK("http://nlpdeep.cs.uic.edu:8080/proofing/gsii/1123570-impression-0-0.pdf","gsii/1123570-impression-0-0.pdf")</f>
        <v>gsii/1123570-impression-0-0.pdf</v>
      </c>
      <c r="E1290">
        <v>120842</v>
      </c>
      <c r="F1290">
        <v>1123570</v>
      </c>
      <c r="G1290" t="s">
        <v>1822</v>
      </c>
      <c r="H1290" t="s">
        <v>1859</v>
      </c>
      <c r="I1290" t="s">
        <v>2914</v>
      </c>
    </row>
    <row r="1291" spans="1:9" x14ac:dyDescent="0.2">
      <c r="A1291" t="s">
        <v>2915</v>
      </c>
      <c r="D1291" t="str">
        <f>HYPERLINK("http://nlpdeep.cs.uic.edu:8080/proofing/t5/1123570-impression-0-1.pdf","t5/1123570-impression-0-1.pdf")</f>
        <v>t5/1123570-impression-0-1.pdf</v>
      </c>
      <c r="E1291">
        <v>120842</v>
      </c>
      <c r="F1291">
        <v>1123570</v>
      </c>
      <c r="G1291" t="s">
        <v>1822</v>
      </c>
      <c r="H1291" t="s">
        <v>1859</v>
      </c>
      <c r="I1291" t="s">
        <v>2916</v>
      </c>
    </row>
    <row r="1292" spans="1:9" x14ac:dyDescent="0.2">
      <c r="A1292" t="s">
        <v>2915</v>
      </c>
      <c r="D1292" t="str">
        <f>HYPERLINK("http://nlpdeep.cs.uic.edu:8080/proofing/gsii/1123570-impression-0-1.pdf","gsii/1123570-impression-0-1.pdf")</f>
        <v>gsii/1123570-impression-0-1.pdf</v>
      </c>
      <c r="E1292">
        <v>120842</v>
      </c>
      <c r="F1292">
        <v>1123570</v>
      </c>
      <c r="G1292" t="s">
        <v>1822</v>
      </c>
      <c r="H1292" t="s">
        <v>1859</v>
      </c>
      <c r="I1292" t="s">
        <v>2916</v>
      </c>
    </row>
    <row r="1293" spans="1:9" x14ac:dyDescent="0.2">
      <c r="A1293" t="s">
        <v>2917</v>
      </c>
      <c r="D1293" t="str">
        <f>HYPERLINK("http://nlpdeep.cs.uic.edu:8080/proofing/t5/1123570-impression-0-2.pdf","t5/1123570-impression-0-2.pdf")</f>
        <v>t5/1123570-impression-0-2.pdf</v>
      </c>
      <c r="E1293">
        <v>120842</v>
      </c>
      <c r="F1293">
        <v>1123570</v>
      </c>
      <c r="G1293" t="s">
        <v>1822</v>
      </c>
      <c r="H1293" t="s">
        <v>1859</v>
      </c>
      <c r="I1293" t="s">
        <v>2918</v>
      </c>
    </row>
    <row r="1294" spans="1:9" x14ac:dyDescent="0.2">
      <c r="A1294" t="s">
        <v>2917</v>
      </c>
      <c r="D1294" t="str">
        <f>HYPERLINK("http://nlpdeep.cs.uic.edu:8080/proofing/gsii/1123570-impression-0-2.pdf","gsii/1123570-impression-0-2.pdf")</f>
        <v>gsii/1123570-impression-0-2.pdf</v>
      </c>
      <c r="E1294">
        <v>120842</v>
      </c>
      <c r="F1294">
        <v>1123570</v>
      </c>
      <c r="G1294" t="s">
        <v>1822</v>
      </c>
      <c r="H1294" t="s">
        <v>1859</v>
      </c>
      <c r="I1294" t="s">
        <v>2918</v>
      </c>
    </row>
    <row r="1295" spans="1:9" x14ac:dyDescent="0.2">
      <c r="A1295" t="s">
        <v>2919</v>
      </c>
      <c r="D1295" t="str">
        <f>HYPERLINK("http://nlpdeep.cs.uic.edu:8080/proofing/t5/1123570-impression-0-3.pdf","t5/1123570-impression-0-3.pdf")</f>
        <v>t5/1123570-impression-0-3.pdf</v>
      </c>
      <c r="E1295">
        <v>120842</v>
      </c>
      <c r="F1295">
        <v>1123570</v>
      </c>
      <c r="G1295" t="s">
        <v>1822</v>
      </c>
      <c r="H1295" t="s">
        <v>1859</v>
      </c>
      <c r="I1295" t="s">
        <v>2920</v>
      </c>
    </row>
    <row r="1296" spans="1:9" x14ac:dyDescent="0.2">
      <c r="A1296" t="s">
        <v>2919</v>
      </c>
      <c r="D1296" t="str">
        <f>HYPERLINK("http://nlpdeep.cs.uic.edu:8080/proofing/gsii/1123570-impression-0-3.pdf","gsii/1123570-impression-0-3.pdf")</f>
        <v>gsii/1123570-impression-0-3.pdf</v>
      </c>
      <c r="E1296">
        <v>120842</v>
      </c>
      <c r="F1296">
        <v>1123570</v>
      </c>
      <c r="G1296" t="s">
        <v>1822</v>
      </c>
      <c r="H1296" t="s">
        <v>1859</v>
      </c>
      <c r="I1296" t="s">
        <v>2920</v>
      </c>
    </row>
    <row r="1297" spans="1:9" x14ac:dyDescent="0.2">
      <c r="A1297" t="s">
        <v>2921</v>
      </c>
      <c r="D1297" t="str">
        <f>HYPERLINK("http://nlpdeep.cs.uic.edu:8080/proofing/t5/1123570-impression-0-4.pdf","t5/1123570-impression-0-4.pdf")</f>
        <v>t5/1123570-impression-0-4.pdf</v>
      </c>
      <c r="E1297">
        <v>120842</v>
      </c>
      <c r="F1297">
        <v>1123570</v>
      </c>
      <c r="G1297" t="s">
        <v>1822</v>
      </c>
      <c r="H1297" t="s">
        <v>1859</v>
      </c>
      <c r="I1297" t="s">
        <v>2916</v>
      </c>
    </row>
    <row r="1298" spans="1:9" x14ac:dyDescent="0.2">
      <c r="A1298" t="s">
        <v>2921</v>
      </c>
      <c r="D1298" t="str">
        <f>HYPERLINK("http://nlpdeep.cs.uic.edu:8080/proofing/gsii/1123570-impression-0-4.pdf","gsii/1123570-impression-0-4.pdf")</f>
        <v>gsii/1123570-impression-0-4.pdf</v>
      </c>
      <c r="E1298">
        <v>120842</v>
      </c>
      <c r="F1298">
        <v>1123570</v>
      </c>
      <c r="G1298" t="s">
        <v>1822</v>
      </c>
      <c r="H1298" t="s">
        <v>1859</v>
      </c>
      <c r="I1298" t="s">
        <v>2916</v>
      </c>
    </row>
    <row r="1299" spans="1:9" x14ac:dyDescent="0.2">
      <c r="A1299" t="s">
        <v>2922</v>
      </c>
      <c r="D1299" t="str">
        <f>HYPERLINK("http://nlpdeep.cs.uic.edu:8080/proofing/t5/1123570-impression-0-5.pdf","t5/1123570-impression-0-5.pdf")</f>
        <v>t5/1123570-impression-0-5.pdf</v>
      </c>
      <c r="E1299">
        <v>120842</v>
      </c>
      <c r="F1299">
        <v>1123570</v>
      </c>
      <c r="G1299" t="s">
        <v>1822</v>
      </c>
      <c r="H1299" t="s">
        <v>1859</v>
      </c>
      <c r="I1299" t="s">
        <v>2923</v>
      </c>
    </row>
    <row r="1300" spans="1:9" x14ac:dyDescent="0.2">
      <c r="A1300" t="s">
        <v>2922</v>
      </c>
      <c r="D1300" t="str">
        <f>HYPERLINK("http://nlpdeep.cs.uic.edu:8080/proofing/gsii/1123570-impression-0-5.pdf","gsii/1123570-impression-0-5.pdf")</f>
        <v>gsii/1123570-impression-0-5.pdf</v>
      </c>
      <c r="E1300">
        <v>120842</v>
      </c>
      <c r="F1300">
        <v>1123570</v>
      </c>
      <c r="G1300" t="s">
        <v>1822</v>
      </c>
      <c r="H1300" t="s">
        <v>1859</v>
      </c>
      <c r="I1300" t="s">
        <v>2923</v>
      </c>
    </row>
    <row r="1301" spans="1:9" x14ac:dyDescent="0.2">
      <c r="A1301" t="s">
        <v>2924</v>
      </c>
      <c r="D1301" t="str">
        <f>HYPERLINK("http://nlpdeep.cs.uic.edu:8080/proofing/t5/1123570-impression-0-6.pdf","t5/1123570-impression-0-6.pdf")</f>
        <v>t5/1123570-impression-0-6.pdf</v>
      </c>
      <c r="E1301">
        <v>120842</v>
      </c>
      <c r="F1301">
        <v>1123570</v>
      </c>
      <c r="G1301" t="s">
        <v>1822</v>
      </c>
      <c r="H1301" t="s">
        <v>1859</v>
      </c>
      <c r="I1301" t="s">
        <v>2925</v>
      </c>
    </row>
    <row r="1302" spans="1:9" x14ac:dyDescent="0.2">
      <c r="A1302" t="s">
        <v>2924</v>
      </c>
      <c r="D1302" t="str">
        <f>HYPERLINK("http://nlpdeep.cs.uic.edu:8080/proofing/gsii/1123570-impression-0-6.pdf","gsii/1123570-impression-0-6.pdf")</f>
        <v>gsii/1123570-impression-0-6.pdf</v>
      </c>
      <c r="E1302">
        <v>120842</v>
      </c>
      <c r="F1302">
        <v>1123570</v>
      </c>
      <c r="G1302" t="s">
        <v>1822</v>
      </c>
      <c r="H1302" t="s">
        <v>1859</v>
      </c>
      <c r="I1302" t="s">
        <v>2925</v>
      </c>
    </row>
    <row r="1303" spans="1:9" x14ac:dyDescent="0.2">
      <c r="A1303" t="s">
        <v>2926</v>
      </c>
      <c r="D1303" t="str">
        <f>HYPERLINK("http://nlpdeep.cs.uic.edu:8080/proofing/t5/523177-reason-0-0.pdf","t5/523177-reason-0-0.pdf")</f>
        <v>t5/523177-reason-0-0.pdf</v>
      </c>
      <c r="E1303">
        <v>120842</v>
      </c>
      <c r="F1303">
        <v>523177</v>
      </c>
      <c r="G1303" t="s">
        <v>306</v>
      </c>
      <c r="H1303" t="s">
        <v>1823</v>
      </c>
      <c r="I1303" t="s">
        <v>2746</v>
      </c>
    </row>
    <row r="1304" spans="1:9" x14ac:dyDescent="0.2">
      <c r="A1304" t="s">
        <v>2926</v>
      </c>
      <c r="D1304" t="str">
        <f>HYPERLINK("http://nlpdeep.cs.uic.edu:8080/proofing/gsii/523177-reason-0-0.pdf","gsii/523177-reason-0-0.pdf")</f>
        <v>gsii/523177-reason-0-0.pdf</v>
      </c>
      <c r="E1304">
        <v>120842</v>
      </c>
      <c r="F1304">
        <v>523177</v>
      </c>
      <c r="G1304" t="s">
        <v>306</v>
      </c>
      <c r="H1304" t="s">
        <v>1823</v>
      </c>
      <c r="I1304" t="s">
        <v>2746</v>
      </c>
    </row>
    <row r="1305" spans="1:9" x14ac:dyDescent="0.2">
      <c r="A1305" t="s">
        <v>2927</v>
      </c>
      <c r="D1305" t="str">
        <f>HYPERLINK("http://nlpdeep.cs.uic.edu:8080/proofing/t5/523177-history-of-present-illness-0-0.pdf","t5/523177-history-of-present-illness-0-0.pdf")</f>
        <v>t5/523177-history-of-present-illness-0-0.pdf</v>
      </c>
      <c r="E1305">
        <v>120842</v>
      </c>
      <c r="F1305">
        <v>523177</v>
      </c>
      <c r="G1305" t="s">
        <v>306</v>
      </c>
      <c r="H1305" t="s">
        <v>13</v>
      </c>
      <c r="I1305" t="s">
        <v>2748</v>
      </c>
    </row>
    <row r="1306" spans="1:9" x14ac:dyDescent="0.2">
      <c r="A1306" t="s">
        <v>2927</v>
      </c>
      <c r="D1306" t="str">
        <f>HYPERLINK("http://nlpdeep.cs.uic.edu:8080/proofing/gsii/523177-history-of-present-illness-0-0.pdf","gsii/523177-history-of-present-illness-0-0.pdf")</f>
        <v>gsii/523177-history-of-present-illness-0-0.pdf</v>
      </c>
      <c r="E1306">
        <v>120842</v>
      </c>
      <c r="F1306">
        <v>523177</v>
      </c>
      <c r="G1306" t="s">
        <v>306</v>
      </c>
      <c r="H1306" t="s">
        <v>13</v>
      </c>
      <c r="I1306" t="s">
        <v>2748</v>
      </c>
    </row>
    <row r="1307" spans="1:9" x14ac:dyDescent="0.2">
      <c r="A1307" t="s">
        <v>2928</v>
      </c>
      <c r="D1307" t="str">
        <f>HYPERLINK("http://nlpdeep.cs.uic.edu:8080/proofing/t5/523177-history-of-present-illness-0-1.pdf","t5/523177-history-of-present-illness-0-1.pdf")</f>
        <v>t5/523177-history-of-present-illness-0-1.pdf</v>
      </c>
      <c r="E1307">
        <v>120842</v>
      </c>
      <c r="F1307">
        <v>523177</v>
      </c>
      <c r="G1307" t="s">
        <v>306</v>
      </c>
      <c r="H1307" t="s">
        <v>13</v>
      </c>
      <c r="I1307" t="s">
        <v>2750</v>
      </c>
    </row>
    <row r="1308" spans="1:9" x14ac:dyDescent="0.2">
      <c r="A1308" t="s">
        <v>2928</v>
      </c>
      <c r="D1308" t="str">
        <f>HYPERLINK("http://nlpdeep.cs.uic.edu:8080/proofing/gsii/523177-history-of-present-illness-0-1.pdf","gsii/523177-history-of-present-illness-0-1.pdf")</f>
        <v>gsii/523177-history-of-present-illness-0-1.pdf</v>
      </c>
      <c r="E1308">
        <v>120842</v>
      </c>
      <c r="F1308">
        <v>523177</v>
      </c>
      <c r="G1308" t="s">
        <v>306</v>
      </c>
      <c r="H1308" t="s">
        <v>13</v>
      </c>
      <c r="I1308" t="s">
        <v>2750</v>
      </c>
    </row>
    <row r="1309" spans="1:9" x14ac:dyDescent="0.2">
      <c r="A1309" t="s">
        <v>2929</v>
      </c>
      <c r="D1309" t="str">
        <f>HYPERLINK("http://nlpdeep.cs.uic.edu:8080/proofing/t5/523177-history-of-present-illness-0-2.pdf","t5/523177-history-of-present-illness-0-2.pdf")</f>
        <v>t5/523177-history-of-present-illness-0-2.pdf</v>
      </c>
      <c r="E1309">
        <v>120842</v>
      </c>
      <c r="F1309">
        <v>523177</v>
      </c>
      <c r="G1309" t="s">
        <v>306</v>
      </c>
      <c r="H1309" t="s">
        <v>13</v>
      </c>
      <c r="I1309" t="s">
        <v>2752</v>
      </c>
    </row>
    <row r="1310" spans="1:9" x14ac:dyDescent="0.2">
      <c r="A1310" t="s">
        <v>2929</v>
      </c>
      <c r="D1310" t="str">
        <f>HYPERLINK("http://nlpdeep.cs.uic.edu:8080/proofing/gsii/523177-history-of-present-illness-0-2.pdf","gsii/523177-history-of-present-illness-0-2.pdf")</f>
        <v>gsii/523177-history-of-present-illness-0-2.pdf</v>
      </c>
      <c r="E1310">
        <v>120842</v>
      </c>
      <c r="F1310">
        <v>523177</v>
      </c>
      <c r="G1310" t="s">
        <v>306</v>
      </c>
      <c r="H1310" t="s">
        <v>13</v>
      </c>
      <c r="I1310" t="s">
        <v>2752</v>
      </c>
    </row>
    <row r="1311" spans="1:9" x14ac:dyDescent="0.2">
      <c r="A1311" t="s">
        <v>2930</v>
      </c>
      <c r="D1311" t="str">
        <f>HYPERLINK("http://nlpdeep.cs.uic.edu:8080/proofing/t5/523177-history-of-present-illness-0-3.pdf","t5/523177-history-of-present-illness-0-3.pdf")</f>
        <v>t5/523177-history-of-present-illness-0-3.pdf</v>
      </c>
      <c r="E1311">
        <v>120842</v>
      </c>
      <c r="F1311">
        <v>523177</v>
      </c>
      <c r="G1311" t="s">
        <v>306</v>
      </c>
      <c r="H1311" t="s">
        <v>13</v>
      </c>
      <c r="I1311" t="s">
        <v>2754</v>
      </c>
    </row>
    <row r="1312" spans="1:9" x14ac:dyDescent="0.2">
      <c r="A1312" t="s">
        <v>2930</v>
      </c>
      <c r="D1312" t="str">
        <f>HYPERLINK("http://nlpdeep.cs.uic.edu:8080/proofing/gsii/523177-history-of-present-illness-0-3.pdf","gsii/523177-history-of-present-illness-0-3.pdf")</f>
        <v>gsii/523177-history-of-present-illness-0-3.pdf</v>
      </c>
      <c r="E1312">
        <v>120842</v>
      </c>
      <c r="F1312">
        <v>523177</v>
      </c>
      <c r="G1312" t="s">
        <v>306</v>
      </c>
      <c r="H1312" t="s">
        <v>13</v>
      </c>
      <c r="I1312" t="s">
        <v>2754</v>
      </c>
    </row>
    <row r="1313" spans="1:9" x14ac:dyDescent="0.2">
      <c r="A1313" t="s">
        <v>2931</v>
      </c>
      <c r="D1313" t="str">
        <f>HYPERLINK("http://nlpdeep.cs.uic.edu:8080/proofing/t5/523177-history-of-present-illness-0-4.pdf","t5/523177-history-of-present-illness-0-4.pdf")</f>
        <v>t5/523177-history-of-present-illness-0-4.pdf</v>
      </c>
      <c r="E1313">
        <v>120842</v>
      </c>
      <c r="F1313">
        <v>523177</v>
      </c>
      <c r="G1313" t="s">
        <v>306</v>
      </c>
      <c r="H1313" t="s">
        <v>13</v>
      </c>
      <c r="I1313" t="s">
        <v>2756</v>
      </c>
    </row>
    <row r="1314" spans="1:9" x14ac:dyDescent="0.2">
      <c r="A1314" t="s">
        <v>2931</v>
      </c>
      <c r="D1314" t="str">
        <f>HYPERLINK("http://nlpdeep.cs.uic.edu:8080/proofing/gsii/523177-history-of-present-illness-0-4.pdf","gsii/523177-history-of-present-illness-0-4.pdf")</f>
        <v>gsii/523177-history-of-present-illness-0-4.pdf</v>
      </c>
      <c r="E1314">
        <v>120842</v>
      </c>
      <c r="F1314">
        <v>523177</v>
      </c>
      <c r="G1314" t="s">
        <v>306</v>
      </c>
      <c r="H1314" t="s">
        <v>13</v>
      </c>
      <c r="I1314" t="s">
        <v>2756</v>
      </c>
    </row>
    <row r="1315" spans="1:9" x14ac:dyDescent="0.2">
      <c r="A1315" t="s">
        <v>2932</v>
      </c>
      <c r="D1315" t="str">
        <f>HYPERLINK("http://nlpdeep.cs.uic.edu:8080/proofing/t5/523177-history-of-present-illness-0-5.pdf","t5/523177-history-of-present-illness-0-5.pdf")</f>
        <v>t5/523177-history-of-present-illness-0-5.pdf</v>
      </c>
      <c r="E1315">
        <v>120842</v>
      </c>
      <c r="F1315">
        <v>523177</v>
      </c>
      <c r="G1315" t="s">
        <v>306</v>
      </c>
      <c r="H1315" t="s">
        <v>13</v>
      </c>
      <c r="I1315" t="s">
        <v>2758</v>
      </c>
    </row>
    <row r="1316" spans="1:9" x14ac:dyDescent="0.2">
      <c r="A1316" t="s">
        <v>2932</v>
      </c>
      <c r="D1316" t="str">
        <f>HYPERLINK("http://nlpdeep.cs.uic.edu:8080/proofing/gsii/523177-history-of-present-illness-0-5.pdf","gsii/523177-history-of-present-illness-0-5.pdf")</f>
        <v>gsii/523177-history-of-present-illness-0-5.pdf</v>
      </c>
      <c r="E1316">
        <v>120842</v>
      </c>
      <c r="F1316">
        <v>523177</v>
      </c>
      <c r="G1316" t="s">
        <v>306</v>
      </c>
      <c r="H1316" t="s">
        <v>13</v>
      </c>
      <c r="I1316" t="s">
        <v>2758</v>
      </c>
    </row>
    <row r="1317" spans="1:9" x14ac:dyDescent="0.2">
      <c r="A1317" t="s">
        <v>2933</v>
      </c>
      <c r="D1317" t="str">
        <f>HYPERLINK("http://nlpdeep.cs.uic.edu:8080/proofing/t5/523177-history-of-present-illness-1-0.pdf","t5/523177-history-of-present-illness-1-0.pdf")</f>
        <v>t5/523177-history-of-present-illness-1-0.pdf</v>
      </c>
      <c r="E1317">
        <v>120842</v>
      </c>
      <c r="F1317">
        <v>523177</v>
      </c>
      <c r="G1317" t="s">
        <v>306</v>
      </c>
      <c r="H1317" t="s">
        <v>13</v>
      </c>
      <c r="I1317" t="s">
        <v>2760</v>
      </c>
    </row>
    <row r="1318" spans="1:9" x14ac:dyDescent="0.2">
      <c r="A1318" t="s">
        <v>2933</v>
      </c>
      <c r="D1318" t="str">
        <f>HYPERLINK("http://nlpdeep.cs.uic.edu:8080/proofing/gsii/523177-history-of-present-illness-1-0.pdf","gsii/523177-history-of-present-illness-1-0.pdf")</f>
        <v>gsii/523177-history-of-present-illness-1-0.pdf</v>
      </c>
      <c r="E1318">
        <v>120842</v>
      </c>
      <c r="F1318">
        <v>523177</v>
      </c>
      <c r="G1318" t="s">
        <v>306</v>
      </c>
      <c r="H1318" t="s">
        <v>13</v>
      </c>
      <c r="I1318" t="s">
        <v>2760</v>
      </c>
    </row>
    <row r="1319" spans="1:9" x14ac:dyDescent="0.2">
      <c r="A1319" t="s">
        <v>2934</v>
      </c>
      <c r="D1319" t="str">
        <f>HYPERLINK("http://nlpdeep.cs.uic.edu:8080/proofing/t5/523177-history-of-present-illness-1-1.pdf","t5/523177-history-of-present-illness-1-1.pdf")</f>
        <v>t5/523177-history-of-present-illness-1-1.pdf</v>
      </c>
      <c r="E1319">
        <v>120842</v>
      </c>
      <c r="F1319">
        <v>523177</v>
      </c>
      <c r="G1319" t="s">
        <v>306</v>
      </c>
      <c r="H1319" t="s">
        <v>13</v>
      </c>
      <c r="I1319" t="s">
        <v>2762</v>
      </c>
    </row>
    <row r="1320" spans="1:9" x14ac:dyDescent="0.2">
      <c r="A1320" t="s">
        <v>2934</v>
      </c>
      <c r="D1320" t="str">
        <f>HYPERLINK("http://nlpdeep.cs.uic.edu:8080/proofing/gsii/523177-history-of-present-illness-1-1.pdf","gsii/523177-history-of-present-illness-1-1.pdf")</f>
        <v>gsii/523177-history-of-present-illness-1-1.pdf</v>
      </c>
      <c r="E1320">
        <v>120842</v>
      </c>
      <c r="F1320">
        <v>523177</v>
      </c>
      <c r="G1320" t="s">
        <v>306</v>
      </c>
      <c r="H1320" t="s">
        <v>13</v>
      </c>
      <c r="I1320" t="s">
        <v>2762</v>
      </c>
    </row>
    <row r="1321" spans="1:9" x14ac:dyDescent="0.2">
      <c r="A1321" t="s">
        <v>2935</v>
      </c>
      <c r="D1321" t="str">
        <f>HYPERLINK("http://nlpdeep.cs.uic.edu:8080/proofing/t5/523177-history-of-present-illness-1-2.pdf","t5/523177-history-of-present-illness-1-2.pdf")</f>
        <v>t5/523177-history-of-present-illness-1-2.pdf</v>
      </c>
      <c r="E1321">
        <v>120842</v>
      </c>
      <c r="F1321">
        <v>523177</v>
      </c>
      <c r="G1321" t="s">
        <v>306</v>
      </c>
      <c r="H1321" t="s">
        <v>13</v>
      </c>
      <c r="I1321" t="s">
        <v>2764</v>
      </c>
    </row>
    <row r="1322" spans="1:9" x14ac:dyDescent="0.2">
      <c r="A1322" t="s">
        <v>2935</v>
      </c>
      <c r="D1322" t="str">
        <f>HYPERLINK("http://nlpdeep.cs.uic.edu:8080/proofing/gsii/523177-history-of-present-illness-1-2.pdf","gsii/523177-history-of-present-illness-1-2.pdf")</f>
        <v>gsii/523177-history-of-present-illness-1-2.pdf</v>
      </c>
      <c r="E1322">
        <v>120842</v>
      </c>
      <c r="F1322">
        <v>523177</v>
      </c>
      <c r="G1322" t="s">
        <v>306</v>
      </c>
      <c r="H1322" t="s">
        <v>13</v>
      </c>
      <c r="I1322" t="s">
        <v>2764</v>
      </c>
    </row>
    <row r="1323" spans="1:9" x14ac:dyDescent="0.2">
      <c r="A1323" t="s">
        <v>2936</v>
      </c>
      <c r="D1323" t="str">
        <f>HYPERLINK("http://nlpdeep.cs.uic.edu:8080/proofing/t5/523177-allergies-0-0.pdf","t5/523177-allergies-0-0.pdf")</f>
        <v>t5/523177-allergies-0-0.pdf</v>
      </c>
      <c r="E1323">
        <v>120842</v>
      </c>
      <c r="F1323">
        <v>523177</v>
      </c>
      <c r="G1323" t="s">
        <v>306</v>
      </c>
      <c r="H1323" t="s">
        <v>64</v>
      </c>
      <c r="I1323" t="s">
        <v>2937</v>
      </c>
    </row>
    <row r="1324" spans="1:9" x14ac:dyDescent="0.2">
      <c r="A1324" t="s">
        <v>2936</v>
      </c>
      <c r="D1324" t="str">
        <f>HYPERLINK("http://nlpdeep.cs.uic.edu:8080/proofing/gsii/523177-allergies-0-0.pdf","gsii/523177-allergies-0-0.pdf")</f>
        <v>gsii/523177-allergies-0-0.pdf</v>
      </c>
      <c r="E1324">
        <v>120842</v>
      </c>
      <c r="F1324">
        <v>523177</v>
      </c>
      <c r="G1324" t="s">
        <v>306</v>
      </c>
      <c r="H1324" t="s">
        <v>64</v>
      </c>
      <c r="I1324" t="s">
        <v>2937</v>
      </c>
    </row>
    <row r="1325" spans="1:9" x14ac:dyDescent="0.2">
      <c r="A1325" t="s">
        <v>2938</v>
      </c>
      <c r="D1325" t="str">
        <f>HYPERLINK("http://nlpdeep.cs.uic.edu:8080/proofing/t5/523177-medication-history-0-0.pdf","t5/523177-medication-history-0-0.pdf")</f>
        <v>t5/523177-medication-history-0-0.pdf</v>
      </c>
      <c r="E1325">
        <v>120842</v>
      </c>
      <c r="F1325">
        <v>523177</v>
      </c>
      <c r="G1325" t="s">
        <v>306</v>
      </c>
      <c r="H1325" t="s">
        <v>336</v>
      </c>
      <c r="I1325" t="s">
        <v>2768</v>
      </c>
    </row>
    <row r="1326" spans="1:9" x14ac:dyDescent="0.2">
      <c r="A1326" t="s">
        <v>2938</v>
      </c>
      <c r="D1326" t="str">
        <f>HYPERLINK("http://nlpdeep.cs.uic.edu:8080/proofing/gsii/523177-medication-history-0-0.pdf","gsii/523177-medication-history-0-0.pdf")</f>
        <v>gsii/523177-medication-history-0-0.pdf</v>
      </c>
      <c r="E1326">
        <v>120842</v>
      </c>
      <c r="F1326">
        <v>523177</v>
      </c>
      <c r="G1326" t="s">
        <v>306</v>
      </c>
      <c r="H1326" t="s">
        <v>336</v>
      </c>
      <c r="I1326" t="s">
        <v>2768</v>
      </c>
    </row>
    <row r="1327" spans="1:9" x14ac:dyDescent="0.2">
      <c r="A1327" t="s">
        <v>2939</v>
      </c>
      <c r="D1327" t="str">
        <f>HYPERLINK("http://nlpdeep.cs.uic.edu:8080/proofing/t5/523177-medication-history-0-1.pdf","t5/523177-medication-history-0-1.pdf")</f>
        <v>t5/523177-medication-history-0-1.pdf</v>
      </c>
      <c r="E1327">
        <v>120842</v>
      </c>
      <c r="F1327">
        <v>523177</v>
      </c>
      <c r="G1327" t="s">
        <v>306</v>
      </c>
      <c r="H1327" t="s">
        <v>336</v>
      </c>
      <c r="I1327" t="s">
        <v>2770</v>
      </c>
    </row>
    <row r="1328" spans="1:9" x14ac:dyDescent="0.2">
      <c r="A1328" t="s">
        <v>2939</v>
      </c>
      <c r="D1328" t="str">
        <f>HYPERLINK("http://nlpdeep.cs.uic.edu:8080/proofing/gsii/523177-medication-history-0-1.pdf","gsii/523177-medication-history-0-1.pdf")</f>
        <v>gsii/523177-medication-history-0-1.pdf</v>
      </c>
      <c r="E1328">
        <v>120842</v>
      </c>
      <c r="F1328">
        <v>523177</v>
      </c>
      <c r="G1328" t="s">
        <v>306</v>
      </c>
      <c r="H1328" t="s">
        <v>336</v>
      </c>
      <c r="I1328" t="s">
        <v>2770</v>
      </c>
    </row>
    <row r="1329" spans="1:9" x14ac:dyDescent="0.2">
      <c r="A1329" t="s">
        <v>2940</v>
      </c>
      <c r="D1329" t="str">
        <f>HYPERLINK("http://nlpdeep.cs.uic.edu:8080/proofing/t5/523177-medication-history-0-2.pdf","t5/523177-medication-history-0-2.pdf")</f>
        <v>t5/523177-medication-history-0-2.pdf</v>
      </c>
      <c r="E1329">
        <v>120842</v>
      </c>
      <c r="F1329">
        <v>523177</v>
      </c>
      <c r="G1329" t="s">
        <v>306</v>
      </c>
      <c r="H1329" t="s">
        <v>336</v>
      </c>
      <c r="I1329" t="s">
        <v>2772</v>
      </c>
    </row>
    <row r="1330" spans="1:9" x14ac:dyDescent="0.2">
      <c r="A1330" t="s">
        <v>2940</v>
      </c>
      <c r="D1330" t="str">
        <f>HYPERLINK("http://nlpdeep.cs.uic.edu:8080/proofing/gsii/523177-medication-history-0-2.pdf","gsii/523177-medication-history-0-2.pdf")</f>
        <v>gsii/523177-medication-history-0-2.pdf</v>
      </c>
      <c r="E1330">
        <v>120842</v>
      </c>
      <c r="F1330">
        <v>523177</v>
      </c>
      <c r="G1330" t="s">
        <v>306</v>
      </c>
      <c r="H1330" t="s">
        <v>336</v>
      </c>
      <c r="I1330" t="s">
        <v>2772</v>
      </c>
    </row>
    <row r="1331" spans="1:9" x14ac:dyDescent="0.2">
      <c r="A1331" t="s">
        <v>2941</v>
      </c>
      <c r="D1331" t="str">
        <f>HYPERLINK("http://nlpdeep.cs.uic.edu:8080/proofing/t5/523177-medication-history-0-3.pdf","t5/523177-medication-history-0-3.pdf")</f>
        <v>t5/523177-medication-history-0-3.pdf</v>
      </c>
      <c r="E1331">
        <v>120842</v>
      </c>
      <c r="F1331">
        <v>523177</v>
      </c>
      <c r="G1331" t="s">
        <v>306</v>
      </c>
      <c r="H1331" t="s">
        <v>336</v>
      </c>
      <c r="I1331" t="s">
        <v>2774</v>
      </c>
    </row>
    <row r="1332" spans="1:9" x14ac:dyDescent="0.2">
      <c r="A1332" t="s">
        <v>2941</v>
      </c>
      <c r="D1332" t="str">
        <f>HYPERLINK("http://nlpdeep.cs.uic.edu:8080/proofing/gsii/523177-medication-history-0-3.pdf","gsii/523177-medication-history-0-3.pdf")</f>
        <v>gsii/523177-medication-history-0-3.pdf</v>
      </c>
      <c r="E1332">
        <v>120842</v>
      </c>
      <c r="F1332">
        <v>523177</v>
      </c>
      <c r="G1332" t="s">
        <v>306</v>
      </c>
      <c r="H1332" t="s">
        <v>336</v>
      </c>
      <c r="I1332" t="s">
        <v>2774</v>
      </c>
    </row>
    <row r="1333" spans="1:9" x14ac:dyDescent="0.2">
      <c r="A1333" t="s">
        <v>2942</v>
      </c>
      <c r="D1333" t="str">
        <f>HYPERLINK("http://nlpdeep.cs.uic.edu:8080/proofing/t5/523177-medication-history-0-4.pdf","t5/523177-medication-history-0-4.pdf")</f>
        <v>t5/523177-medication-history-0-4.pdf</v>
      </c>
      <c r="E1333">
        <v>120842</v>
      </c>
      <c r="F1333">
        <v>523177</v>
      </c>
      <c r="G1333" t="s">
        <v>306</v>
      </c>
      <c r="H1333" t="s">
        <v>336</v>
      </c>
      <c r="I1333" t="s">
        <v>2776</v>
      </c>
    </row>
    <row r="1334" spans="1:9" x14ac:dyDescent="0.2">
      <c r="A1334" t="s">
        <v>2942</v>
      </c>
      <c r="D1334" t="str">
        <f>HYPERLINK("http://nlpdeep.cs.uic.edu:8080/proofing/gsii/523177-medication-history-0-4.pdf","gsii/523177-medication-history-0-4.pdf")</f>
        <v>gsii/523177-medication-history-0-4.pdf</v>
      </c>
      <c r="E1334">
        <v>120842</v>
      </c>
      <c r="F1334">
        <v>523177</v>
      </c>
      <c r="G1334" t="s">
        <v>306</v>
      </c>
      <c r="H1334" t="s">
        <v>336</v>
      </c>
      <c r="I1334" t="s">
        <v>2776</v>
      </c>
    </row>
    <row r="1335" spans="1:9" x14ac:dyDescent="0.2">
      <c r="A1335" t="s">
        <v>2943</v>
      </c>
      <c r="D1335" t="str">
        <f>HYPERLINK("http://nlpdeep.cs.uic.edu:8080/proofing/t5/523177-medication-history-0-5.pdf","t5/523177-medication-history-0-5.pdf")</f>
        <v>t5/523177-medication-history-0-5.pdf</v>
      </c>
      <c r="E1335">
        <v>120842</v>
      </c>
      <c r="F1335">
        <v>523177</v>
      </c>
      <c r="G1335" t="s">
        <v>306</v>
      </c>
      <c r="H1335" t="s">
        <v>336</v>
      </c>
      <c r="I1335" t="s">
        <v>2778</v>
      </c>
    </row>
    <row r="1336" spans="1:9" x14ac:dyDescent="0.2">
      <c r="A1336" t="s">
        <v>2943</v>
      </c>
      <c r="D1336" t="str">
        <f>HYPERLINK("http://nlpdeep.cs.uic.edu:8080/proofing/gsii/523177-medication-history-0-5.pdf","gsii/523177-medication-history-0-5.pdf")</f>
        <v>gsii/523177-medication-history-0-5.pdf</v>
      </c>
      <c r="E1336">
        <v>120842</v>
      </c>
      <c r="F1336">
        <v>523177</v>
      </c>
      <c r="G1336" t="s">
        <v>306</v>
      </c>
      <c r="H1336" t="s">
        <v>336</v>
      </c>
      <c r="I1336" t="s">
        <v>2778</v>
      </c>
    </row>
    <row r="1337" spans="1:9" x14ac:dyDescent="0.2">
      <c r="A1337" t="s">
        <v>2944</v>
      </c>
      <c r="D1337" t="str">
        <f>HYPERLINK("http://nlpdeep.cs.uic.edu:8080/proofing/t5/523177-medication-history-0-6.pdf","t5/523177-medication-history-0-6.pdf")</f>
        <v>t5/523177-medication-history-0-6.pdf</v>
      </c>
      <c r="E1337">
        <v>120842</v>
      </c>
      <c r="F1337">
        <v>523177</v>
      </c>
      <c r="G1337" t="s">
        <v>306</v>
      </c>
      <c r="H1337" t="s">
        <v>336</v>
      </c>
      <c r="I1337" t="s">
        <v>2780</v>
      </c>
    </row>
    <row r="1338" spans="1:9" x14ac:dyDescent="0.2">
      <c r="A1338" t="s">
        <v>2944</v>
      </c>
      <c r="D1338" t="str">
        <f>HYPERLINK("http://nlpdeep.cs.uic.edu:8080/proofing/gsii/523177-medication-history-0-6.pdf","gsii/523177-medication-history-0-6.pdf")</f>
        <v>gsii/523177-medication-history-0-6.pdf</v>
      </c>
      <c r="E1338">
        <v>120842</v>
      </c>
      <c r="F1338">
        <v>523177</v>
      </c>
      <c r="G1338" t="s">
        <v>306</v>
      </c>
      <c r="H1338" t="s">
        <v>336</v>
      </c>
      <c r="I1338" t="s">
        <v>2780</v>
      </c>
    </row>
    <row r="1339" spans="1:9" x14ac:dyDescent="0.2">
      <c r="A1339" t="s">
        <v>2945</v>
      </c>
      <c r="D1339" t="str">
        <f>HYPERLINK("http://nlpdeep.cs.uic.edu:8080/proofing/t5/523177-medication-history-0-7.pdf","t5/523177-medication-history-0-7.pdf")</f>
        <v>t5/523177-medication-history-0-7.pdf</v>
      </c>
      <c r="E1339">
        <v>120842</v>
      </c>
      <c r="F1339">
        <v>523177</v>
      </c>
      <c r="G1339" t="s">
        <v>306</v>
      </c>
      <c r="H1339" t="s">
        <v>336</v>
      </c>
      <c r="I1339" t="s">
        <v>2782</v>
      </c>
    </row>
    <row r="1340" spans="1:9" x14ac:dyDescent="0.2">
      <c r="A1340" t="s">
        <v>2945</v>
      </c>
      <c r="D1340" t="str">
        <f>HYPERLINK("http://nlpdeep.cs.uic.edu:8080/proofing/gsii/523177-medication-history-0-7.pdf","gsii/523177-medication-history-0-7.pdf")</f>
        <v>gsii/523177-medication-history-0-7.pdf</v>
      </c>
      <c r="E1340">
        <v>120842</v>
      </c>
      <c r="F1340">
        <v>523177</v>
      </c>
      <c r="G1340" t="s">
        <v>306</v>
      </c>
      <c r="H1340" t="s">
        <v>336</v>
      </c>
      <c r="I1340" t="s">
        <v>2782</v>
      </c>
    </row>
    <row r="1341" spans="1:9" x14ac:dyDescent="0.2">
      <c r="A1341" t="s">
        <v>2946</v>
      </c>
      <c r="D1341" t="str">
        <f>HYPERLINK("http://nlpdeep.cs.uic.edu:8080/proofing/t5/523177-medication-history-0-8.pdf","t5/523177-medication-history-0-8.pdf")</f>
        <v>t5/523177-medication-history-0-8.pdf</v>
      </c>
      <c r="E1341">
        <v>120842</v>
      </c>
      <c r="F1341">
        <v>523177</v>
      </c>
      <c r="G1341" t="s">
        <v>306</v>
      </c>
      <c r="H1341" t="s">
        <v>336</v>
      </c>
      <c r="I1341" t="s">
        <v>2764</v>
      </c>
    </row>
    <row r="1342" spans="1:9" x14ac:dyDescent="0.2">
      <c r="A1342" t="s">
        <v>2946</v>
      </c>
      <c r="D1342" t="str">
        <f>HYPERLINK("http://nlpdeep.cs.uic.edu:8080/proofing/gsii/523177-medication-history-0-8.pdf","gsii/523177-medication-history-0-8.pdf")</f>
        <v>gsii/523177-medication-history-0-8.pdf</v>
      </c>
      <c r="E1342">
        <v>120842</v>
      </c>
      <c r="F1342">
        <v>523177</v>
      </c>
      <c r="G1342" t="s">
        <v>306</v>
      </c>
      <c r="H1342" t="s">
        <v>336</v>
      </c>
      <c r="I1342" t="s">
        <v>2764</v>
      </c>
    </row>
    <row r="1343" spans="1:9" x14ac:dyDescent="0.2">
      <c r="A1343" t="s">
        <v>2947</v>
      </c>
      <c r="D1343" t="str">
        <f>HYPERLINK("http://nlpdeep.cs.uic.edu:8080/proofing/t5/523177-current-medications-0-0.pdf","t5/523177-current-medications-0-0.pdf")</f>
        <v>t5/523177-current-medications-0-0.pdf</v>
      </c>
      <c r="E1343">
        <v>120842</v>
      </c>
      <c r="F1343">
        <v>523177</v>
      </c>
      <c r="G1343" t="s">
        <v>306</v>
      </c>
      <c r="H1343" t="s">
        <v>365</v>
      </c>
      <c r="I1343" t="s">
        <v>2785</v>
      </c>
    </row>
    <row r="1344" spans="1:9" x14ac:dyDescent="0.2">
      <c r="A1344" t="s">
        <v>2947</v>
      </c>
      <c r="D1344" t="str">
        <f>HYPERLINK("http://nlpdeep.cs.uic.edu:8080/proofing/gsii/523177-current-medications-0-0.pdf","gsii/523177-current-medications-0-0.pdf")</f>
        <v>gsii/523177-current-medications-0-0.pdf</v>
      </c>
      <c r="E1344">
        <v>120842</v>
      </c>
      <c r="F1344">
        <v>523177</v>
      </c>
      <c r="G1344" t="s">
        <v>306</v>
      </c>
      <c r="H1344" t="s">
        <v>365</v>
      </c>
      <c r="I1344" t="s">
        <v>2785</v>
      </c>
    </row>
    <row r="1345" spans="1:9" x14ac:dyDescent="0.2">
      <c r="A1345" t="s">
        <v>2948</v>
      </c>
      <c r="D1345" t="str">
        <f>HYPERLINK("http://nlpdeep.cs.uic.edu:8080/proofing/t5/523177-past-medical-history-0-0.pdf","t5/523177-past-medical-history-0-0.pdf")</f>
        <v>t5/523177-past-medical-history-0-0.pdf</v>
      </c>
      <c r="E1345">
        <v>120842</v>
      </c>
      <c r="F1345">
        <v>523177</v>
      </c>
      <c r="G1345" t="s">
        <v>306</v>
      </c>
      <c r="H1345" t="s">
        <v>76</v>
      </c>
      <c r="I1345" t="s">
        <v>2787</v>
      </c>
    </row>
    <row r="1346" spans="1:9" x14ac:dyDescent="0.2">
      <c r="A1346" t="s">
        <v>2948</v>
      </c>
      <c r="D1346" t="str">
        <f>HYPERLINK("http://nlpdeep.cs.uic.edu:8080/proofing/gsii/523177-past-medical-history-0-0.pdf","gsii/523177-past-medical-history-0-0.pdf")</f>
        <v>gsii/523177-past-medical-history-0-0.pdf</v>
      </c>
      <c r="E1346">
        <v>120842</v>
      </c>
      <c r="F1346">
        <v>523177</v>
      </c>
      <c r="G1346" t="s">
        <v>306</v>
      </c>
      <c r="H1346" t="s">
        <v>76</v>
      </c>
      <c r="I1346" t="s">
        <v>2787</v>
      </c>
    </row>
    <row r="1347" spans="1:9" x14ac:dyDescent="0.2">
      <c r="A1347" t="s">
        <v>2949</v>
      </c>
      <c r="D1347" t="str">
        <f>HYPERLINK("http://nlpdeep.cs.uic.edu:8080/proofing/t5/523177-past-medical-history-0-1.pdf","t5/523177-past-medical-history-0-1.pdf")</f>
        <v>t5/523177-past-medical-history-0-1.pdf</v>
      </c>
      <c r="E1347">
        <v>120842</v>
      </c>
      <c r="F1347">
        <v>523177</v>
      </c>
      <c r="G1347" t="s">
        <v>306</v>
      </c>
      <c r="H1347" t="s">
        <v>76</v>
      </c>
      <c r="I1347" t="s">
        <v>2789</v>
      </c>
    </row>
    <row r="1348" spans="1:9" x14ac:dyDescent="0.2">
      <c r="A1348" t="s">
        <v>2949</v>
      </c>
      <c r="D1348" t="str">
        <f>HYPERLINK("http://nlpdeep.cs.uic.edu:8080/proofing/gsii/523177-past-medical-history-0-1.pdf","gsii/523177-past-medical-history-0-1.pdf")</f>
        <v>gsii/523177-past-medical-history-0-1.pdf</v>
      </c>
      <c r="E1348">
        <v>120842</v>
      </c>
      <c r="F1348">
        <v>523177</v>
      </c>
      <c r="G1348" t="s">
        <v>306</v>
      </c>
      <c r="H1348" t="s">
        <v>76</v>
      </c>
      <c r="I1348" t="s">
        <v>2789</v>
      </c>
    </row>
    <row r="1349" spans="1:9" x14ac:dyDescent="0.2">
      <c r="A1349" t="s">
        <v>2950</v>
      </c>
      <c r="D1349" t="str">
        <f>HYPERLINK("http://nlpdeep.cs.uic.edu:8080/proofing/t5/523177-past-medical-history-0-2.pdf","t5/523177-past-medical-history-0-2.pdf")</f>
        <v>t5/523177-past-medical-history-0-2.pdf</v>
      </c>
      <c r="E1349">
        <v>120842</v>
      </c>
      <c r="F1349">
        <v>523177</v>
      </c>
      <c r="G1349" t="s">
        <v>306</v>
      </c>
      <c r="H1349" t="s">
        <v>76</v>
      </c>
      <c r="I1349" t="s">
        <v>2791</v>
      </c>
    </row>
    <row r="1350" spans="1:9" x14ac:dyDescent="0.2">
      <c r="A1350" t="s">
        <v>2950</v>
      </c>
      <c r="D1350" t="str">
        <f>HYPERLINK("http://nlpdeep.cs.uic.edu:8080/proofing/gsii/523177-past-medical-history-0-2.pdf","gsii/523177-past-medical-history-0-2.pdf")</f>
        <v>gsii/523177-past-medical-history-0-2.pdf</v>
      </c>
      <c r="E1350">
        <v>120842</v>
      </c>
      <c r="F1350">
        <v>523177</v>
      </c>
      <c r="G1350" t="s">
        <v>306</v>
      </c>
      <c r="H1350" t="s">
        <v>76</v>
      </c>
      <c r="I1350" t="s">
        <v>2791</v>
      </c>
    </row>
    <row r="1351" spans="1:9" x14ac:dyDescent="0.2">
      <c r="A1351" t="s">
        <v>2951</v>
      </c>
      <c r="D1351" t="str">
        <f>HYPERLINK("http://nlpdeep.cs.uic.edu:8080/proofing/t5/523177-past-medical-history-0-3.pdf","t5/523177-past-medical-history-0-3.pdf")</f>
        <v>t5/523177-past-medical-history-0-3.pdf</v>
      </c>
      <c r="E1351">
        <v>120842</v>
      </c>
      <c r="F1351">
        <v>523177</v>
      </c>
      <c r="G1351" t="s">
        <v>306</v>
      </c>
      <c r="H1351" t="s">
        <v>76</v>
      </c>
      <c r="I1351" t="s">
        <v>2793</v>
      </c>
    </row>
    <row r="1352" spans="1:9" x14ac:dyDescent="0.2">
      <c r="A1352" t="s">
        <v>2951</v>
      </c>
      <c r="D1352" t="str">
        <f>HYPERLINK("http://nlpdeep.cs.uic.edu:8080/proofing/gsii/523177-past-medical-history-0-3.pdf","gsii/523177-past-medical-history-0-3.pdf")</f>
        <v>gsii/523177-past-medical-history-0-3.pdf</v>
      </c>
      <c r="E1352">
        <v>120842</v>
      </c>
      <c r="F1352">
        <v>523177</v>
      </c>
      <c r="G1352" t="s">
        <v>306</v>
      </c>
      <c r="H1352" t="s">
        <v>76</v>
      </c>
      <c r="I1352" t="s">
        <v>2793</v>
      </c>
    </row>
    <row r="1353" spans="1:9" x14ac:dyDescent="0.2">
      <c r="A1353" t="s">
        <v>2952</v>
      </c>
      <c r="D1353" t="str">
        <f>HYPERLINK("http://nlpdeep.cs.uic.edu:8080/proofing/t5/523177-past-medical-history-0-4.pdf","t5/523177-past-medical-history-0-4.pdf")</f>
        <v>t5/523177-past-medical-history-0-4.pdf</v>
      </c>
      <c r="E1353">
        <v>120842</v>
      </c>
      <c r="F1353">
        <v>523177</v>
      </c>
      <c r="G1353" t="s">
        <v>306</v>
      </c>
      <c r="H1353" t="s">
        <v>76</v>
      </c>
      <c r="I1353" t="s">
        <v>2795</v>
      </c>
    </row>
    <row r="1354" spans="1:9" x14ac:dyDescent="0.2">
      <c r="A1354" t="s">
        <v>2952</v>
      </c>
      <c r="D1354" t="str">
        <f>HYPERLINK("http://nlpdeep.cs.uic.edu:8080/proofing/gsii/523177-past-medical-history-0-4.pdf","gsii/523177-past-medical-history-0-4.pdf")</f>
        <v>gsii/523177-past-medical-history-0-4.pdf</v>
      </c>
      <c r="E1354">
        <v>120842</v>
      </c>
      <c r="F1354">
        <v>523177</v>
      </c>
      <c r="G1354" t="s">
        <v>306</v>
      </c>
      <c r="H1354" t="s">
        <v>76</v>
      </c>
      <c r="I1354" t="s">
        <v>2795</v>
      </c>
    </row>
    <row r="1355" spans="1:9" x14ac:dyDescent="0.2">
      <c r="A1355" t="s">
        <v>2953</v>
      </c>
      <c r="D1355" t="str">
        <f>HYPERLINK("http://nlpdeep.cs.uic.edu:8080/proofing/t5/523177-past-medical-history-0-5.pdf","t5/523177-past-medical-history-0-5.pdf")</f>
        <v>t5/523177-past-medical-history-0-5.pdf</v>
      </c>
      <c r="E1355">
        <v>120842</v>
      </c>
      <c r="F1355">
        <v>523177</v>
      </c>
      <c r="G1355" t="s">
        <v>306</v>
      </c>
      <c r="H1355" t="s">
        <v>76</v>
      </c>
      <c r="I1355" t="s">
        <v>2797</v>
      </c>
    </row>
    <row r="1356" spans="1:9" x14ac:dyDescent="0.2">
      <c r="A1356" t="s">
        <v>2953</v>
      </c>
      <c r="D1356" t="str">
        <f>HYPERLINK("http://nlpdeep.cs.uic.edu:8080/proofing/gsii/523177-past-medical-history-0-5.pdf","gsii/523177-past-medical-history-0-5.pdf")</f>
        <v>gsii/523177-past-medical-history-0-5.pdf</v>
      </c>
      <c r="E1356">
        <v>120842</v>
      </c>
      <c r="F1356">
        <v>523177</v>
      </c>
      <c r="G1356" t="s">
        <v>306</v>
      </c>
      <c r="H1356" t="s">
        <v>76</v>
      </c>
      <c r="I1356" t="s">
        <v>2797</v>
      </c>
    </row>
    <row r="1357" spans="1:9" x14ac:dyDescent="0.2">
      <c r="A1357" t="s">
        <v>2954</v>
      </c>
      <c r="D1357" t="str">
        <f>HYPERLINK("http://nlpdeep.cs.uic.edu:8080/proofing/t5/523177-social-and-family-history-0-0.pdf","t5/523177-social-and-family-history-0-0.pdf")</f>
        <v>t5/523177-social-and-family-history-0-0.pdf</v>
      </c>
      <c r="E1357">
        <v>120842</v>
      </c>
      <c r="F1357">
        <v>523177</v>
      </c>
      <c r="G1357" t="s">
        <v>306</v>
      </c>
      <c r="H1357" t="s">
        <v>2799</v>
      </c>
      <c r="I1357" t="s">
        <v>2800</v>
      </c>
    </row>
    <row r="1358" spans="1:9" x14ac:dyDescent="0.2">
      <c r="A1358" t="s">
        <v>2954</v>
      </c>
      <c r="D1358" t="str">
        <f>HYPERLINK("http://nlpdeep.cs.uic.edu:8080/proofing/gsii/523177-social-and-family-history-0-0.pdf","gsii/523177-social-and-family-history-0-0.pdf")</f>
        <v>gsii/523177-social-and-family-history-0-0.pdf</v>
      </c>
      <c r="E1358">
        <v>120842</v>
      </c>
      <c r="F1358">
        <v>523177</v>
      </c>
      <c r="G1358" t="s">
        <v>306</v>
      </c>
      <c r="H1358" t="s">
        <v>2799</v>
      </c>
      <c r="I1358" t="s">
        <v>2800</v>
      </c>
    </row>
    <row r="1359" spans="1:9" x14ac:dyDescent="0.2">
      <c r="A1359" t="s">
        <v>2955</v>
      </c>
      <c r="D1359" t="str">
        <f>HYPERLINK("http://nlpdeep.cs.uic.edu:8080/proofing/t5/523177-social-and-family-history-0-1.pdf","t5/523177-social-and-family-history-0-1.pdf")</f>
        <v>t5/523177-social-and-family-history-0-1.pdf</v>
      </c>
      <c r="E1359">
        <v>120842</v>
      </c>
      <c r="F1359">
        <v>523177</v>
      </c>
      <c r="G1359" t="s">
        <v>306</v>
      </c>
      <c r="H1359" t="s">
        <v>2799</v>
      </c>
      <c r="I1359" t="s">
        <v>2802</v>
      </c>
    </row>
    <row r="1360" spans="1:9" x14ac:dyDescent="0.2">
      <c r="A1360" t="s">
        <v>2955</v>
      </c>
      <c r="D1360" t="str">
        <f>HYPERLINK("http://nlpdeep.cs.uic.edu:8080/proofing/gsii/523177-social-and-family-history-0-1.pdf","gsii/523177-social-and-family-history-0-1.pdf")</f>
        <v>gsii/523177-social-and-family-history-0-1.pdf</v>
      </c>
      <c r="E1360">
        <v>120842</v>
      </c>
      <c r="F1360">
        <v>523177</v>
      </c>
      <c r="G1360" t="s">
        <v>306</v>
      </c>
      <c r="H1360" t="s">
        <v>2799</v>
      </c>
      <c r="I1360" t="s">
        <v>2802</v>
      </c>
    </row>
    <row r="1361" spans="1:9" x14ac:dyDescent="0.2">
      <c r="A1361" t="s">
        <v>2956</v>
      </c>
      <c r="D1361" t="str">
        <f>HYPERLINK("http://nlpdeep.cs.uic.edu:8080/proofing/t5/523177-social-and-family-history-0-2.pdf","t5/523177-social-and-family-history-0-2.pdf")</f>
        <v>t5/523177-social-and-family-history-0-2.pdf</v>
      </c>
      <c r="E1361">
        <v>120842</v>
      </c>
      <c r="F1361">
        <v>523177</v>
      </c>
      <c r="G1361" t="s">
        <v>306</v>
      </c>
      <c r="H1361" t="s">
        <v>2799</v>
      </c>
      <c r="I1361" t="s">
        <v>2804</v>
      </c>
    </row>
    <row r="1362" spans="1:9" x14ac:dyDescent="0.2">
      <c r="A1362" t="s">
        <v>2956</v>
      </c>
      <c r="D1362" t="str">
        <f>HYPERLINK("http://nlpdeep.cs.uic.edu:8080/proofing/gsii/523177-social-and-family-history-0-2.pdf","gsii/523177-social-and-family-history-0-2.pdf")</f>
        <v>gsii/523177-social-and-family-history-0-2.pdf</v>
      </c>
      <c r="E1362">
        <v>120842</v>
      </c>
      <c r="F1362">
        <v>523177</v>
      </c>
      <c r="G1362" t="s">
        <v>306</v>
      </c>
      <c r="H1362" t="s">
        <v>2799</v>
      </c>
      <c r="I1362" t="s">
        <v>2804</v>
      </c>
    </row>
    <row r="1363" spans="1:9" x14ac:dyDescent="0.2">
      <c r="A1363" t="s">
        <v>2957</v>
      </c>
      <c r="D1363" t="str">
        <f>HYPERLINK("http://nlpdeep.cs.uic.edu:8080/proofing/t5/523177-social-and-family-history-0-3.pdf","t5/523177-social-and-family-history-0-3.pdf")</f>
        <v>t5/523177-social-and-family-history-0-3.pdf</v>
      </c>
      <c r="E1363">
        <v>120842</v>
      </c>
      <c r="F1363">
        <v>523177</v>
      </c>
      <c r="G1363" t="s">
        <v>306</v>
      </c>
      <c r="H1363" t="s">
        <v>2799</v>
      </c>
      <c r="I1363" t="s">
        <v>2806</v>
      </c>
    </row>
    <row r="1364" spans="1:9" x14ac:dyDescent="0.2">
      <c r="A1364" t="s">
        <v>2957</v>
      </c>
      <c r="D1364" t="str">
        <f>HYPERLINK("http://nlpdeep.cs.uic.edu:8080/proofing/gsii/523177-social-and-family-history-0-3.pdf","gsii/523177-social-and-family-history-0-3.pdf")</f>
        <v>gsii/523177-social-and-family-history-0-3.pdf</v>
      </c>
      <c r="E1364">
        <v>120842</v>
      </c>
      <c r="F1364">
        <v>523177</v>
      </c>
      <c r="G1364" t="s">
        <v>306</v>
      </c>
      <c r="H1364" t="s">
        <v>2799</v>
      </c>
      <c r="I1364" t="s">
        <v>2806</v>
      </c>
    </row>
    <row r="1365" spans="1:9" x14ac:dyDescent="0.2">
      <c r="A1365" t="s">
        <v>2958</v>
      </c>
      <c r="D1365" t="str">
        <f>HYPERLINK("http://nlpdeep.cs.uic.edu:8080/proofing/t5/523177-social-and-family-history-0-4.pdf","t5/523177-social-and-family-history-0-4.pdf")</f>
        <v>t5/523177-social-and-family-history-0-4.pdf</v>
      </c>
      <c r="E1365">
        <v>120842</v>
      </c>
      <c r="F1365">
        <v>523177</v>
      </c>
      <c r="G1365" t="s">
        <v>306</v>
      </c>
      <c r="H1365" t="s">
        <v>2799</v>
      </c>
      <c r="I1365" t="s">
        <v>2808</v>
      </c>
    </row>
    <row r="1366" spans="1:9" x14ac:dyDescent="0.2">
      <c r="A1366" t="s">
        <v>2958</v>
      </c>
      <c r="D1366" t="str">
        <f>HYPERLINK("http://nlpdeep.cs.uic.edu:8080/proofing/gsii/523177-social-and-family-history-0-4.pdf","gsii/523177-social-and-family-history-0-4.pdf")</f>
        <v>gsii/523177-social-and-family-history-0-4.pdf</v>
      </c>
      <c r="E1366">
        <v>120842</v>
      </c>
      <c r="F1366">
        <v>523177</v>
      </c>
      <c r="G1366" t="s">
        <v>306</v>
      </c>
      <c r="H1366" t="s">
        <v>2799</v>
      </c>
      <c r="I1366" t="s">
        <v>2808</v>
      </c>
    </row>
    <row r="1367" spans="1:9" x14ac:dyDescent="0.2">
      <c r="A1367" t="s">
        <v>2959</v>
      </c>
      <c r="D1367" t="str">
        <f>HYPERLINK("http://nlpdeep.cs.uic.edu:8080/proofing/t5/523177-physical-examination-0-0.pdf","t5/523177-physical-examination-0-0.pdf")</f>
        <v>t5/523177-physical-examination-0-0.pdf</v>
      </c>
      <c r="E1367">
        <v>120842</v>
      </c>
      <c r="F1367">
        <v>523177</v>
      </c>
      <c r="G1367" t="s">
        <v>306</v>
      </c>
      <c r="H1367" t="s">
        <v>138</v>
      </c>
      <c r="I1367" t="s">
        <v>2810</v>
      </c>
    </row>
    <row r="1368" spans="1:9" x14ac:dyDescent="0.2">
      <c r="A1368" t="s">
        <v>2959</v>
      </c>
      <c r="D1368" t="str">
        <f>HYPERLINK("http://nlpdeep.cs.uic.edu:8080/proofing/gsii/523177-physical-examination-0-0.pdf","gsii/523177-physical-examination-0-0.pdf")</f>
        <v>gsii/523177-physical-examination-0-0.pdf</v>
      </c>
      <c r="E1368">
        <v>120842</v>
      </c>
      <c r="F1368">
        <v>523177</v>
      </c>
      <c r="G1368" t="s">
        <v>306</v>
      </c>
      <c r="H1368" t="s">
        <v>138</v>
      </c>
      <c r="I1368" t="s">
        <v>2810</v>
      </c>
    </row>
    <row r="1369" spans="1:9" x14ac:dyDescent="0.2">
      <c r="A1369" t="s">
        <v>2960</v>
      </c>
      <c r="D1369" t="str">
        <f>HYPERLINK("http://nlpdeep.cs.uic.edu:8080/proofing/t5/523177-physical-examination-0-1.pdf","t5/523177-physical-examination-0-1.pdf")</f>
        <v>t5/523177-physical-examination-0-1.pdf</v>
      </c>
      <c r="E1369">
        <v>120842</v>
      </c>
      <c r="F1369">
        <v>523177</v>
      </c>
      <c r="G1369" t="s">
        <v>306</v>
      </c>
      <c r="H1369" t="s">
        <v>138</v>
      </c>
      <c r="I1369" t="s">
        <v>2812</v>
      </c>
    </row>
    <row r="1370" spans="1:9" x14ac:dyDescent="0.2">
      <c r="A1370" t="s">
        <v>2960</v>
      </c>
      <c r="D1370" t="str">
        <f>HYPERLINK("http://nlpdeep.cs.uic.edu:8080/proofing/gsii/523177-physical-examination-0-1.pdf","gsii/523177-physical-examination-0-1.pdf")</f>
        <v>gsii/523177-physical-examination-0-1.pdf</v>
      </c>
      <c r="E1370">
        <v>120842</v>
      </c>
      <c r="F1370">
        <v>523177</v>
      </c>
      <c r="G1370" t="s">
        <v>306</v>
      </c>
      <c r="H1370" t="s">
        <v>138</v>
      </c>
      <c r="I1370" t="s">
        <v>2812</v>
      </c>
    </row>
    <row r="1371" spans="1:9" x14ac:dyDescent="0.2">
      <c r="A1371" t="s">
        <v>2961</v>
      </c>
      <c r="D1371" t="str">
        <f>HYPERLINK("http://nlpdeep.cs.uic.edu:8080/proofing/t5/523177-labs-imaging-0-0.pdf","t5/523177-labs-imaging-0-0.pdf")</f>
        <v>t5/523177-labs-imaging-0-0.pdf</v>
      </c>
      <c r="E1371">
        <v>120842</v>
      </c>
      <c r="F1371">
        <v>523177</v>
      </c>
      <c r="G1371" t="s">
        <v>306</v>
      </c>
      <c r="H1371" t="s">
        <v>147</v>
      </c>
      <c r="I1371" t="s">
        <v>2814</v>
      </c>
    </row>
    <row r="1372" spans="1:9" x14ac:dyDescent="0.2">
      <c r="A1372" t="s">
        <v>2961</v>
      </c>
      <c r="D1372" t="str">
        <f>HYPERLINK("http://nlpdeep.cs.uic.edu:8080/proofing/gsii/523177-labs-imaging-0-0.pdf","gsii/523177-labs-imaging-0-0.pdf")</f>
        <v>gsii/523177-labs-imaging-0-0.pdf</v>
      </c>
      <c r="E1372">
        <v>120842</v>
      </c>
      <c r="F1372">
        <v>523177</v>
      </c>
      <c r="G1372" t="s">
        <v>306</v>
      </c>
      <c r="H1372" t="s">
        <v>147</v>
      </c>
      <c r="I1372" t="s">
        <v>2814</v>
      </c>
    </row>
    <row r="1373" spans="1:9" x14ac:dyDescent="0.2">
      <c r="A1373" t="s">
        <v>2962</v>
      </c>
      <c r="D1373" t="str">
        <f>HYPERLINK("http://nlpdeep.cs.uic.edu:8080/proofing/t5/523177-labs-imaging-0-1.pdf","t5/523177-labs-imaging-0-1.pdf")</f>
        <v>t5/523177-labs-imaging-0-1.pdf</v>
      </c>
      <c r="E1373">
        <v>120842</v>
      </c>
      <c r="F1373">
        <v>523177</v>
      </c>
      <c r="G1373" t="s">
        <v>306</v>
      </c>
      <c r="H1373" t="s">
        <v>147</v>
      </c>
      <c r="I1373" t="s">
        <v>2816</v>
      </c>
    </row>
    <row r="1374" spans="1:9" x14ac:dyDescent="0.2">
      <c r="A1374" t="s">
        <v>2962</v>
      </c>
      <c r="D1374" t="str">
        <f>HYPERLINK("http://nlpdeep.cs.uic.edu:8080/proofing/gsii/523177-labs-imaging-0-1.pdf","gsii/523177-labs-imaging-0-1.pdf")</f>
        <v>gsii/523177-labs-imaging-0-1.pdf</v>
      </c>
      <c r="E1374">
        <v>120842</v>
      </c>
      <c r="F1374">
        <v>523177</v>
      </c>
      <c r="G1374" t="s">
        <v>306</v>
      </c>
      <c r="H1374" t="s">
        <v>147</v>
      </c>
      <c r="I1374" t="s">
        <v>2816</v>
      </c>
    </row>
    <row r="1375" spans="1:9" x14ac:dyDescent="0.2">
      <c r="A1375" t="s">
        <v>2963</v>
      </c>
      <c r="D1375" t="str">
        <f>HYPERLINK("http://nlpdeep.cs.uic.edu:8080/proofing/t5/523177-assessment-and-plan-0-0.pdf","t5/523177-assessment-and-plan-0-0.pdf")</f>
        <v>t5/523177-assessment-and-plan-0-0.pdf</v>
      </c>
      <c r="E1375">
        <v>120842</v>
      </c>
      <c r="F1375">
        <v>523177</v>
      </c>
      <c r="G1375" t="s">
        <v>306</v>
      </c>
      <c r="H1375" t="s">
        <v>195</v>
      </c>
      <c r="I1375" t="s">
        <v>2818</v>
      </c>
    </row>
    <row r="1376" spans="1:9" x14ac:dyDescent="0.2">
      <c r="A1376" t="s">
        <v>2963</v>
      </c>
      <c r="D1376" t="str">
        <f>HYPERLINK("http://nlpdeep.cs.uic.edu:8080/proofing/gsii/523177-assessment-and-plan-0-0.pdf","gsii/523177-assessment-and-plan-0-0.pdf")</f>
        <v>gsii/523177-assessment-and-plan-0-0.pdf</v>
      </c>
      <c r="E1376">
        <v>120842</v>
      </c>
      <c r="F1376">
        <v>523177</v>
      </c>
      <c r="G1376" t="s">
        <v>306</v>
      </c>
      <c r="H1376" t="s">
        <v>195</v>
      </c>
      <c r="I1376" t="s">
        <v>2818</v>
      </c>
    </row>
    <row r="1377" spans="1:9" x14ac:dyDescent="0.2">
      <c r="A1377" t="s">
        <v>2964</v>
      </c>
      <c r="D1377" t="str">
        <f>HYPERLINK("http://nlpdeep.cs.uic.edu:8080/proofing/t5/523177-assessment-and-plan-0-1.pdf","t5/523177-assessment-and-plan-0-1.pdf")</f>
        <v>t5/523177-assessment-and-plan-0-1.pdf</v>
      </c>
      <c r="E1377">
        <v>120842</v>
      </c>
      <c r="F1377">
        <v>523177</v>
      </c>
      <c r="G1377" t="s">
        <v>306</v>
      </c>
      <c r="H1377" t="s">
        <v>195</v>
      </c>
      <c r="I1377" t="s">
        <v>2820</v>
      </c>
    </row>
    <row r="1378" spans="1:9" x14ac:dyDescent="0.2">
      <c r="A1378" t="s">
        <v>2964</v>
      </c>
      <c r="D1378" t="str">
        <f>HYPERLINK("http://nlpdeep.cs.uic.edu:8080/proofing/gsii/523177-assessment-and-plan-0-1.pdf","gsii/523177-assessment-and-plan-0-1.pdf")</f>
        <v>gsii/523177-assessment-and-plan-0-1.pdf</v>
      </c>
      <c r="E1378">
        <v>120842</v>
      </c>
      <c r="F1378">
        <v>523177</v>
      </c>
      <c r="G1378" t="s">
        <v>306</v>
      </c>
      <c r="H1378" t="s">
        <v>195</v>
      </c>
      <c r="I1378" t="s">
        <v>2820</v>
      </c>
    </row>
    <row r="1379" spans="1:9" x14ac:dyDescent="0.2">
      <c r="A1379" t="s">
        <v>2965</v>
      </c>
      <c r="D1379" t="str">
        <f>HYPERLINK("http://nlpdeep.cs.uic.edu:8080/proofing/t5/523177-assessment-and-plan-0-2.pdf","t5/523177-assessment-and-plan-0-2.pdf")</f>
        <v>t5/523177-assessment-and-plan-0-2.pdf</v>
      </c>
      <c r="E1379">
        <v>120842</v>
      </c>
      <c r="F1379">
        <v>523177</v>
      </c>
      <c r="G1379" t="s">
        <v>306</v>
      </c>
      <c r="H1379" t="s">
        <v>195</v>
      </c>
      <c r="I1379" t="s">
        <v>2966</v>
      </c>
    </row>
    <row r="1380" spans="1:9" x14ac:dyDescent="0.2">
      <c r="A1380" t="s">
        <v>2965</v>
      </c>
      <c r="D1380" t="str">
        <f>HYPERLINK("http://nlpdeep.cs.uic.edu:8080/proofing/gsii/523177-assessment-and-plan-0-2.pdf","gsii/523177-assessment-and-plan-0-2.pdf")</f>
        <v>gsii/523177-assessment-and-plan-0-2.pdf</v>
      </c>
      <c r="E1380">
        <v>120842</v>
      </c>
      <c r="F1380">
        <v>523177</v>
      </c>
      <c r="G1380" t="s">
        <v>306</v>
      </c>
      <c r="H1380" t="s">
        <v>195</v>
      </c>
      <c r="I1380" t="s">
        <v>2966</v>
      </c>
    </row>
    <row r="1381" spans="1:9" x14ac:dyDescent="0.2">
      <c r="A1381" t="s">
        <v>2967</v>
      </c>
      <c r="D1381" t="str">
        <f>HYPERLINK("http://nlpdeep.cs.uic.edu:8080/proofing/t5/523177-assessment-and-plan-0-3.pdf","t5/523177-assessment-and-plan-0-3.pdf")</f>
        <v>t5/523177-assessment-and-plan-0-3.pdf</v>
      </c>
      <c r="E1381">
        <v>120842</v>
      </c>
      <c r="F1381">
        <v>523177</v>
      </c>
      <c r="G1381" t="s">
        <v>306</v>
      </c>
      <c r="H1381" t="s">
        <v>195</v>
      </c>
      <c r="I1381" t="s">
        <v>2968</v>
      </c>
    </row>
    <row r="1382" spans="1:9" x14ac:dyDescent="0.2">
      <c r="A1382" t="s">
        <v>2967</v>
      </c>
      <c r="D1382" t="str">
        <f>HYPERLINK("http://nlpdeep.cs.uic.edu:8080/proofing/gsii/523177-assessment-and-plan-0-3.pdf","gsii/523177-assessment-and-plan-0-3.pdf")</f>
        <v>gsii/523177-assessment-and-plan-0-3.pdf</v>
      </c>
      <c r="E1382">
        <v>120842</v>
      </c>
      <c r="F1382">
        <v>523177</v>
      </c>
      <c r="G1382" t="s">
        <v>306</v>
      </c>
      <c r="H1382" t="s">
        <v>195</v>
      </c>
      <c r="I1382" t="s">
        <v>2968</v>
      </c>
    </row>
    <row r="1383" spans="1:9" x14ac:dyDescent="0.2">
      <c r="A1383" t="s">
        <v>2969</v>
      </c>
      <c r="D1383" t="str">
        <f>HYPERLINK("http://nlpdeep.cs.uic.edu:8080/proofing/t5/523177-assessment-and-plan-0-4.pdf","t5/523177-assessment-and-plan-0-4.pdf")</f>
        <v>t5/523177-assessment-and-plan-0-4.pdf</v>
      </c>
      <c r="E1383">
        <v>120842</v>
      </c>
      <c r="F1383">
        <v>523177</v>
      </c>
      <c r="G1383" t="s">
        <v>306</v>
      </c>
      <c r="H1383" t="s">
        <v>195</v>
      </c>
      <c r="I1383" t="s">
        <v>2824</v>
      </c>
    </row>
    <row r="1384" spans="1:9" x14ac:dyDescent="0.2">
      <c r="A1384" t="s">
        <v>2969</v>
      </c>
      <c r="D1384" t="str">
        <f>HYPERLINK("http://nlpdeep.cs.uic.edu:8080/proofing/gsii/523177-assessment-and-plan-0-4.pdf","gsii/523177-assessment-and-plan-0-4.pdf")</f>
        <v>gsii/523177-assessment-and-plan-0-4.pdf</v>
      </c>
      <c r="E1384">
        <v>120842</v>
      </c>
      <c r="F1384">
        <v>523177</v>
      </c>
      <c r="G1384" t="s">
        <v>306</v>
      </c>
      <c r="H1384" t="s">
        <v>195</v>
      </c>
      <c r="I1384" t="s">
        <v>2824</v>
      </c>
    </row>
    <row r="1385" spans="1:9" x14ac:dyDescent="0.2">
      <c r="A1385" t="s">
        <v>2970</v>
      </c>
      <c r="D1385" t="str">
        <f>HYPERLINK("http://nlpdeep.cs.uic.edu:8080/proofing/t5/523177-critical-care-attending-addendum-0-0.pdf","t5/523177-critical-care-attending-addendum-0-0.pdf")</f>
        <v>t5/523177-critical-care-attending-addendum-0-0.pdf</v>
      </c>
      <c r="E1385">
        <v>120842</v>
      </c>
      <c r="F1385">
        <v>523177</v>
      </c>
      <c r="G1385" t="s">
        <v>306</v>
      </c>
      <c r="H1385" t="s">
        <v>1563</v>
      </c>
      <c r="I1385" t="s">
        <v>2306</v>
      </c>
    </row>
    <row r="1386" spans="1:9" x14ac:dyDescent="0.2">
      <c r="A1386" t="s">
        <v>2970</v>
      </c>
      <c r="D1386" t="str">
        <f>HYPERLINK("http://nlpdeep.cs.uic.edu:8080/proofing/gsii/523177-critical-care-attending-addendum-0-0.pdf","gsii/523177-critical-care-attending-addendum-0-0.pdf")</f>
        <v>gsii/523177-critical-care-attending-addendum-0-0.pdf</v>
      </c>
      <c r="E1386">
        <v>120842</v>
      </c>
      <c r="F1386">
        <v>523177</v>
      </c>
      <c r="G1386" t="s">
        <v>306</v>
      </c>
      <c r="H1386" t="s">
        <v>1563</v>
      </c>
      <c r="I1386" t="s">
        <v>2306</v>
      </c>
    </row>
    <row r="1387" spans="1:9" x14ac:dyDescent="0.2">
      <c r="A1387" t="s">
        <v>2971</v>
      </c>
      <c r="D1387" t="str">
        <f>HYPERLINK("http://nlpdeep.cs.uic.edu:8080/proofing/t5/523177-critical-care-attending-addendum-0-1.pdf","t5/523177-critical-care-attending-addendum-0-1.pdf")</f>
        <v>t5/523177-critical-care-attending-addendum-0-1.pdf</v>
      </c>
      <c r="E1387">
        <v>120842</v>
      </c>
      <c r="F1387">
        <v>523177</v>
      </c>
      <c r="G1387" t="s">
        <v>306</v>
      </c>
      <c r="H1387" t="s">
        <v>1563</v>
      </c>
      <c r="I1387" t="s">
        <v>2308</v>
      </c>
    </row>
    <row r="1388" spans="1:9" x14ac:dyDescent="0.2">
      <c r="A1388" t="s">
        <v>2971</v>
      </c>
      <c r="D1388" t="str">
        <f>HYPERLINK("http://nlpdeep.cs.uic.edu:8080/proofing/gsii/523177-critical-care-attending-addendum-0-1.pdf","gsii/523177-critical-care-attending-addendum-0-1.pdf")</f>
        <v>gsii/523177-critical-care-attending-addendum-0-1.pdf</v>
      </c>
      <c r="E1388">
        <v>120842</v>
      </c>
      <c r="F1388">
        <v>523177</v>
      </c>
      <c r="G1388" t="s">
        <v>306</v>
      </c>
      <c r="H1388" t="s">
        <v>1563</v>
      </c>
      <c r="I1388" t="s">
        <v>2308</v>
      </c>
    </row>
    <row r="1389" spans="1:9" x14ac:dyDescent="0.2">
      <c r="A1389" t="s">
        <v>2972</v>
      </c>
      <c r="D1389" t="str">
        <f>HYPERLINK("http://nlpdeep.cs.uic.edu:8080/proofing/t5/523177-critical-care-attending-addendum-0-2.pdf","t5/523177-critical-care-attending-addendum-0-2.pdf")</f>
        <v>t5/523177-critical-care-attending-addendum-0-2.pdf</v>
      </c>
      <c r="E1389">
        <v>120842</v>
      </c>
      <c r="F1389">
        <v>523177</v>
      </c>
      <c r="G1389" t="s">
        <v>306</v>
      </c>
      <c r="H1389" t="s">
        <v>1563</v>
      </c>
      <c r="I1389" t="s">
        <v>2973</v>
      </c>
    </row>
    <row r="1390" spans="1:9" x14ac:dyDescent="0.2">
      <c r="A1390" t="s">
        <v>2972</v>
      </c>
      <c r="D1390" t="str">
        <f>HYPERLINK("http://nlpdeep.cs.uic.edu:8080/proofing/gsii/523177-critical-care-attending-addendum-0-2.pdf","gsii/523177-critical-care-attending-addendum-0-2.pdf")</f>
        <v>gsii/523177-critical-care-attending-addendum-0-2.pdf</v>
      </c>
      <c r="E1390">
        <v>120842</v>
      </c>
      <c r="F1390">
        <v>523177</v>
      </c>
      <c r="G1390" t="s">
        <v>306</v>
      </c>
      <c r="H1390" t="s">
        <v>1563</v>
      </c>
      <c r="I1390" t="s">
        <v>2973</v>
      </c>
    </row>
    <row r="1391" spans="1:9" x14ac:dyDescent="0.2">
      <c r="A1391" t="s">
        <v>2974</v>
      </c>
      <c r="D1391" t="str">
        <f>HYPERLINK("http://nlpdeep.cs.uic.edu:8080/proofing/t5/523177-critical-care-attending-addendum-0-3.pdf","t5/523177-critical-care-attending-addendum-0-3.pdf")</f>
        <v>t5/523177-critical-care-attending-addendum-0-3.pdf</v>
      </c>
      <c r="E1391">
        <v>120842</v>
      </c>
      <c r="F1391">
        <v>523177</v>
      </c>
      <c r="G1391" t="s">
        <v>306</v>
      </c>
      <c r="H1391" t="s">
        <v>1563</v>
      </c>
      <c r="I1391" t="s">
        <v>2975</v>
      </c>
    </row>
    <row r="1392" spans="1:9" x14ac:dyDescent="0.2">
      <c r="A1392" t="s">
        <v>2974</v>
      </c>
      <c r="D1392" t="str">
        <f>HYPERLINK("http://nlpdeep.cs.uic.edu:8080/proofing/gsii/523177-critical-care-attending-addendum-0-3.pdf","gsii/523177-critical-care-attending-addendum-0-3.pdf")</f>
        <v>gsii/523177-critical-care-attending-addendum-0-3.pdf</v>
      </c>
      <c r="E1392">
        <v>120842</v>
      </c>
      <c r="F1392">
        <v>523177</v>
      </c>
      <c r="G1392" t="s">
        <v>306</v>
      </c>
      <c r="H1392" t="s">
        <v>1563</v>
      </c>
      <c r="I1392" t="s">
        <v>2975</v>
      </c>
    </row>
    <row r="1393" spans="1:9" x14ac:dyDescent="0.2">
      <c r="A1393" t="s">
        <v>2976</v>
      </c>
      <c r="D1393" t="str">
        <f>HYPERLINK("http://nlpdeep.cs.uic.edu:8080/proofing/t5/523177-critical-care-attending-addendum-0-4.pdf","t5/523177-critical-care-attending-addendum-0-4.pdf")</f>
        <v>t5/523177-critical-care-attending-addendum-0-4.pdf</v>
      </c>
      <c r="E1393">
        <v>120842</v>
      </c>
      <c r="F1393">
        <v>523177</v>
      </c>
      <c r="G1393" t="s">
        <v>306</v>
      </c>
      <c r="H1393" t="s">
        <v>1563</v>
      </c>
      <c r="I1393" t="s">
        <v>2977</v>
      </c>
    </row>
    <row r="1394" spans="1:9" x14ac:dyDescent="0.2">
      <c r="A1394" t="s">
        <v>2976</v>
      </c>
      <c r="D1394" t="str">
        <f>HYPERLINK("http://nlpdeep.cs.uic.edu:8080/proofing/gsii/523177-critical-care-attending-addendum-0-4.pdf","gsii/523177-critical-care-attending-addendum-0-4.pdf")</f>
        <v>gsii/523177-critical-care-attending-addendum-0-4.pdf</v>
      </c>
      <c r="E1394">
        <v>120842</v>
      </c>
      <c r="F1394">
        <v>523177</v>
      </c>
      <c r="G1394" t="s">
        <v>306</v>
      </c>
      <c r="H1394" t="s">
        <v>1563</v>
      </c>
      <c r="I1394" t="s">
        <v>2977</v>
      </c>
    </row>
    <row r="1395" spans="1:9" x14ac:dyDescent="0.2">
      <c r="A1395" t="s">
        <v>2978</v>
      </c>
      <c r="D1395" t="str">
        <f>HYPERLINK("http://nlpdeep.cs.uic.edu:8080/proofing/t5/523177-critical-care-attending-addendum-0-5.pdf","t5/523177-critical-care-attending-addendum-0-5.pdf")</f>
        <v>t5/523177-critical-care-attending-addendum-0-5.pdf</v>
      </c>
      <c r="E1395">
        <v>120842</v>
      </c>
      <c r="F1395">
        <v>523177</v>
      </c>
      <c r="G1395" t="s">
        <v>306</v>
      </c>
      <c r="H1395" t="s">
        <v>1563</v>
      </c>
      <c r="I1395" t="s">
        <v>2979</v>
      </c>
    </row>
    <row r="1396" spans="1:9" x14ac:dyDescent="0.2">
      <c r="A1396" t="s">
        <v>2978</v>
      </c>
      <c r="D1396" t="str">
        <f>HYPERLINK("http://nlpdeep.cs.uic.edu:8080/proofing/gsii/523177-critical-care-attending-addendum-0-5.pdf","gsii/523177-critical-care-attending-addendum-0-5.pdf")</f>
        <v>gsii/523177-critical-care-attending-addendum-0-5.pdf</v>
      </c>
      <c r="E1396">
        <v>120842</v>
      </c>
      <c r="F1396">
        <v>523177</v>
      </c>
      <c r="G1396" t="s">
        <v>306</v>
      </c>
      <c r="H1396" t="s">
        <v>1563</v>
      </c>
      <c r="I1396" t="s">
        <v>2979</v>
      </c>
    </row>
    <row r="1397" spans="1:9" x14ac:dyDescent="0.2">
      <c r="A1397" t="s">
        <v>2980</v>
      </c>
      <c r="D1397" t="str">
        <f>HYPERLINK("http://nlpdeep.cs.uic.edu:8080/proofing/t5/523177-critical-care-attending-addendum-0-6.pdf","t5/523177-critical-care-attending-addendum-0-6.pdf")</f>
        <v>t5/523177-critical-care-attending-addendum-0-6.pdf</v>
      </c>
      <c r="E1397">
        <v>120842</v>
      </c>
      <c r="F1397">
        <v>523177</v>
      </c>
      <c r="G1397" t="s">
        <v>306</v>
      </c>
      <c r="H1397" t="s">
        <v>1563</v>
      </c>
      <c r="I1397" t="s">
        <v>2981</v>
      </c>
    </row>
    <row r="1398" spans="1:9" x14ac:dyDescent="0.2">
      <c r="A1398" t="s">
        <v>2980</v>
      </c>
      <c r="D1398" t="str">
        <f>HYPERLINK("http://nlpdeep.cs.uic.edu:8080/proofing/gsii/523177-critical-care-attending-addendum-0-6.pdf","gsii/523177-critical-care-attending-addendum-0-6.pdf")</f>
        <v>gsii/523177-critical-care-attending-addendum-0-6.pdf</v>
      </c>
      <c r="E1398">
        <v>120842</v>
      </c>
      <c r="F1398">
        <v>523177</v>
      </c>
      <c r="G1398" t="s">
        <v>306</v>
      </c>
      <c r="H1398" t="s">
        <v>1563</v>
      </c>
      <c r="I1398" t="s">
        <v>2981</v>
      </c>
    </row>
    <row r="1399" spans="1:9" x14ac:dyDescent="0.2">
      <c r="A1399" t="s">
        <v>2982</v>
      </c>
      <c r="D1399" t="str">
        <f>HYPERLINK("http://nlpdeep.cs.uic.edu:8080/proofing/t5/93093-patient-test-information-0-0.pdf","t5/93093-patient-test-information-0-0.pdf")</f>
        <v>t5/93093-patient-test-information-0-0.pdf</v>
      </c>
      <c r="E1399">
        <v>120842</v>
      </c>
      <c r="F1399">
        <v>93093</v>
      </c>
      <c r="G1399" t="s">
        <v>1891</v>
      </c>
      <c r="H1399" t="s">
        <v>1892</v>
      </c>
      <c r="I1399" t="s">
        <v>2983</v>
      </c>
    </row>
    <row r="1400" spans="1:9" x14ac:dyDescent="0.2">
      <c r="A1400" t="s">
        <v>2982</v>
      </c>
      <c r="D1400" t="str">
        <f>HYPERLINK("http://nlpdeep.cs.uic.edu:8080/proofing/gsii/93093-patient-test-information-0-0.pdf","gsii/93093-patient-test-information-0-0.pdf")</f>
        <v>gsii/93093-patient-test-information-0-0.pdf</v>
      </c>
      <c r="E1400">
        <v>120842</v>
      </c>
      <c r="F1400">
        <v>93093</v>
      </c>
      <c r="G1400" t="s">
        <v>1891</v>
      </c>
      <c r="H1400" t="s">
        <v>1892</v>
      </c>
      <c r="I1400" t="s">
        <v>2983</v>
      </c>
    </row>
    <row r="1401" spans="1:9" x14ac:dyDescent="0.2">
      <c r="A1401" t="s">
        <v>2984</v>
      </c>
      <c r="D1401" t="str">
        <f>HYPERLINK("http://nlpdeep.cs.uic.edu:8080/proofing/t5/93093-patient-test-information-0-1.pdf","t5/93093-patient-test-information-0-1.pdf")</f>
        <v>t5/93093-patient-test-information-0-1.pdf</v>
      </c>
      <c r="E1401">
        <v>120842</v>
      </c>
      <c r="F1401">
        <v>93093</v>
      </c>
      <c r="G1401" t="s">
        <v>1891</v>
      </c>
      <c r="H1401" t="s">
        <v>1892</v>
      </c>
      <c r="I1401" t="s">
        <v>2985</v>
      </c>
    </row>
    <row r="1402" spans="1:9" x14ac:dyDescent="0.2">
      <c r="A1402" t="s">
        <v>2984</v>
      </c>
      <c r="D1402" t="str">
        <f>HYPERLINK("http://nlpdeep.cs.uic.edu:8080/proofing/gsii/93093-patient-test-information-0-1.pdf","gsii/93093-patient-test-information-0-1.pdf")</f>
        <v>gsii/93093-patient-test-information-0-1.pdf</v>
      </c>
      <c r="E1402">
        <v>120842</v>
      </c>
      <c r="F1402">
        <v>93093</v>
      </c>
      <c r="G1402" t="s">
        <v>1891</v>
      </c>
      <c r="H1402" t="s">
        <v>1892</v>
      </c>
      <c r="I1402" t="s">
        <v>2985</v>
      </c>
    </row>
    <row r="1403" spans="1:9" x14ac:dyDescent="0.2">
      <c r="A1403" t="s">
        <v>2986</v>
      </c>
      <c r="D1403" t="str">
        <f>HYPERLINK("http://nlpdeep.cs.uic.edu:8080/proofing/t5/93093-patient-test-information-0-2.pdf","t5/93093-patient-test-information-0-2.pdf")</f>
        <v>t5/93093-patient-test-information-0-2.pdf</v>
      </c>
      <c r="E1403">
        <v>120842</v>
      </c>
      <c r="F1403">
        <v>93093</v>
      </c>
      <c r="G1403" t="s">
        <v>1891</v>
      </c>
      <c r="H1403" t="s">
        <v>1892</v>
      </c>
      <c r="I1403" t="s">
        <v>2987</v>
      </c>
    </row>
    <row r="1404" spans="1:9" x14ac:dyDescent="0.2">
      <c r="A1404" t="s">
        <v>2986</v>
      </c>
      <c r="D1404" t="str">
        <f>HYPERLINK("http://nlpdeep.cs.uic.edu:8080/proofing/gsii/93093-patient-test-information-0-2.pdf","gsii/93093-patient-test-information-0-2.pdf")</f>
        <v>gsii/93093-patient-test-information-0-2.pdf</v>
      </c>
      <c r="E1404">
        <v>120842</v>
      </c>
      <c r="F1404">
        <v>93093</v>
      </c>
      <c r="G1404" t="s">
        <v>1891</v>
      </c>
      <c r="H1404" t="s">
        <v>1892</v>
      </c>
      <c r="I1404" t="s">
        <v>2987</v>
      </c>
    </row>
    <row r="1405" spans="1:9" x14ac:dyDescent="0.2">
      <c r="A1405" t="s">
        <v>2988</v>
      </c>
      <c r="D1405" t="str">
        <f>HYPERLINK("http://nlpdeep.cs.uic.edu:8080/proofing/t5/93093-findings-0-0.pdf","t5/93093-findings-0-0.pdf")</f>
        <v>t5/93093-findings-0-0.pdf</v>
      </c>
      <c r="E1405">
        <v>120842</v>
      </c>
      <c r="F1405">
        <v>93093</v>
      </c>
      <c r="G1405" t="s">
        <v>1891</v>
      </c>
      <c r="H1405" t="s">
        <v>1840</v>
      </c>
      <c r="I1405" t="s">
        <v>2989</v>
      </c>
    </row>
    <row r="1406" spans="1:9" x14ac:dyDescent="0.2">
      <c r="A1406" t="s">
        <v>2988</v>
      </c>
      <c r="D1406" t="str">
        <f>HYPERLINK("http://nlpdeep.cs.uic.edu:8080/proofing/gsii/93093-findings-0-0.pdf","gsii/93093-findings-0-0.pdf")</f>
        <v>gsii/93093-findings-0-0.pdf</v>
      </c>
      <c r="E1406">
        <v>120842</v>
      </c>
      <c r="F1406">
        <v>93093</v>
      </c>
      <c r="G1406" t="s">
        <v>1891</v>
      </c>
      <c r="H1406" t="s">
        <v>1840</v>
      </c>
      <c r="I1406" t="s">
        <v>2989</v>
      </c>
    </row>
    <row r="1407" spans="1:9" x14ac:dyDescent="0.2">
      <c r="A1407" t="s">
        <v>2990</v>
      </c>
      <c r="D1407" t="str">
        <f>HYPERLINK("http://nlpdeep.cs.uic.edu:8080/proofing/t5/93093-findings-1-0.pdf","t5/93093-findings-1-0.pdf")</f>
        <v>t5/93093-findings-1-0.pdf</v>
      </c>
      <c r="E1407">
        <v>120842</v>
      </c>
      <c r="F1407">
        <v>93093</v>
      </c>
      <c r="G1407" t="s">
        <v>1891</v>
      </c>
      <c r="H1407" t="s">
        <v>1840</v>
      </c>
      <c r="I1407" t="s">
        <v>2991</v>
      </c>
    </row>
    <row r="1408" spans="1:9" x14ac:dyDescent="0.2">
      <c r="A1408" t="s">
        <v>2990</v>
      </c>
      <c r="D1408" t="str">
        <f>HYPERLINK("http://nlpdeep.cs.uic.edu:8080/proofing/gsii/93093-findings-1-0.pdf","gsii/93093-findings-1-0.pdf")</f>
        <v>gsii/93093-findings-1-0.pdf</v>
      </c>
      <c r="E1408">
        <v>120842</v>
      </c>
      <c r="F1408">
        <v>93093</v>
      </c>
      <c r="G1408" t="s">
        <v>1891</v>
      </c>
      <c r="H1408" t="s">
        <v>1840</v>
      </c>
      <c r="I1408" t="s">
        <v>2991</v>
      </c>
    </row>
    <row r="1409" spans="1:9" x14ac:dyDescent="0.2">
      <c r="A1409" t="s">
        <v>2992</v>
      </c>
      <c r="D1409" t="str">
        <f>HYPERLINK("http://nlpdeep.cs.uic.edu:8080/proofing/t5/93093-findings-2-0.pdf","t5/93093-findings-2-0.pdf")</f>
        <v>t5/93093-findings-2-0.pdf</v>
      </c>
      <c r="E1409">
        <v>120842</v>
      </c>
      <c r="F1409">
        <v>93093</v>
      </c>
      <c r="G1409" t="s">
        <v>1891</v>
      </c>
      <c r="H1409" t="s">
        <v>1840</v>
      </c>
      <c r="I1409" t="s">
        <v>2993</v>
      </c>
    </row>
    <row r="1410" spans="1:9" x14ac:dyDescent="0.2">
      <c r="A1410" t="s">
        <v>2992</v>
      </c>
      <c r="D1410" t="str">
        <f>HYPERLINK("http://nlpdeep.cs.uic.edu:8080/proofing/gsii/93093-findings-2-0.pdf","gsii/93093-findings-2-0.pdf")</f>
        <v>gsii/93093-findings-2-0.pdf</v>
      </c>
      <c r="E1410">
        <v>120842</v>
      </c>
      <c r="F1410">
        <v>93093</v>
      </c>
      <c r="G1410" t="s">
        <v>1891</v>
      </c>
      <c r="H1410" t="s">
        <v>1840</v>
      </c>
      <c r="I1410" t="s">
        <v>2993</v>
      </c>
    </row>
    <row r="1411" spans="1:9" x14ac:dyDescent="0.2">
      <c r="A1411" t="s">
        <v>2994</v>
      </c>
      <c r="D1411" t="str">
        <f>HYPERLINK("http://nlpdeep.cs.uic.edu:8080/proofing/t5/93093-findings-2-1.pdf","t5/93093-findings-2-1.pdf")</f>
        <v>t5/93093-findings-2-1.pdf</v>
      </c>
      <c r="E1411">
        <v>120842</v>
      </c>
      <c r="F1411">
        <v>93093</v>
      </c>
      <c r="G1411" t="s">
        <v>1891</v>
      </c>
      <c r="H1411" t="s">
        <v>1840</v>
      </c>
      <c r="I1411" t="s">
        <v>2995</v>
      </c>
    </row>
    <row r="1412" spans="1:9" x14ac:dyDescent="0.2">
      <c r="A1412" t="s">
        <v>2994</v>
      </c>
      <c r="D1412" t="str">
        <f>HYPERLINK("http://nlpdeep.cs.uic.edu:8080/proofing/gsii/93093-findings-2-1.pdf","gsii/93093-findings-2-1.pdf")</f>
        <v>gsii/93093-findings-2-1.pdf</v>
      </c>
      <c r="E1412">
        <v>120842</v>
      </c>
      <c r="F1412">
        <v>93093</v>
      </c>
      <c r="G1412" t="s">
        <v>1891</v>
      </c>
      <c r="H1412" t="s">
        <v>1840</v>
      </c>
      <c r="I1412" t="s">
        <v>2995</v>
      </c>
    </row>
    <row r="1413" spans="1:9" x14ac:dyDescent="0.2">
      <c r="A1413" t="s">
        <v>2996</v>
      </c>
      <c r="D1413" t="str">
        <f>HYPERLINK("http://nlpdeep.cs.uic.edu:8080/proofing/t5/93093-findings-2-2.pdf","t5/93093-findings-2-2.pdf")</f>
        <v>t5/93093-findings-2-2.pdf</v>
      </c>
      <c r="E1413">
        <v>120842</v>
      </c>
      <c r="F1413">
        <v>93093</v>
      </c>
      <c r="G1413" t="s">
        <v>1891</v>
      </c>
      <c r="H1413" t="s">
        <v>1840</v>
      </c>
      <c r="I1413" t="s">
        <v>2997</v>
      </c>
    </row>
    <row r="1414" spans="1:9" x14ac:dyDescent="0.2">
      <c r="A1414" t="s">
        <v>2996</v>
      </c>
      <c r="D1414" t="str">
        <f>HYPERLINK("http://nlpdeep.cs.uic.edu:8080/proofing/gsii/93093-findings-2-2.pdf","gsii/93093-findings-2-2.pdf")</f>
        <v>gsii/93093-findings-2-2.pdf</v>
      </c>
      <c r="E1414">
        <v>120842</v>
      </c>
      <c r="F1414">
        <v>93093</v>
      </c>
      <c r="G1414" t="s">
        <v>1891</v>
      </c>
      <c r="H1414" t="s">
        <v>1840</v>
      </c>
      <c r="I1414" t="s">
        <v>2997</v>
      </c>
    </row>
    <row r="1415" spans="1:9" x14ac:dyDescent="0.2">
      <c r="A1415" t="s">
        <v>2998</v>
      </c>
      <c r="D1415" t="str">
        <f>HYPERLINK("http://nlpdeep.cs.uic.edu:8080/proofing/t5/93093-findings-3-0.pdf","t5/93093-findings-3-0.pdf")</f>
        <v>t5/93093-findings-3-0.pdf</v>
      </c>
      <c r="E1415">
        <v>120842</v>
      </c>
      <c r="F1415">
        <v>93093</v>
      </c>
      <c r="G1415" t="s">
        <v>1891</v>
      </c>
      <c r="H1415" t="s">
        <v>1840</v>
      </c>
      <c r="I1415" t="s">
        <v>2999</v>
      </c>
    </row>
    <row r="1416" spans="1:9" x14ac:dyDescent="0.2">
      <c r="A1416" t="s">
        <v>2998</v>
      </c>
      <c r="D1416" t="str">
        <f>HYPERLINK("http://nlpdeep.cs.uic.edu:8080/proofing/gsii/93093-findings-3-0.pdf","gsii/93093-findings-3-0.pdf")</f>
        <v>gsii/93093-findings-3-0.pdf</v>
      </c>
      <c r="E1416">
        <v>120842</v>
      </c>
      <c r="F1416">
        <v>93093</v>
      </c>
      <c r="G1416" t="s">
        <v>1891</v>
      </c>
      <c r="H1416" t="s">
        <v>1840</v>
      </c>
      <c r="I1416" t="s">
        <v>2999</v>
      </c>
    </row>
    <row r="1417" spans="1:9" x14ac:dyDescent="0.2">
      <c r="A1417" t="s">
        <v>3000</v>
      </c>
      <c r="D1417" t="str">
        <f>HYPERLINK("http://nlpdeep.cs.uic.edu:8080/proofing/t5/93093-findings-3-1.pdf","t5/93093-findings-3-1.pdf")</f>
        <v>t5/93093-findings-3-1.pdf</v>
      </c>
      <c r="E1417">
        <v>120842</v>
      </c>
      <c r="F1417">
        <v>93093</v>
      </c>
      <c r="G1417" t="s">
        <v>1891</v>
      </c>
      <c r="H1417" t="s">
        <v>1840</v>
      </c>
      <c r="I1417" t="s">
        <v>3001</v>
      </c>
    </row>
    <row r="1418" spans="1:9" x14ac:dyDescent="0.2">
      <c r="A1418" t="s">
        <v>3000</v>
      </c>
      <c r="D1418" t="str">
        <f>HYPERLINK("http://nlpdeep.cs.uic.edu:8080/proofing/gsii/93093-findings-3-1.pdf","gsii/93093-findings-3-1.pdf")</f>
        <v>gsii/93093-findings-3-1.pdf</v>
      </c>
      <c r="E1418">
        <v>120842</v>
      </c>
      <c r="F1418">
        <v>93093</v>
      </c>
      <c r="G1418" t="s">
        <v>1891</v>
      </c>
      <c r="H1418" t="s">
        <v>1840</v>
      </c>
      <c r="I1418" t="s">
        <v>3001</v>
      </c>
    </row>
    <row r="1419" spans="1:9" x14ac:dyDescent="0.2">
      <c r="A1419" t="s">
        <v>3002</v>
      </c>
      <c r="D1419" t="str">
        <f>HYPERLINK("http://nlpdeep.cs.uic.edu:8080/proofing/t5/93093-findings-4-0.pdf","t5/93093-findings-4-0.pdf")</f>
        <v>t5/93093-findings-4-0.pdf</v>
      </c>
      <c r="E1419">
        <v>120842</v>
      </c>
      <c r="F1419">
        <v>93093</v>
      </c>
      <c r="G1419" t="s">
        <v>1891</v>
      </c>
      <c r="H1419" t="s">
        <v>1840</v>
      </c>
      <c r="I1419" t="s">
        <v>3003</v>
      </c>
    </row>
    <row r="1420" spans="1:9" x14ac:dyDescent="0.2">
      <c r="A1420" t="s">
        <v>3002</v>
      </c>
      <c r="D1420" t="str">
        <f>HYPERLINK("http://nlpdeep.cs.uic.edu:8080/proofing/gsii/93093-findings-4-0.pdf","gsii/93093-findings-4-0.pdf")</f>
        <v>gsii/93093-findings-4-0.pdf</v>
      </c>
      <c r="E1420">
        <v>120842</v>
      </c>
      <c r="F1420">
        <v>93093</v>
      </c>
      <c r="G1420" t="s">
        <v>1891</v>
      </c>
      <c r="H1420" t="s">
        <v>1840</v>
      </c>
      <c r="I1420" t="s">
        <v>3003</v>
      </c>
    </row>
    <row r="1421" spans="1:9" x14ac:dyDescent="0.2">
      <c r="A1421" t="s">
        <v>3004</v>
      </c>
      <c r="D1421" t="str">
        <f>HYPERLINK("http://nlpdeep.cs.uic.edu:8080/proofing/t5/93093-findings-4-1.pdf","t5/93093-findings-4-1.pdf")</f>
        <v>t5/93093-findings-4-1.pdf</v>
      </c>
      <c r="E1421">
        <v>120842</v>
      </c>
      <c r="F1421">
        <v>93093</v>
      </c>
      <c r="G1421" t="s">
        <v>1891</v>
      </c>
      <c r="H1421" t="s">
        <v>1840</v>
      </c>
      <c r="I1421" t="s">
        <v>3005</v>
      </c>
    </row>
    <row r="1422" spans="1:9" x14ac:dyDescent="0.2">
      <c r="A1422" t="s">
        <v>3004</v>
      </c>
      <c r="D1422" t="str">
        <f>HYPERLINK("http://nlpdeep.cs.uic.edu:8080/proofing/gsii/93093-findings-4-1.pdf","gsii/93093-findings-4-1.pdf")</f>
        <v>gsii/93093-findings-4-1.pdf</v>
      </c>
      <c r="E1422">
        <v>120842</v>
      </c>
      <c r="F1422">
        <v>93093</v>
      </c>
      <c r="G1422" t="s">
        <v>1891</v>
      </c>
      <c r="H1422" t="s">
        <v>1840</v>
      </c>
      <c r="I1422" t="s">
        <v>3005</v>
      </c>
    </row>
    <row r="1423" spans="1:9" x14ac:dyDescent="0.2">
      <c r="A1423" t="s">
        <v>3006</v>
      </c>
      <c r="D1423" t="str">
        <f>HYPERLINK("http://nlpdeep.cs.uic.edu:8080/proofing/t5/93093-findings-5-0.pdf","t5/93093-findings-5-0.pdf")</f>
        <v>t5/93093-findings-5-0.pdf</v>
      </c>
      <c r="E1423">
        <v>120842</v>
      </c>
      <c r="F1423">
        <v>93093</v>
      </c>
      <c r="G1423" t="s">
        <v>1891</v>
      </c>
      <c r="H1423" t="s">
        <v>1840</v>
      </c>
      <c r="I1423" t="s">
        <v>3007</v>
      </c>
    </row>
    <row r="1424" spans="1:9" x14ac:dyDescent="0.2">
      <c r="A1424" t="s">
        <v>3006</v>
      </c>
      <c r="D1424" t="str">
        <f>HYPERLINK("http://nlpdeep.cs.uic.edu:8080/proofing/gsii/93093-findings-5-0.pdf","gsii/93093-findings-5-0.pdf")</f>
        <v>gsii/93093-findings-5-0.pdf</v>
      </c>
      <c r="E1424">
        <v>120842</v>
      </c>
      <c r="F1424">
        <v>93093</v>
      </c>
      <c r="G1424" t="s">
        <v>1891</v>
      </c>
      <c r="H1424" t="s">
        <v>1840</v>
      </c>
      <c r="I1424" t="s">
        <v>3007</v>
      </c>
    </row>
    <row r="1425" spans="1:9" x14ac:dyDescent="0.2">
      <c r="A1425" t="s">
        <v>3008</v>
      </c>
      <c r="D1425" t="str">
        <f>HYPERLINK("http://nlpdeep.cs.uic.edu:8080/proofing/t5/93093-findings-5-1.pdf","t5/93093-findings-5-1.pdf")</f>
        <v>t5/93093-findings-5-1.pdf</v>
      </c>
      <c r="E1425">
        <v>120842</v>
      </c>
      <c r="F1425">
        <v>93093</v>
      </c>
      <c r="G1425" t="s">
        <v>1891</v>
      </c>
      <c r="H1425" t="s">
        <v>1840</v>
      </c>
      <c r="I1425" t="s">
        <v>3009</v>
      </c>
    </row>
    <row r="1426" spans="1:9" x14ac:dyDescent="0.2">
      <c r="A1426" t="s">
        <v>3008</v>
      </c>
      <c r="D1426" t="str">
        <f>HYPERLINK("http://nlpdeep.cs.uic.edu:8080/proofing/gsii/93093-findings-5-1.pdf","gsii/93093-findings-5-1.pdf")</f>
        <v>gsii/93093-findings-5-1.pdf</v>
      </c>
      <c r="E1426">
        <v>120842</v>
      </c>
      <c r="F1426">
        <v>93093</v>
      </c>
      <c r="G1426" t="s">
        <v>1891</v>
      </c>
      <c r="H1426" t="s">
        <v>1840</v>
      </c>
      <c r="I1426" t="s">
        <v>3009</v>
      </c>
    </row>
    <row r="1427" spans="1:9" x14ac:dyDescent="0.2">
      <c r="A1427" t="s">
        <v>3010</v>
      </c>
      <c r="D1427" t="str">
        <f>HYPERLINK("http://nlpdeep.cs.uic.edu:8080/proofing/t5/93093-findings-5-2.pdf","t5/93093-findings-5-2.pdf")</f>
        <v>t5/93093-findings-5-2.pdf</v>
      </c>
      <c r="E1427">
        <v>120842</v>
      </c>
      <c r="F1427">
        <v>93093</v>
      </c>
      <c r="G1427" t="s">
        <v>1891</v>
      </c>
      <c r="H1427" t="s">
        <v>1840</v>
      </c>
      <c r="I1427" t="s">
        <v>3011</v>
      </c>
    </row>
    <row r="1428" spans="1:9" x14ac:dyDescent="0.2">
      <c r="A1428" t="s">
        <v>3010</v>
      </c>
      <c r="D1428" t="str">
        <f>HYPERLINK("http://nlpdeep.cs.uic.edu:8080/proofing/gsii/93093-findings-5-2.pdf","gsii/93093-findings-5-2.pdf")</f>
        <v>gsii/93093-findings-5-2.pdf</v>
      </c>
      <c r="E1428">
        <v>120842</v>
      </c>
      <c r="F1428">
        <v>93093</v>
      </c>
      <c r="G1428" t="s">
        <v>1891</v>
      </c>
      <c r="H1428" t="s">
        <v>1840</v>
      </c>
      <c r="I1428" t="s">
        <v>3011</v>
      </c>
    </row>
    <row r="1429" spans="1:9" x14ac:dyDescent="0.2">
      <c r="A1429" t="s">
        <v>3012</v>
      </c>
      <c r="D1429" t="str">
        <f>HYPERLINK("http://nlpdeep.cs.uic.edu:8080/proofing/t5/93093-findings-6-0.pdf","t5/93093-findings-6-0.pdf")</f>
        <v>t5/93093-findings-6-0.pdf</v>
      </c>
      <c r="E1429">
        <v>120842</v>
      </c>
      <c r="F1429">
        <v>93093</v>
      </c>
      <c r="G1429" t="s">
        <v>1891</v>
      </c>
      <c r="H1429" t="s">
        <v>1840</v>
      </c>
      <c r="I1429" t="s">
        <v>3013</v>
      </c>
    </row>
    <row r="1430" spans="1:9" x14ac:dyDescent="0.2">
      <c r="A1430" t="s">
        <v>3012</v>
      </c>
      <c r="D1430" t="str">
        <f>HYPERLINK("http://nlpdeep.cs.uic.edu:8080/proofing/gsii/93093-findings-6-0.pdf","gsii/93093-findings-6-0.pdf")</f>
        <v>gsii/93093-findings-6-0.pdf</v>
      </c>
      <c r="E1430">
        <v>120842</v>
      </c>
      <c r="F1430">
        <v>93093</v>
      </c>
      <c r="G1430" t="s">
        <v>1891</v>
      </c>
      <c r="H1430" t="s">
        <v>1840</v>
      </c>
      <c r="I1430" t="s">
        <v>3013</v>
      </c>
    </row>
    <row r="1431" spans="1:9" x14ac:dyDescent="0.2">
      <c r="A1431" t="s">
        <v>3014</v>
      </c>
      <c r="D1431" t="str">
        <f>HYPERLINK("http://nlpdeep.cs.uic.edu:8080/proofing/t5/93093-findings-6-1.pdf","t5/93093-findings-6-1.pdf")</f>
        <v>t5/93093-findings-6-1.pdf</v>
      </c>
      <c r="E1431">
        <v>120842</v>
      </c>
      <c r="F1431">
        <v>93093</v>
      </c>
      <c r="G1431" t="s">
        <v>1891</v>
      </c>
      <c r="H1431" t="s">
        <v>1840</v>
      </c>
      <c r="I1431" t="s">
        <v>1943</v>
      </c>
    </row>
    <row r="1432" spans="1:9" x14ac:dyDescent="0.2">
      <c r="A1432" t="s">
        <v>3014</v>
      </c>
      <c r="D1432" t="str">
        <f>HYPERLINK("http://nlpdeep.cs.uic.edu:8080/proofing/gsii/93093-findings-6-1.pdf","gsii/93093-findings-6-1.pdf")</f>
        <v>gsii/93093-findings-6-1.pdf</v>
      </c>
      <c r="E1432">
        <v>120842</v>
      </c>
      <c r="F1432">
        <v>93093</v>
      </c>
      <c r="G1432" t="s">
        <v>1891</v>
      </c>
      <c r="H1432" t="s">
        <v>1840</v>
      </c>
      <c r="I1432" t="s">
        <v>1943</v>
      </c>
    </row>
    <row r="1433" spans="1:9" x14ac:dyDescent="0.2">
      <c r="A1433" t="s">
        <v>3015</v>
      </c>
      <c r="D1433" t="str">
        <f>HYPERLINK("http://nlpdeep.cs.uic.edu:8080/proofing/t5/93093-findings-7-0.pdf","t5/93093-findings-7-0.pdf")</f>
        <v>t5/93093-findings-7-0.pdf</v>
      </c>
      <c r="E1433">
        <v>120842</v>
      </c>
      <c r="F1433">
        <v>93093</v>
      </c>
      <c r="G1433" t="s">
        <v>1891</v>
      </c>
      <c r="H1433" t="s">
        <v>1840</v>
      </c>
      <c r="I1433" t="s">
        <v>3016</v>
      </c>
    </row>
    <row r="1434" spans="1:9" x14ac:dyDescent="0.2">
      <c r="A1434" t="s">
        <v>3015</v>
      </c>
      <c r="D1434" t="str">
        <f>HYPERLINK("http://nlpdeep.cs.uic.edu:8080/proofing/gsii/93093-findings-7-0.pdf","gsii/93093-findings-7-0.pdf")</f>
        <v>gsii/93093-findings-7-0.pdf</v>
      </c>
      <c r="E1434">
        <v>120842</v>
      </c>
      <c r="F1434">
        <v>93093</v>
      </c>
      <c r="G1434" t="s">
        <v>1891</v>
      </c>
      <c r="H1434" t="s">
        <v>1840</v>
      </c>
      <c r="I1434" t="s">
        <v>3016</v>
      </c>
    </row>
    <row r="1435" spans="1:9" x14ac:dyDescent="0.2">
      <c r="A1435" t="s">
        <v>3017</v>
      </c>
      <c r="D1435" t="str">
        <f>HYPERLINK("http://nlpdeep.cs.uic.edu:8080/proofing/t5/93093-findings-7-1.pdf","t5/93093-findings-7-1.pdf")</f>
        <v>t5/93093-findings-7-1.pdf</v>
      </c>
      <c r="E1435">
        <v>120842</v>
      </c>
      <c r="F1435">
        <v>93093</v>
      </c>
      <c r="G1435" t="s">
        <v>1891</v>
      </c>
      <c r="H1435" t="s">
        <v>1840</v>
      </c>
      <c r="I1435" t="s">
        <v>3018</v>
      </c>
    </row>
    <row r="1436" spans="1:9" x14ac:dyDescent="0.2">
      <c r="A1436" t="s">
        <v>3017</v>
      </c>
      <c r="D1436" t="str">
        <f>HYPERLINK("http://nlpdeep.cs.uic.edu:8080/proofing/gsii/93093-findings-7-1.pdf","gsii/93093-findings-7-1.pdf")</f>
        <v>gsii/93093-findings-7-1.pdf</v>
      </c>
      <c r="E1436">
        <v>120842</v>
      </c>
      <c r="F1436">
        <v>93093</v>
      </c>
      <c r="G1436" t="s">
        <v>1891</v>
      </c>
      <c r="H1436" t="s">
        <v>1840</v>
      </c>
      <c r="I1436" t="s">
        <v>3018</v>
      </c>
    </row>
    <row r="1437" spans="1:9" x14ac:dyDescent="0.2">
      <c r="A1437" t="s">
        <v>3019</v>
      </c>
      <c r="D1437" t="str">
        <f>HYPERLINK("http://nlpdeep.cs.uic.edu:8080/proofing/t5/93093-findings-7-2.pdf","t5/93093-findings-7-2.pdf")</f>
        <v>t5/93093-findings-7-2.pdf</v>
      </c>
      <c r="E1437">
        <v>120842</v>
      </c>
      <c r="F1437">
        <v>93093</v>
      </c>
      <c r="G1437" t="s">
        <v>1891</v>
      </c>
      <c r="H1437" t="s">
        <v>1840</v>
      </c>
      <c r="I1437" t="s">
        <v>3020</v>
      </c>
    </row>
    <row r="1438" spans="1:9" x14ac:dyDescent="0.2">
      <c r="A1438" t="s">
        <v>3019</v>
      </c>
      <c r="D1438" t="str">
        <f>HYPERLINK("http://nlpdeep.cs.uic.edu:8080/proofing/gsii/93093-findings-7-2.pdf","gsii/93093-findings-7-2.pdf")</f>
        <v>gsii/93093-findings-7-2.pdf</v>
      </c>
      <c r="E1438">
        <v>120842</v>
      </c>
      <c r="F1438">
        <v>93093</v>
      </c>
      <c r="G1438" t="s">
        <v>1891</v>
      </c>
      <c r="H1438" t="s">
        <v>1840</v>
      </c>
      <c r="I1438" t="s">
        <v>3020</v>
      </c>
    </row>
    <row r="1439" spans="1:9" x14ac:dyDescent="0.2">
      <c r="A1439" t="s">
        <v>3021</v>
      </c>
      <c r="D1439" t="str">
        <f>HYPERLINK("http://nlpdeep.cs.uic.edu:8080/proofing/t5/93093-findings-8-0.pdf","t5/93093-findings-8-0.pdf")</f>
        <v>t5/93093-findings-8-0.pdf</v>
      </c>
      <c r="E1439">
        <v>120842</v>
      </c>
      <c r="F1439">
        <v>93093</v>
      </c>
      <c r="G1439" t="s">
        <v>1891</v>
      </c>
      <c r="H1439" t="s">
        <v>1840</v>
      </c>
      <c r="I1439" t="s">
        <v>3022</v>
      </c>
    </row>
    <row r="1440" spans="1:9" x14ac:dyDescent="0.2">
      <c r="A1440" t="s">
        <v>3021</v>
      </c>
      <c r="D1440" t="str">
        <f>HYPERLINK("http://nlpdeep.cs.uic.edu:8080/proofing/gsii/93093-findings-8-0.pdf","gsii/93093-findings-8-0.pdf")</f>
        <v>gsii/93093-findings-8-0.pdf</v>
      </c>
      <c r="E1440">
        <v>120842</v>
      </c>
      <c r="F1440">
        <v>93093</v>
      </c>
      <c r="G1440" t="s">
        <v>1891</v>
      </c>
      <c r="H1440" t="s">
        <v>1840</v>
      </c>
      <c r="I1440" t="s">
        <v>3022</v>
      </c>
    </row>
    <row r="1441" spans="1:9" x14ac:dyDescent="0.2">
      <c r="A1441" t="s">
        <v>3023</v>
      </c>
      <c r="D1441" t="str">
        <f>HYPERLINK("http://nlpdeep.cs.uic.edu:8080/proofing/t5/93093-findings-9-0.pdf","t5/93093-findings-9-0.pdf")</f>
        <v>t5/93093-findings-9-0.pdf</v>
      </c>
      <c r="E1441">
        <v>120842</v>
      </c>
      <c r="F1441">
        <v>93093</v>
      </c>
      <c r="G1441" t="s">
        <v>1891</v>
      </c>
      <c r="H1441" t="s">
        <v>1840</v>
      </c>
      <c r="I1441" t="s">
        <v>3024</v>
      </c>
    </row>
    <row r="1442" spans="1:9" x14ac:dyDescent="0.2">
      <c r="A1442" t="s">
        <v>3023</v>
      </c>
      <c r="D1442" t="str">
        <f>HYPERLINK("http://nlpdeep.cs.uic.edu:8080/proofing/gsii/93093-findings-9-0.pdf","gsii/93093-findings-9-0.pdf")</f>
        <v>gsii/93093-findings-9-0.pdf</v>
      </c>
      <c r="E1442">
        <v>120842</v>
      </c>
      <c r="F1442">
        <v>93093</v>
      </c>
      <c r="G1442" t="s">
        <v>1891</v>
      </c>
      <c r="H1442" t="s">
        <v>1840</v>
      </c>
      <c r="I1442" t="s">
        <v>3024</v>
      </c>
    </row>
    <row r="1443" spans="1:9" x14ac:dyDescent="0.2">
      <c r="A1443" t="s">
        <v>3025</v>
      </c>
      <c r="D1443" t="str">
        <f>HYPERLINK("http://nlpdeep.cs.uic.edu:8080/proofing/t5/93093-findings-9-1.pdf","t5/93093-findings-9-1.pdf")</f>
        <v>t5/93093-findings-9-1.pdf</v>
      </c>
      <c r="E1443">
        <v>120842</v>
      </c>
      <c r="F1443">
        <v>93093</v>
      </c>
      <c r="G1443" t="s">
        <v>1891</v>
      </c>
      <c r="H1443" t="s">
        <v>1840</v>
      </c>
      <c r="I1443" t="s">
        <v>3026</v>
      </c>
    </row>
    <row r="1444" spans="1:9" x14ac:dyDescent="0.2">
      <c r="A1444" t="s">
        <v>3025</v>
      </c>
      <c r="D1444" t="str">
        <f>HYPERLINK("http://nlpdeep.cs.uic.edu:8080/proofing/gsii/93093-findings-9-1.pdf","gsii/93093-findings-9-1.pdf")</f>
        <v>gsii/93093-findings-9-1.pdf</v>
      </c>
      <c r="E1444">
        <v>120842</v>
      </c>
      <c r="F1444">
        <v>93093</v>
      </c>
      <c r="G1444" t="s">
        <v>1891</v>
      </c>
      <c r="H1444" t="s">
        <v>1840</v>
      </c>
      <c r="I1444" t="s">
        <v>3026</v>
      </c>
    </row>
    <row r="1445" spans="1:9" x14ac:dyDescent="0.2">
      <c r="A1445" t="s">
        <v>3027</v>
      </c>
      <c r="D1445" t="str">
        <f>HYPERLINK("http://nlpdeep.cs.uic.edu:8080/proofing/t5/93093-findings-9-2.pdf","t5/93093-findings-9-2.pdf")</f>
        <v>t5/93093-findings-9-2.pdf</v>
      </c>
      <c r="E1445">
        <v>120842</v>
      </c>
      <c r="F1445">
        <v>93093</v>
      </c>
      <c r="G1445" t="s">
        <v>1891</v>
      </c>
      <c r="H1445" t="s">
        <v>1840</v>
      </c>
      <c r="I1445" t="s">
        <v>3028</v>
      </c>
    </row>
    <row r="1446" spans="1:9" x14ac:dyDescent="0.2">
      <c r="A1446" t="s">
        <v>3027</v>
      </c>
      <c r="D1446" t="str">
        <f>HYPERLINK("http://nlpdeep.cs.uic.edu:8080/proofing/gsii/93093-findings-9-2.pdf","gsii/93093-findings-9-2.pdf")</f>
        <v>gsii/93093-findings-9-2.pdf</v>
      </c>
      <c r="E1446">
        <v>120842</v>
      </c>
      <c r="F1446">
        <v>93093</v>
      </c>
      <c r="G1446" t="s">
        <v>1891</v>
      </c>
      <c r="H1446" t="s">
        <v>1840</v>
      </c>
      <c r="I1446" t="s">
        <v>3028</v>
      </c>
    </row>
    <row r="1447" spans="1:9" x14ac:dyDescent="0.2">
      <c r="A1447" t="s">
        <v>3029</v>
      </c>
      <c r="D1447" t="str">
        <f>HYPERLINK("http://nlpdeep.cs.uic.edu:8080/proofing/t5/93093-conclusions-0-0.pdf","t5/93093-conclusions-0-0.pdf")</f>
        <v>t5/93093-conclusions-0-0.pdf</v>
      </c>
      <c r="E1447">
        <v>120842</v>
      </c>
      <c r="F1447">
        <v>93093</v>
      </c>
      <c r="G1447" t="s">
        <v>1891</v>
      </c>
      <c r="H1447" t="s">
        <v>1979</v>
      </c>
      <c r="I1447" t="s">
        <v>3030</v>
      </c>
    </row>
    <row r="1448" spans="1:9" x14ac:dyDescent="0.2">
      <c r="A1448" t="s">
        <v>3029</v>
      </c>
      <c r="D1448" t="str">
        <f>HYPERLINK("http://nlpdeep.cs.uic.edu:8080/proofing/gsii/93093-conclusions-0-0.pdf","gsii/93093-conclusions-0-0.pdf")</f>
        <v>gsii/93093-conclusions-0-0.pdf</v>
      </c>
      <c r="E1448">
        <v>120842</v>
      </c>
      <c r="F1448">
        <v>93093</v>
      </c>
      <c r="G1448" t="s">
        <v>1891</v>
      </c>
      <c r="H1448" t="s">
        <v>1979</v>
      </c>
      <c r="I1448" t="s">
        <v>3030</v>
      </c>
    </row>
    <row r="1449" spans="1:9" x14ac:dyDescent="0.2">
      <c r="A1449" t="s">
        <v>3031</v>
      </c>
      <c r="D1449" t="str">
        <f>HYPERLINK("http://nlpdeep.cs.uic.edu:8080/proofing/t5/93093-conclusions-0-1.pdf","t5/93093-conclusions-0-1.pdf")</f>
        <v>t5/93093-conclusions-0-1.pdf</v>
      </c>
      <c r="E1449">
        <v>120842</v>
      </c>
      <c r="F1449">
        <v>93093</v>
      </c>
      <c r="G1449" t="s">
        <v>1891</v>
      </c>
      <c r="H1449" t="s">
        <v>1979</v>
      </c>
      <c r="I1449" t="s">
        <v>3032</v>
      </c>
    </row>
    <row r="1450" spans="1:9" x14ac:dyDescent="0.2">
      <c r="A1450" t="s">
        <v>3031</v>
      </c>
      <c r="D1450" t="str">
        <f>HYPERLINK("http://nlpdeep.cs.uic.edu:8080/proofing/gsii/93093-conclusions-0-1.pdf","gsii/93093-conclusions-0-1.pdf")</f>
        <v>gsii/93093-conclusions-0-1.pdf</v>
      </c>
      <c r="E1450">
        <v>120842</v>
      </c>
      <c r="F1450">
        <v>93093</v>
      </c>
      <c r="G1450" t="s">
        <v>1891</v>
      </c>
      <c r="H1450" t="s">
        <v>1979</v>
      </c>
      <c r="I1450" t="s">
        <v>3032</v>
      </c>
    </row>
    <row r="1451" spans="1:9" x14ac:dyDescent="0.2">
      <c r="A1451" t="s">
        <v>3033</v>
      </c>
      <c r="D1451" t="str">
        <f>HYPERLINK("http://nlpdeep.cs.uic.edu:8080/proofing/t5/93093-conclusions-0-2.pdf","t5/93093-conclusions-0-2.pdf")</f>
        <v>t5/93093-conclusions-0-2.pdf</v>
      </c>
      <c r="E1451">
        <v>120842</v>
      </c>
      <c r="F1451">
        <v>93093</v>
      </c>
      <c r="G1451" t="s">
        <v>1891</v>
      </c>
      <c r="H1451" t="s">
        <v>1979</v>
      </c>
      <c r="I1451" t="s">
        <v>3034</v>
      </c>
    </row>
    <row r="1452" spans="1:9" x14ac:dyDescent="0.2">
      <c r="A1452" t="s">
        <v>3033</v>
      </c>
      <c r="D1452" t="str">
        <f>HYPERLINK("http://nlpdeep.cs.uic.edu:8080/proofing/gsii/93093-conclusions-0-2.pdf","gsii/93093-conclusions-0-2.pdf")</f>
        <v>gsii/93093-conclusions-0-2.pdf</v>
      </c>
      <c r="E1452">
        <v>120842</v>
      </c>
      <c r="F1452">
        <v>93093</v>
      </c>
      <c r="G1452" t="s">
        <v>1891</v>
      </c>
      <c r="H1452" t="s">
        <v>1979</v>
      </c>
      <c r="I1452" t="s">
        <v>3034</v>
      </c>
    </row>
    <row r="1453" spans="1:9" x14ac:dyDescent="0.2">
      <c r="A1453" t="s">
        <v>3035</v>
      </c>
      <c r="D1453" t="str">
        <f>HYPERLINK("http://nlpdeep.cs.uic.edu:8080/proofing/t5/93093-conclusions-0-3.pdf","t5/93093-conclusions-0-3.pdf")</f>
        <v>t5/93093-conclusions-0-3.pdf</v>
      </c>
      <c r="E1453">
        <v>120842</v>
      </c>
      <c r="F1453">
        <v>93093</v>
      </c>
      <c r="G1453" t="s">
        <v>1891</v>
      </c>
      <c r="H1453" t="s">
        <v>1979</v>
      </c>
      <c r="I1453" t="s">
        <v>3036</v>
      </c>
    </row>
    <row r="1454" spans="1:9" x14ac:dyDescent="0.2">
      <c r="A1454" t="s">
        <v>3035</v>
      </c>
      <c r="D1454" t="str">
        <f>HYPERLINK("http://nlpdeep.cs.uic.edu:8080/proofing/gsii/93093-conclusions-0-3.pdf","gsii/93093-conclusions-0-3.pdf")</f>
        <v>gsii/93093-conclusions-0-3.pdf</v>
      </c>
      <c r="E1454">
        <v>120842</v>
      </c>
      <c r="F1454">
        <v>93093</v>
      </c>
      <c r="G1454" t="s">
        <v>1891</v>
      </c>
      <c r="H1454" t="s">
        <v>1979</v>
      </c>
      <c r="I1454" t="s">
        <v>3036</v>
      </c>
    </row>
    <row r="1455" spans="1:9" x14ac:dyDescent="0.2">
      <c r="A1455" t="s">
        <v>3037</v>
      </c>
      <c r="D1455" t="str">
        <f>HYPERLINK("http://nlpdeep.cs.uic.edu:8080/proofing/t5/93093-conclusions-0-4.pdf","t5/93093-conclusions-0-4.pdf")</f>
        <v>t5/93093-conclusions-0-4.pdf</v>
      </c>
      <c r="E1455">
        <v>120842</v>
      </c>
      <c r="F1455">
        <v>93093</v>
      </c>
      <c r="G1455" t="s">
        <v>1891</v>
      </c>
      <c r="H1455" t="s">
        <v>1979</v>
      </c>
      <c r="I1455" t="s">
        <v>3038</v>
      </c>
    </row>
    <row r="1456" spans="1:9" x14ac:dyDescent="0.2">
      <c r="A1456" t="s">
        <v>3037</v>
      </c>
      <c r="D1456" t="str">
        <f>HYPERLINK("http://nlpdeep.cs.uic.edu:8080/proofing/gsii/93093-conclusions-0-4.pdf","gsii/93093-conclusions-0-4.pdf")</f>
        <v>gsii/93093-conclusions-0-4.pdf</v>
      </c>
      <c r="E1456">
        <v>120842</v>
      </c>
      <c r="F1456">
        <v>93093</v>
      </c>
      <c r="G1456" t="s">
        <v>1891</v>
      </c>
      <c r="H1456" t="s">
        <v>1979</v>
      </c>
      <c r="I1456" t="s">
        <v>3038</v>
      </c>
    </row>
    <row r="1457" spans="1:9" x14ac:dyDescent="0.2">
      <c r="A1457" t="s">
        <v>3039</v>
      </c>
      <c r="D1457" t="str">
        <f>HYPERLINK("http://nlpdeep.cs.uic.edu:8080/proofing/t5/93093-conclusions-0-5.pdf","t5/93093-conclusions-0-5.pdf")</f>
        <v>t5/93093-conclusions-0-5.pdf</v>
      </c>
      <c r="E1457">
        <v>120842</v>
      </c>
      <c r="F1457">
        <v>93093</v>
      </c>
      <c r="G1457" t="s">
        <v>1891</v>
      </c>
      <c r="H1457" t="s">
        <v>1979</v>
      </c>
      <c r="I1457" t="s">
        <v>3040</v>
      </c>
    </row>
    <row r="1458" spans="1:9" x14ac:dyDescent="0.2">
      <c r="A1458" t="s">
        <v>3039</v>
      </c>
      <c r="D1458" t="str">
        <f>HYPERLINK("http://nlpdeep.cs.uic.edu:8080/proofing/gsii/93093-conclusions-0-5.pdf","gsii/93093-conclusions-0-5.pdf")</f>
        <v>gsii/93093-conclusions-0-5.pdf</v>
      </c>
      <c r="E1458">
        <v>120842</v>
      </c>
      <c r="F1458">
        <v>93093</v>
      </c>
      <c r="G1458" t="s">
        <v>1891</v>
      </c>
      <c r="H1458" t="s">
        <v>1979</v>
      </c>
      <c r="I1458" t="s">
        <v>3040</v>
      </c>
    </row>
    <row r="1459" spans="1:9" x14ac:dyDescent="0.2">
      <c r="A1459" t="s">
        <v>3041</v>
      </c>
      <c r="D1459" t="str">
        <f>HYPERLINK("http://nlpdeep.cs.uic.edu:8080/proofing/t5/93093-conclusions-0-6.pdf","t5/93093-conclusions-0-6.pdf")</f>
        <v>t5/93093-conclusions-0-6.pdf</v>
      </c>
      <c r="E1459">
        <v>120842</v>
      </c>
      <c r="F1459">
        <v>93093</v>
      </c>
      <c r="G1459" t="s">
        <v>1891</v>
      </c>
      <c r="H1459" t="s">
        <v>1979</v>
      </c>
      <c r="I1459" t="s">
        <v>3042</v>
      </c>
    </row>
    <row r="1460" spans="1:9" x14ac:dyDescent="0.2">
      <c r="A1460" t="s">
        <v>3041</v>
      </c>
      <c r="D1460" t="str">
        <f>HYPERLINK("http://nlpdeep.cs.uic.edu:8080/proofing/gsii/93093-conclusions-0-6.pdf","gsii/93093-conclusions-0-6.pdf")</f>
        <v>gsii/93093-conclusions-0-6.pdf</v>
      </c>
      <c r="E1460">
        <v>120842</v>
      </c>
      <c r="F1460">
        <v>93093</v>
      </c>
      <c r="G1460" t="s">
        <v>1891</v>
      </c>
      <c r="H1460" t="s">
        <v>1979</v>
      </c>
      <c r="I1460" t="s">
        <v>3042</v>
      </c>
    </row>
    <row r="1461" spans="1:9" x14ac:dyDescent="0.2">
      <c r="A1461" t="s">
        <v>3043</v>
      </c>
      <c r="D1461" t="str">
        <f>HYPERLINK("http://nlpdeep.cs.uic.edu:8080/proofing/t5/93093-conclusions-0-7.pdf","t5/93093-conclusions-0-7.pdf")</f>
        <v>t5/93093-conclusions-0-7.pdf</v>
      </c>
      <c r="E1461">
        <v>120842</v>
      </c>
      <c r="F1461">
        <v>93093</v>
      </c>
      <c r="G1461" t="s">
        <v>1891</v>
      </c>
      <c r="H1461" t="s">
        <v>1979</v>
      </c>
      <c r="I1461" t="s">
        <v>3044</v>
      </c>
    </row>
    <row r="1462" spans="1:9" x14ac:dyDescent="0.2">
      <c r="A1462" t="s">
        <v>3043</v>
      </c>
      <c r="D1462" t="str">
        <f>HYPERLINK("http://nlpdeep.cs.uic.edu:8080/proofing/gsii/93093-conclusions-0-7.pdf","gsii/93093-conclusions-0-7.pdf")</f>
        <v>gsii/93093-conclusions-0-7.pdf</v>
      </c>
      <c r="E1462">
        <v>120842</v>
      </c>
      <c r="F1462">
        <v>93093</v>
      </c>
      <c r="G1462" t="s">
        <v>1891</v>
      </c>
      <c r="H1462" t="s">
        <v>1979</v>
      </c>
      <c r="I1462" t="s">
        <v>3044</v>
      </c>
    </row>
    <row r="1463" spans="1:9" x14ac:dyDescent="0.2">
      <c r="A1463" t="s">
        <v>3045</v>
      </c>
      <c r="D1463" t="str">
        <f>HYPERLINK("http://nlpdeep.cs.uic.edu:8080/proofing/t5/93093-conclusions-0-8.pdf","t5/93093-conclusions-0-8.pdf")</f>
        <v>t5/93093-conclusions-0-8.pdf</v>
      </c>
      <c r="E1463">
        <v>120842</v>
      </c>
      <c r="F1463">
        <v>93093</v>
      </c>
      <c r="G1463" t="s">
        <v>1891</v>
      </c>
      <c r="H1463" t="s">
        <v>1979</v>
      </c>
      <c r="I1463" t="s">
        <v>3046</v>
      </c>
    </row>
    <row r="1464" spans="1:9" x14ac:dyDescent="0.2">
      <c r="A1464" t="s">
        <v>3045</v>
      </c>
      <c r="D1464" t="str">
        <f>HYPERLINK("http://nlpdeep.cs.uic.edu:8080/proofing/gsii/93093-conclusions-0-8.pdf","gsii/93093-conclusions-0-8.pdf")</f>
        <v>gsii/93093-conclusions-0-8.pdf</v>
      </c>
      <c r="E1464">
        <v>120842</v>
      </c>
      <c r="F1464">
        <v>93093</v>
      </c>
      <c r="G1464" t="s">
        <v>1891</v>
      </c>
      <c r="H1464" t="s">
        <v>1979</v>
      </c>
      <c r="I1464" t="s">
        <v>3046</v>
      </c>
    </row>
    <row r="1465" spans="1:9" x14ac:dyDescent="0.2">
      <c r="A1465" t="s">
        <v>3047</v>
      </c>
      <c r="D1465" t="str">
        <f>HYPERLINK("http://nlpdeep.cs.uic.edu:8080/proofing/t5/93093-conclusions-0-9.pdf","t5/93093-conclusions-0-9.pdf")</f>
        <v>t5/93093-conclusions-0-9.pdf</v>
      </c>
      <c r="E1465">
        <v>120842</v>
      </c>
      <c r="F1465">
        <v>93093</v>
      </c>
      <c r="G1465" t="s">
        <v>1891</v>
      </c>
      <c r="H1465" t="s">
        <v>1979</v>
      </c>
      <c r="I1465" t="s">
        <v>3048</v>
      </c>
    </row>
    <row r="1466" spans="1:9" x14ac:dyDescent="0.2">
      <c r="A1466" t="s">
        <v>3047</v>
      </c>
      <c r="D1466" t="str">
        <f>HYPERLINK("http://nlpdeep.cs.uic.edu:8080/proofing/gsii/93093-conclusions-0-9.pdf","gsii/93093-conclusions-0-9.pdf")</f>
        <v>gsii/93093-conclusions-0-9.pdf</v>
      </c>
      <c r="E1466">
        <v>120842</v>
      </c>
      <c r="F1466">
        <v>93093</v>
      </c>
      <c r="G1466" t="s">
        <v>1891</v>
      </c>
      <c r="H1466" t="s">
        <v>1979</v>
      </c>
      <c r="I1466" t="s">
        <v>3048</v>
      </c>
    </row>
    <row r="1467" spans="1:9" x14ac:dyDescent="0.2">
      <c r="A1467" t="s">
        <v>3049</v>
      </c>
      <c r="D1467" t="str">
        <f>HYPERLINK("http://nlpdeep.cs.uic.edu:8080/proofing/t5/93093-conclusions-0-10.pdf","t5/93093-conclusions-0-10.pdf")</f>
        <v>t5/93093-conclusions-0-10.pdf</v>
      </c>
      <c r="E1467">
        <v>120842</v>
      </c>
      <c r="F1467">
        <v>93093</v>
      </c>
      <c r="G1467" t="s">
        <v>1891</v>
      </c>
      <c r="H1467" t="s">
        <v>1979</v>
      </c>
      <c r="I1467" t="s">
        <v>3050</v>
      </c>
    </row>
    <row r="1468" spans="1:9" x14ac:dyDescent="0.2">
      <c r="A1468" t="s">
        <v>3049</v>
      </c>
      <c r="D1468" t="str">
        <f>HYPERLINK("http://nlpdeep.cs.uic.edu:8080/proofing/gsii/93093-conclusions-0-10.pdf","gsii/93093-conclusions-0-10.pdf")</f>
        <v>gsii/93093-conclusions-0-10.pdf</v>
      </c>
      <c r="E1468">
        <v>120842</v>
      </c>
      <c r="F1468">
        <v>93093</v>
      </c>
      <c r="G1468" t="s">
        <v>1891</v>
      </c>
      <c r="H1468" t="s">
        <v>1979</v>
      </c>
      <c r="I1468" t="s">
        <v>3050</v>
      </c>
    </row>
    <row r="1469" spans="1:9" x14ac:dyDescent="0.2">
      <c r="A1469" t="s">
        <v>3051</v>
      </c>
      <c r="D1469" t="str">
        <f>HYPERLINK("http://nlpdeep.cs.uic.edu:8080/proofing/t5/93093-conclusions-0-11.pdf","t5/93093-conclusions-0-11.pdf")</f>
        <v>t5/93093-conclusions-0-11.pdf</v>
      </c>
      <c r="E1469">
        <v>120842</v>
      </c>
      <c r="F1469">
        <v>93093</v>
      </c>
      <c r="G1469" t="s">
        <v>1891</v>
      </c>
      <c r="H1469" t="s">
        <v>1979</v>
      </c>
      <c r="I1469" t="s">
        <v>3052</v>
      </c>
    </row>
    <row r="1470" spans="1:9" x14ac:dyDescent="0.2">
      <c r="A1470" t="s">
        <v>3051</v>
      </c>
      <c r="D1470" t="str">
        <f>HYPERLINK("http://nlpdeep.cs.uic.edu:8080/proofing/gsii/93093-conclusions-0-11.pdf","gsii/93093-conclusions-0-11.pdf")</f>
        <v>gsii/93093-conclusions-0-11.pdf</v>
      </c>
      <c r="E1470">
        <v>120842</v>
      </c>
      <c r="F1470">
        <v>93093</v>
      </c>
      <c r="G1470" t="s">
        <v>1891</v>
      </c>
      <c r="H1470" t="s">
        <v>1979</v>
      </c>
      <c r="I1470" t="s">
        <v>3052</v>
      </c>
    </row>
    <row r="1471" spans="1:9" x14ac:dyDescent="0.2">
      <c r="A1471" t="s">
        <v>3053</v>
      </c>
      <c r="D1471" t="str">
        <f>HYPERLINK("http://nlpdeep.cs.uic.edu:8080/proofing/t5/93093-comparison-0-0.pdf","t5/93093-comparison-0-0.pdf")</f>
        <v>t5/93093-comparison-0-0.pdf</v>
      </c>
      <c r="E1471">
        <v>120842</v>
      </c>
      <c r="F1471">
        <v>93093</v>
      </c>
      <c r="G1471" t="s">
        <v>1891</v>
      </c>
      <c r="H1471" t="s">
        <v>1834</v>
      </c>
      <c r="I1471" t="s">
        <v>3054</v>
      </c>
    </row>
    <row r="1472" spans="1:9" x14ac:dyDescent="0.2">
      <c r="A1472" t="s">
        <v>3053</v>
      </c>
      <c r="D1472" t="str">
        <f>HYPERLINK("http://nlpdeep.cs.uic.edu:8080/proofing/gsii/93093-comparison-0-0.pdf","gsii/93093-comparison-0-0.pdf")</f>
        <v>gsii/93093-comparison-0-0.pdf</v>
      </c>
      <c r="E1472">
        <v>120842</v>
      </c>
      <c r="F1472">
        <v>93093</v>
      </c>
      <c r="G1472" t="s">
        <v>1891</v>
      </c>
      <c r="H1472" t="s">
        <v>1834</v>
      </c>
      <c r="I1472" t="s">
        <v>3054</v>
      </c>
    </row>
    <row r="1473" spans="1:9" x14ac:dyDescent="0.2">
      <c r="A1473" t="s">
        <v>3055</v>
      </c>
      <c r="D1473" t="str">
        <f>HYPERLINK("http://nlpdeep.cs.uic.edu:8080/proofing/t5/93093-clinical-implications-0-0.pdf","t5/93093-clinical-implications-0-0.pdf")</f>
        <v>t5/93093-clinical-implications-0-0.pdf</v>
      </c>
      <c r="E1473">
        <v>120842</v>
      </c>
      <c r="F1473">
        <v>93093</v>
      </c>
      <c r="G1473" t="s">
        <v>1891</v>
      </c>
      <c r="H1473" t="s">
        <v>3056</v>
      </c>
      <c r="I1473" t="s">
        <v>3057</v>
      </c>
    </row>
    <row r="1474" spans="1:9" x14ac:dyDescent="0.2">
      <c r="A1474" t="s">
        <v>3055</v>
      </c>
      <c r="D1474" t="str">
        <f>HYPERLINK("http://nlpdeep.cs.uic.edu:8080/proofing/gsii/93093-clinical-implications-0-0.pdf","gsii/93093-clinical-implications-0-0.pdf")</f>
        <v>gsii/93093-clinical-implications-0-0.pdf</v>
      </c>
      <c r="E1474">
        <v>120842</v>
      </c>
      <c r="F1474">
        <v>93093</v>
      </c>
      <c r="G1474" t="s">
        <v>1891</v>
      </c>
      <c r="H1474" t="s">
        <v>3056</v>
      </c>
      <c r="I1474" t="s">
        <v>3057</v>
      </c>
    </row>
    <row r="1475" spans="1:9" x14ac:dyDescent="0.2">
      <c r="A1475" t="s">
        <v>3058</v>
      </c>
      <c r="D1475" t="str">
        <f>HYPERLINK("http://nlpdeep.cs.uic.edu:8080/proofing/t5/93093-clinical-implications-0-1.pdf","t5/93093-clinical-implications-0-1.pdf")</f>
        <v>t5/93093-clinical-implications-0-1.pdf</v>
      </c>
      <c r="E1475">
        <v>120842</v>
      </c>
      <c r="F1475">
        <v>93093</v>
      </c>
      <c r="G1475" t="s">
        <v>1891</v>
      </c>
      <c r="H1475" t="s">
        <v>3056</v>
      </c>
      <c r="I1475" t="s">
        <v>3059</v>
      </c>
    </row>
    <row r="1476" spans="1:9" x14ac:dyDescent="0.2">
      <c r="A1476" t="s">
        <v>3058</v>
      </c>
      <c r="D1476" t="str">
        <f>HYPERLINK("http://nlpdeep.cs.uic.edu:8080/proofing/gsii/93093-clinical-implications-0-1.pdf","gsii/93093-clinical-implications-0-1.pdf")</f>
        <v>gsii/93093-clinical-implications-0-1.pdf</v>
      </c>
      <c r="E1476">
        <v>120842</v>
      </c>
      <c r="F1476">
        <v>93093</v>
      </c>
      <c r="G1476" t="s">
        <v>1891</v>
      </c>
      <c r="H1476" t="s">
        <v>3056</v>
      </c>
      <c r="I1476" t="s">
        <v>3059</v>
      </c>
    </row>
    <row r="1477" spans="1:9" x14ac:dyDescent="0.2">
      <c r="A1477" t="s">
        <v>3060</v>
      </c>
      <c r="D1477" t="str">
        <f>HYPERLINK("http://nlpdeep.cs.uic.edu:8080/proofing/t5/1123496-reason-0-0.pdf","t5/1123496-reason-0-0.pdf")</f>
        <v>t5/1123496-reason-0-0.pdf</v>
      </c>
      <c r="E1477">
        <v>120842</v>
      </c>
      <c r="F1477">
        <v>1123496</v>
      </c>
      <c r="G1477" t="s">
        <v>1822</v>
      </c>
      <c r="H1477" t="s">
        <v>1823</v>
      </c>
      <c r="I1477" t="s">
        <v>3061</v>
      </c>
    </row>
    <row r="1478" spans="1:9" x14ac:dyDescent="0.2">
      <c r="A1478" t="s">
        <v>3060</v>
      </c>
      <c r="D1478" t="str">
        <f>HYPERLINK("http://nlpdeep.cs.uic.edu:8080/proofing/gsii/1123496-reason-0-0.pdf","gsii/1123496-reason-0-0.pdf")</f>
        <v>gsii/1123496-reason-0-0.pdf</v>
      </c>
      <c r="E1478">
        <v>120842</v>
      </c>
      <c r="F1478">
        <v>1123496</v>
      </c>
      <c r="G1478" t="s">
        <v>1822</v>
      </c>
      <c r="H1478" t="s">
        <v>1823</v>
      </c>
      <c r="I1478" t="s">
        <v>3061</v>
      </c>
    </row>
    <row r="1479" spans="1:9" x14ac:dyDescent="0.2">
      <c r="A1479" t="s">
        <v>3062</v>
      </c>
      <c r="D1479" t="str">
        <f>HYPERLINK("http://nlpdeep.cs.uic.edu:8080/proofing/t5/1123496-medical-condition-0-0.pdf","t5/1123496-medical-condition-0-0.pdf")</f>
        <v>t5/1123496-medical-condition-0-0.pdf</v>
      </c>
      <c r="E1479">
        <v>120842</v>
      </c>
      <c r="F1479">
        <v>1123496</v>
      </c>
      <c r="G1479" t="s">
        <v>1822</v>
      </c>
      <c r="H1479" t="s">
        <v>1826</v>
      </c>
      <c r="I1479" t="s">
        <v>3063</v>
      </c>
    </row>
    <row r="1480" spans="1:9" x14ac:dyDescent="0.2">
      <c r="A1480" t="s">
        <v>3062</v>
      </c>
      <c r="D1480" t="str">
        <f>HYPERLINK("http://nlpdeep.cs.uic.edu:8080/proofing/gsii/1123496-medical-condition-0-0.pdf","gsii/1123496-medical-condition-0-0.pdf")</f>
        <v>gsii/1123496-medical-condition-0-0.pdf</v>
      </c>
      <c r="E1480">
        <v>120842</v>
      </c>
      <c r="F1480">
        <v>1123496</v>
      </c>
      <c r="G1480" t="s">
        <v>1822</v>
      </c>
      <c r="H1480" t="s">
        <v>1826</v>
      </c>
      <c r="I1480" t="s">
        <v>3063</v>
      </c>
    </row>
    <row r="1481" spans="1:9" x14ac:dyDescent="0.2">
      <c r="A1481" t="s">
        <v>3064</v>
      </c>
      <c r="D1481" t="str">
        <f>HYPERLINK("http://nlpdeep.cs.uic.edu:8080/proofing/t5/1123496-indication-0-0.pdf","t5/1123496-indication-0-0.pdf")</f>
        <v>t5/1123496-indication-0-0.pdf</v>
      </c>
      <c r="E1481">
        <v>120842</v>
      </c>
      <c r="F1481">
        <v>1123496</v>
      </c>
      <c r="G1481" t="s">
        <v>1822</v>
      </c>
      <c r="H1481" t="s">
        <v>1831</v>
      </c>
      <c r="I1481" t="s">
        <v>3065</v>
      </c>
    </row>
    <row r="1482" spans="1:9" x14ac:dyDescent="0.2">
      <c r="A1482" t="s">
        <v>3064</v>
      </c>
      <c r="D1482" t="str">
        <f>HYPERLINK("http://nlpdeep.cs.uic.edu:8080/proofing/gsii/1123496-indication-0-0.pdf","gsii/1123496-indication-0-0.pdf")</f>
        <v>gsii/1123496-indication-0-0.pdf</v>
      </c>
      <c r="E1482">
        <v>120842</v>
      </c>
      <c r="F1482">
        <v>1123496</v>
      </c>
      <c r="G1482" t="s">
        <v>1822</v>
      </c>
      <c r="H1482" t="s">
        <v>1831</v>
      </c>
      <c r="I1482" t="s">
        <v>3065</v>
      </c>
    </row>
    <row r="1483" spans="1:9" x14ac:dyDescent="0.2">
      <c r="A1483" t="s">
        <v>3066</v>
      </c>
      <c r="D1483" t="str">
        <f>HYPERLINK("http://nlpdeep.cs.uic.edu:8080/proofing/t5/1123496-comparison-0-0.pdf","t5/1123496-comparison-0-0.pdf")</f>
        <v>t5/1123496-comparison-0-0.pdf</v>
      </c>
      <c r="E1483">
        <v>120842</v>
      </c>
      <c r="F1483">
        <v>1123496</v>
      </c>
      <c r="G1483" t="s">
        <v>1822</v>
      </c>
      <c r="H1483" t="s">
        <v>1834</v>
      </c>
      <c r="I1483" t="s">
        <v>3067</v>
      </c>
    </row>
    <row r="1484" spans="1:9" x14ac:dyDescent="0.2">
      <c r="A1484" t="s">
        <v>3066</v>
      </c>
      <c r="D1484" t="str">
        <f>HYPERLINK("http://nlpdeep.cs.uic.edu:8080/proofing/gsii/1123496-comparison-0-0.pdf","gsii/1123496-comparison-0-0.pdf")</f>
        <v>gsii/1123496-comparison-0-0.pdf</v>
      </c>
      <c r="E1484">
        <v>120842</v>
      </c>
      <c r="F1484">
        <v>1123496</v>
      </c>
      <c r="G1484" t="s">
        <v>1822</v>
      </c>
      <c r="H1484" t="s">
        <v>1834</v>
      </c>
      <c r="I1484" t="s">
        <v>3067</v>
      </c>
    </row>
    <row r="1485" spans="1:9" x14ac:dyDescent="0.2">
      <c r="A1485" t="s">
        <v>3068</v>
      </c>
      <c r="D1485" t="str">
        <f>HYPERLINK("http://nlpdeep.cs.uic.edu:8080/proofing/t5/1123496-findings-0-0.pdf","t5/1123496-findings-0-0.pdf")</f>
        <v>t5/1123496-findings-0-0.pdf</v>
      </c>
      <c r="E1485">
        <v>120842</v>
      </c>
      <c r="F1485">
        <v>1123496</v>
      </c>
      <c r="G1485" t="s">
        <v>1822</v>
      </c>
      <c r="H1485" t="s">
        <v>1840</v>
      </c>
      <c r="I1485" t="s">
        <v>3069</v>
      </c>
    </row>
    <row r="1486" spans="1:9" x14ac:dyDescent="0.2">
      <c r="A1486" t="s">
        <v>3068</v>
      </c>
      <c r="D1486" t="str">
        <f>HYPERLINK("http://nlpdeep.cs.uic.edu:8080/proofing/gsii/1123496-findings-0-0.pdf","gsii/1123496-findings-0-0.pdf")</f>
        <v>gsii/1123496-findings-0-0.pdf</v>
      </c>
      <c r="E1486">
        <v>120842</v>
      </c>
      <c r="F1486">
        <v>1123496</v>
      </c>
      <c r="G1486" t="s">
        <v>1822</v>
      </c>
      <c r="H1486" t="s">
        <v>1840</v>
      </c>
      <c r="I1486" t="s">
        <v>3069</v>
      </c>
    </row>
    <row r="1487" spans="1:9" x14ac:dyDescent="0.2">
      <c r="A1487" t="s">
        <v>3070</v>
      </c>
      <c r="D1487" t="str">
        <f>HYPERLINK("http://nlpdeep.cs.uic.edu:8080/proofing/t5/1123496-findings-1-0.pdf","t5/1123496-findings-1-0.pdf")</f>
        <v>t5/1123496-findings-1-0.pdf</v>
      </c>
      <c r="E1487">
        <v>120842</v>
      </c>
      <c r="F1487">
        <v>1123496</v>
      </c>
      <c r="G1487" t="s">
        <v>1822</v>
      </c>
      <c r="H1487" t="s">
        <v>1840</v>
      </c>
      <c r="I1487" t="s">
        <v>3071</v>
      </c>
    </row>
    <row r="1488" spans="1:9" x14ac:dyDescent="0.2">
      <c r="A1488" t="s">
        <v>3070</v>
      </c>
      <c r="D1488" t="str">
        <f>HYPERLINK("http://nlpdeep.cs.uic.edu:8080/proofing/gsii/1123496-findings-1-0.pdf","gsii/1123496-findings-1-0.pdf")</f>
        <v>gsii/1123496-findings-1-0.pdf</v>
      </c>
      <c r="E1488">
        <v>120842</v>
      </c>
      <c r="F1488">
        <v>1123496</v>
      </c>
      <c r="G1488" t="s">
        <v>1822</v>
      </c>
      <c r="H1488" t="s">
        <v>1840</v>
      </c>
      <c r="I1488" t="s">
        <v>3071</v>
      </c>
    </row>
    <row r="1489" spans="1:9" x14ac:dyDescent="0.2">
      <c r="A1489" t="s">
        <v>3072</v>
      </c>
      <c r="D1489" t="str">
        <f>HYPERLINK("http://nlpdeep.cs.uic.edu:8080/proofing/t5/1123496-findings-1-1.pdf","t5/1123496-findings-1-1.pdf")</f>
        <v>t5/1123496-findings-1-1.pdf</v>
      </c>
      <c r="E1489">
        <v>120842</v>
      </c>
      <c r="F1489">
        <v>1123496</v>
      </c>
      <c r="G1489" t="s">
        <v>1822</v>
      </c>
      <c r="H1489" t="s">
        <v>1840</v>
      </c>
      <c r="I1489" t="s">
        <v>3073</v>
      </c>
    </row>
    <row r="1490" spans="1:9" x14ac:dyDescent="0.2">
      <c r="A1490" t="s">
        <v>3072</v>
      </c>
      <c r="D1490" t="str">
        <f>HYPERLINK("http://nlpdeep.cs.uic.edu:8080/proofing/gsii/1123496-findings-1-1.pdf","gsii/1123496-findings-1-1.pdf")</f>
        <v>gsii/1123496-findings-1-1.pdf</v>
      </c>
      <c r="E1490">
        <v>120842</v>
      </c>
      <c r="F1490">
        <v>1123496</v>
      </c>
      <c r="G1490" t="s">
        <v>1822</v>
      </c>
      <c r="H1490" t="s">
        <v>1840</v>
      </c>
      <c r="I1490" t="s">
        <v>3073</v>
      </c>
    </row>
    <row r="1491" spans="1:9" x14ac:dyDescent="0.2">
      <c r="A1491" t="s">
        <v>3074</v>
      </c>
      <c r="D1491" t="str">
        <f>HYPERLINK("http://nlpdeep.cs.uic.edu:8080/proofing/t5/1123496-findings-1-2.pdf","t5/1123496-findings-1-2.pdf")</f>
        <v>t5/1123496-findings-1-2.pdf</v>
      </c>
      <c r="E1491">
        <v>120842</v>
      </c>
      <c r="F1491">
        <v>1123496</v>
      </c>
      <c r="G1491" t="s">
        <v>1822</v>
      </c>
      <c r="H1491" t="s">
        <v>1840</v>
      </c>
      <c r="I1491" t="s">
        <v>3075</v>
      </c>
    </row>
    <row r="1492" spans="1:9" x14ac:dyDescent="0.2">
      <c r="A1492" t="s">
        <v>3074</v>
      </c>
      <c r="D1492" t="str">
        <f>HYPERLINK("http://nlpdeep.cs.uic.edu:8080/proofing/gsii/1123496-findings-1-2.pdf","gsii/1123496-findings-1-2.pdf")</f>
        <v>gsii/1123496-findings-1-2.pdf</v>
      </c>
      <c r="E1492">
        <v>120842</v>
      </c>
      <c r="F1492">
        <v>1123496</v>
      </c>
      <c r="G1492" t="s">
        <v>1822</v>
      </c>
      <c r="H1492" t="s">
        <v>1840</v>
      </c>
      <c r="I1492" t="s">
        <v>3075</v>
      </c>
    </row>
    <row r="1493" spans="1:9" x14ac:dyDescent="0.2">
      <c r="A1493" t="s">
        <v>3076</v>
      </c>
      <c r="D1493" t="str">
        <f>HYPERLINK("http://nlpdeep.cs.uic.edu:8080/proofing/t5/1123496-findings-1-3.pdf","t5/1123496-findings-1-3.pdf")</f>
        <v>t5/1123496-findings-1-3.pdf</v>
      </c>
      <c r="E1493">
        <v>120842</v>
      </c>
      <c r="F1493">
        <v>1123496</v>
      </c>
      <c r="G1493" t="s">
        <v>1822</v>
      </c>
      <c r="H1493" t="s">
        <v>1840</v>
      </c>
      <c r="I1493" t="s">
        <v>3077</v>
      </c>
    </row>
    <row r="1494" spans="1:9" x14ac:dyDescent="0.2">
      <c r="A1494" t="s">
        <v>3076</v>
      </c>
      <c r="D1494" t="str">
        <f>HYPERLINK("http://nlpdeep.cs.uic.edu:8080/proofing/gsii/1123496-findings-1-3.pdf","gsii/1123496-findings-1-3.pdf")</f>
        <v>gsii/1123496-findings-1-3.pdf</v>
      </c>
      <c r="E1494">
        <v>120842</v>
      </c>
      <c r="F1494">
        <v>1123496</v>
      </c>
      <c r="G1494" t="s">
        <v>1822</v>
      </c>
      <c r="H1494" t="s">
        <v>1840</v>
      </c>
      <c r="I1494" t="s">
        <v>3077</v>
      </c>
    </row>
    <row r="1495" spans="1:9" x14ac:dyDescent="0.2">
      <c r="A1495" t="s">
        <v>3078</v>
      </c>
      <c r="D1495" t="str">
        <f>HYPERLINK("http://nlpdeep.cs.uic.edu:8080/proofing/t5/1123496-findings-1-4.pdf","t5/1123496-findings-1-4.pdf")</f>
        <v>t5/1123496-findings-1-4.pdf</v>
      </c>
      <c r="E1495">
        <v>120842</v>
      </c>
      <c r="F1495">
        <v>1123496</v>
      </c>
      <c r="G1495" t="s">
        <v>1822</v>
      </c>
      <c r="H1495" t="s">
        <v>1840</v>
      </c>
      <c r="I1495" t="s">
        <v>3079</v>
      </c>
    </row>
    <row r="1496" spans="1:9" x14ac:dyDescent="0.2">
      <c r="A1496" t="s">
        <v>3078</v>
      </c>
      <c r="D1496" t="str">
        <f>HYPERLINK("http://nlpdeep.cs.uic.edu:8080/proofing/gsii/1123496-findings-1-4.pdf","gsii/1123496-findings-1-4.pdf")</f>
        <v>gsii/1123496-findings-1-4.pdf</v>
      </c>
      <c r="E1496">
        <v>120842</v>
      </c>
      <c r="F1496">
        <v>1123496</v>
      </c>
      <c r="G1496" t="s">
        <v>1822</v>
      </c>
      <c r="H1496" t="s">
        <v>1840</v>
      </c>
      <c r="I1496" t="s">
        <v>3079</v>
      </c>
    </row>
    <row r="1497" spans="1:9" x14ac:dyDescent="0.2">
      <c r="A1497" t="s">
        <v>3080</v>
      </c>
      <c r="D1497" t="str">
        <f>HYPERLINK("http://nlpdeep.cs.uic.edu:8080/proofing/t5/522939-chief-complaint-0-0.pdf","t5/522939-chief-complaint-0-0.pdf")</f>
        <v>t5/522939-chief-complaint-0-0.pdf</v>
      </c>
      <c r="E1497">
        <v>120842</v>
      </c>
      <c r="F1497">
        <v>522939</v>
      </c>
      <c r="G1497" t="s">
        <v>9</v>
      </c>
      <c r="H1497" t="s">
        <v>10</v>
      </c>
      <c r="I1497" t="s">
        <v>3081</v>
      </c>
    </row>
    <row r="1498" spans="1:9" x14ac:dyDescent="0.2">
      <c r="A1498" t="s">
        <v>3080</v>
      </c>
      <c r="D1498" t="str">
        <f>HYPERLINK("http://nlpdeep.cs.uic.edu:8080/proofing/gsii/522939-chief-complaint-0-0.pdf","gsii/522939-chief-complaint-0-0.pdf")</f>
        <v>gsii/522939-chief-complaint-0-0.pdf</v>
      </c>
      <c r="E1498">
        <v>120842</v>
      </c>
      <c r="F1498">
        <v>522939</v>
      </c>
      <c r="G1498" t="s">
        <v>9</v>
      </c>
      <c r="H1498" t="s">
        <v>10</v>
      </c>
      <c r="I1498" t="s">
        <v>3081</v>
      </c>
    </row>
    <row r="1499" spans="1:9" x14ac:dyDescent="0.2">
      <c r="A1499" t="s">
        <v>3082</v>
      </c>
      <c r="D1499" t="str">
        <f>HYPERLINK("http://nlpdeep.cs.uic.edu:8080/proofing/t5/522939-history-of-present-illness-0-0.pdf","t5/522939-history-of-present-illness-0-0.pdf")</f>
        <v>t5/522939-history-of-present-illness-0-0.pdf</v>
      </c>
      <c r="E1499">
        <v>120842</v>
      </c>
      <c r="F1499">
        <v>522939</v>
      </c>
      <c r="G1499" t="s">
        <v>9</v>
      </c>
      <c r="H1499" t="s">
        <v>13</v>
      </c>
      <c r="I1499" t="s">
        <v>3083</v>
      </c>
    </row>
    <row r="1500" spans="1:9" x14ac:dyDescent="0.2">
      <c r="A1500" t="s">
        <v>3082</v>
      </c>
      <c r="D1500" t="str">
        <f>HYPERLINK("http://nlpdeep.cs.uic.edu:8080/proofing/gsii/522939-history-of-present-illness-0-0.pdf","gsii/522939-history-of-present-illness-0-0.pdf")</f>
        <v>gsii/522939-history-of-present-illness-0-0.pdf</v>
      </c>
      <c r="E1500">
        <v>120842</v>
      </c>
      <c r="F1500">
        <v>522939</v>
      </c>
      <c r="G1500" t="s">
        <v>9</v>
      </c>
      <c r="H1500" t="s">
        <v>13</v>
      </c>
      <c r="I1500" t="s">
        <v>3083</v>
      </c>
    </row>
    <row r="1501" spans="1:9" x14ac:dyDescent="0.2">
      <c r="A1501" t="s">
        <v>3084</v>
      </c>
      <c r="D1501" t="str">
        <f>HYPERLINK("http://nlpdeep.cs.uic.edu:8080/proofing/t5/522939-history-of-present-illness-0-1.pdf","t5/522939-history-of-present-illness-0-1.pdf")</f>
        <v>t5/522939-history-of-present-illness-0-1.pdf</v>
      </c>
      <c r="E1501">
        <v>120842</v>
      </c>
      <c r="F1501">
        <v>522939</v>
      </c>
      <c r="G1501" t="s">
        <v>9</v>
      </c>
      <c r="H1501" t="s">
        <v>13</v>
      </c>
      <c r="I1501" t="s">
        <v>3085</v>
      </c>
    </row>
    <row r="1502" spans="1:9" x14ac:dyDescent="0.2">
      <c r="A1502" t="s">
        <v>3084</v>
      </c>
      <c r="D1502" t="str">
        <f>HYPERLINK("http://nlpdeep.cs.uic.edu:8080/proofing/gsii/522939-history-of-present-illness-0-1.pdf","gsii/522939-history-of-present-illness-0-1.pdf")</f>
        <v>gsii/522939-history-of-present-illness-0-1.pdf</v>
      </c>
      <c r="E1502">
        <v>120842</v>
      </c>
      <c r="F1502">
        <v>522939</v>
      </c>
      <c r="G1502" t="s">
        <v>9</v>
      </c>
      <c r="H1502" t="s">
        <v>13</v>
      </c>
      <c r="I1502" t="s">
        <v>3085</v>
      </c>
    </row>
    <row r="1503" spans="1:9" x14ac:dyDescent="0.2">
      <c r="A1503" t="s">
        <v>3086</v>
      </c>
      <c r="D1503" t="str">
        <f>HYPERLINK("http://nlpdeep.cs.uic.edu:8080/proofing/t5/522939-history-of-present-illness-0-2.pdf","t5/522939-history-of-present-illness-0-2.pdf")</f>
        <v>t5/522939-history-of-present-illness-0-2.pdf</v>
      </c>
      <c r="E1503">
        <v>120842</v>
      </c>
      <c r="F1503">
        <v>522939</v>
      </c>
      <c r="G1503" t="s">
        <v>9</v>
      </c>
      <c r="H1503" t="s">
        <v>13</v>
      </c>
      <c r="I1503" t="s">
        <v>3087</v>
      </c>
    </row>
    <row r="1504" spans="1:9" x14ac:dyDescent="0.2">
      <c r="A1504" t="s">
        <v>3086</v>
      </c>
      <c r="D1504" t="str">
        <f>HYPERLINK("http://nlpdeep.cs.uic.edu:8080/proofing/gsii/522939-history-of-present-illness-0-2.pdf","gsii/522939-history-of-present-illness-0-2.pdf")</f>
        <v>gsii/522939-history-of-present-illness-0-2.pdf</v>
      </c>
      <c r="E1504">
        <v>120842</v>
      </c>
      <c r="F1504">
        <v>522939</v>
      </c>
      <c r="G1504" t="s">
        <v>9</v>
      </c>
      <c r="H1504" t="s">
        <v>13</v>
      </c>
      <c r="I1504" t="s">
        <v>3087</v>
      </c>
    </row>
    <row r="1505" spans="1:9" x14ac:dyDescent="0.2">
      <c r="A1505" t="s">
        <v>3088</v>
      </c>
      <c r="D1505" t="str">
        <f>HYPERLINK("http://nlpdeep.cs.uic.edu:8080/proofing/t5/522939-history-of-present-illness-0-3.pdf","t5/522939-history-of-present-illness-0-3.pdf")</f>
        <v>t5/522939-history-of-present-illness-0-3.pdf</v>
      </c>
      <c r="E1505">
        <v>120842</v>
      </c>
      <c r="F1505">
        <v>522939</v>
      </c>
      <c r="G1505" t="s">
        <v>9</v>
      </c>
      <c r="H1505" t="s">
        <v>13</v>
      </c>
      <c r="I1505" t="s">
        <v>3089</v>
      </c>
    </row>
    <row r="1506" spans="1:9" x14ac:dyDescent="0.2">
      <c r="A1506" t="s">
        <v>3088</v>
      </c>
      <c r="D1506" t="str">
        <f>HYPERLINK("http://nlpdeep.cs.uic.edu:8080/proofing/gsii/522939-history-of-present-illness-0-3.pdf","gsii/522939-history-of-present-illness-0-3.pdf")</f>
        <v>gsii/522939-history-of-present-illness-0-3.pdf</v>
      </c>
      <c r="E1506">
        <v>120842</v>
      </c>
      <c r="F1506">
        <v>522939</v>
      </c>
      <c r="G1506" t="s">
        <v>9</v>
      </c>
      <c r="H1506" t="s">
        <v>13</v>
      </c>
      <c r="I1506" t="s">
        <v>3089</v>
      </c>
    </row>
    <row r="1507" spans="1:9" x14ac:dyDescent="0.2">
      <c r="A1507" t="s">
        <v>3090</v>
      </c>
      <c r="D1507" t="str">
        <f>HYPERLINK("http://nlpdeep.cs.uic.edu:8080/proofing/t5/522939-history-of-present-illness-0-4.pdf","t5/522939-history-of-present-illness-0-4.pdf")</f>
        <v>t5/522939-history-of-present-illness-0-4.pdf</v>
      </c>
      <c r="E1507">
        <v>120842</v>
      </c>
      <c r="F1507">
        <v>522939</v>
      </c>
      <c r="G1507" t="s">
        <v>9</v>
      </c>
      <c r="H1507" t="s">
        <v>13</v>
      </c>
      <c r="I1507" t="s">
        <v>3091</v>
      </c>
    </row>
    <row r="1508" spans="1:9" x14ac:dyDescent="0.2">
      <c r="A1508" t="s">
        <v>3090</v>
      </c>
      <c r="D1508" t="str">
        <f>HYPERLINK("http://nlpdeep.cs.uic.edu:8080/proofing/gsii/522939-history-of-present-illness-0-4.pdf","gsii/522939-history-of-present-illness-0-4.pdf")</f>
        <v>gsii/522939-history-of-present-illness-0-4.pdf</v>
      </c>
      <c r="E1508">
        <v>120842</v>
      </c>
      <c r="F1508">
        <v>522939</v>
      </c>
      <c r="G1508" t="s">
        <v>9</v>
      </c>
      <c r="H1508" t="s">
        <v>13</v>
      </c>
      <c r="I1508" t="s">
        <v>3091</v>
      </c>
    </row>
    <row r="1509" spans="1:9" x14ac:dyDescent="0.2">
      <c r="A1509" t="s">
        <v>3092</v>
      </c>
      <c r="D1509" t="str">
        <f>HYPERLINK("http://nlpdeep.cs.uic.edu:8080/proofing/t5/522939-history-of-present-illness-0-5.pdf","t5/522939-history-of-present-illness-0-5.pdf")</f>
        <v>t5/522939-history-of-present-illness-0-5.pdf</v>
      </c>
      <c r="E1509">
        <v>120842</v>
      </c>
      <c r="F1509">
        <v>522939</v>
      </c>
      <c r="G1509" t="s">
        <v>9</v>
      </c>
      <c r="H1509" t="s">
        <v>13</v>
      </c>
      <c r="I1509" t="s">
        <v>3093</v>
      </c>
    </row>
    <row r="1510" spans="1:9" x14ac:dyDescent="0.2">
      <c r="A1510" t="s">
        <v>3092</v>
      </c>
      <c r="D1510" t="str">
        <f>HYPERLINK("http://nlpdeep.cs.uic.edu:8080/proofing/gsii/522939-history-of-present-illness-0-5.pdf","gsii/522939-history-of-present-illness-0-5.pdf")</f>
        <v>gsii/522939-history-of-present-illness-0-5.pdf</v>
      </c>
      <c r="E1510">
        <v>120842</v>
      </c>
      <c r="F1510">
        <v>522939</v>
      </c>
      <c r="G1510" t="s">
        <v>9</v>
      </c>
      <c r="H1510" t="s">
        <v>13</v>
      </c>
      <c r="I1510" t="s">
        <v>3093</v>
      </c>
    </row>
    <row r="1511" spans="1:9" x14ac:dyDescent="0.2">
      <c r="A1511" t="s">
        <v>3094</v>
      </c>
      <c r="D1511" t="str">
        <f>HYPERLINK("http://nlpdeep.cs.uic.edu:8080/proofing/t5/522939-history-of-present-illness-0-6.pdf","t5/522939-history-of-present-illness-0-6.pdf")</f>
        <v>t5/522939-history-of-present-illness-0-6.pdf</v>
      </c>
      <c r="E1511">
        <v>120842</v>
      </c>
      <c r="F1511">
        <v>522939</v>
      </c>
      <c r="G1511" t="s">
        <v>9</v>
      </c>
      <c r="H1511" t="s">
        <v>13</v>
      </c>
      <c r="I1511" t="s">
        <v>3095</v>
      </c>
    </row>
    <row r="1512" spans="1:9" x14ac:dyDescent="0.2">
      <c r="A1512" t="s">
        <v>3094</v>
      </c>
      <c r="D1512" t="str">
        <f>HYPERLINK("http://nlpdeep.cs.uic.edu:8080/proofing/gsii/522939-history-of-present-illness-0-6.pdf","gsii/522939-history-of-present-illness-0-6.pdf")</f>
        <v>gsii/522939-history-of-present-illness-0-6.pdf</v>
      </c>
      <c r="E1512">
        <v>120842</v>
      </c>
      <c r="F1512">
        <v>522939</v>
      </c>
      <c r="G1512" t="s">
        <v>9</v>
      </c>
      <c r="H1512" t="s">
        <v>13</v>
      </c>
      <c r="I1512" t="s">
        <v>3095</v>
      </c>
    </row>
    <row r="1513" spans="1:9" x14ac:dyDescent="0.2">
      <c r="A1513" t="s">
        <v>3096</v>
      </c>
      <c r="D1513" t="str">
        <f>HYPERLINK("http://nlpdeep.cs.uic.edu:8080/proofing/t5/522939-history-of-present-illness-0-7.pdf","t5/522939-history-of-present-illness-0-7.pdf")</f>
        <v>t5/522939-history-of-present-illness-0-7.pdf</v>
      </c>
      <c r="E1513">
        <v>120842</v>
      </c>
      <c r="F1513">
        <v>522939</v>
      </c>
      <c r="G1513" t="s">
        <v>9</v>
      </c>
      <c r="H1513" t="s">
        <v>13</v>
      </c>
      <c r="I1513" t="s">
        <v>3097</v>
      </c>
    </row>
    <row r="1514" spans="1:9" x14ac:dyDescent="0.2">
      <c r="A1514" t="s">
        <v>3096</v>
      </c>
      <c r="D1514" t="str">
        <f>HYPERLINK("http://nlpdeep.cs.uic.edu:8080/proofing/gsii/522939-history-of-present-illness-0-7.pdf","gsii/522939-history-of-present-illness-0-7.pdf")</f>
        <v>gsii/522939-history-of-present-illness-0-7.pdf</v>
      </c>
      <c r="E1514">
        <v>120842</v>
      </c>
      <c r="F1514">
        <v>522939</v>
      </c>
      <c r="G1514" t="s">
        <v>9</v>
      </c>
      <c r="H1514" t="s">
        <v>13</v>
      </c>
      <c r="I1514" t="s">
        <v>3097</v>
      </c>
    </row>
    <row r="1515" spans="1:9" x14ac:dyDescent="0.2">
      <c r="A1515" t="s">
        <v>3098</v>
      </c>
      <c r="D1515" t="str">
        <f>HYPERLINK("http://nlpdeep.cs.uic.edu:8080/proofing/t5/522939-history-of-present-illness-0-8.pdf","t5/522939-history-of-present-illness-0-8.pdf")</f>
        <v>t5/522939-history-of-present-illness-0-8.pdf</v>
      </c>
      <c r="E1515">
        <v>120842</v>
      </c>
      <c r="F1515">
        <v>522939</v>
      </c>
      <c r="G1515" t="s">
        <v>9</v>
      </c>
      <c r="H1515" t="s">
        <v>13</v>
      </c>
      <c r="I1515" t="s">
        <v>3099</v>
      </c>
    </row>
    <row r="1516" spans="1:9" x14ac:dyDescent="0.2">
      <c r="A1516" t="s">
        <v>3098</v>
      </c>
      <c r="D1516" t="str">
        <f>HYPERLINK("http://nlpdeep.cs.uic.edu:8080/proofing/gsii/522939-history-of-present-illness-0-8.pdf","gsii/522939-history-of-present-illness-0-8.pdf")</f>
        <v>gsii/522939-history-of-present-illness-0-8.pdf</v>
      </c>
      <c r="E1516">
        <v>120842</v>
      </c>
      <c r="F1516">
        <v>522939</v>
      </c>
      <c r="G1516" t="s">
        <v>9</v>
      </c>
      <c r="H1516" t="s">
        <v>13</v>
      </c>
      <c r="I1516" t="s">
        <v>3099</v>
      </c>
    </row>
    <row r="1517" spans="1:9" x14ac:dyDescent="0.2">
      <c r="A1517" t="s">
        <v>3100</v>
      </c>
      <c r="D1517" t="str">
        <f>HYPERLINK("http://nlpdeep.cs.uic.edu:8080/proofing/t5/522939-history-of-present-illness-0-9.pdf","t5/522939-history-of-present-illness-0-9.pdf")</f>
        <v>t5/522939-history-of-present-illness-0-9.pdf</v>
      </c>
      <c r="E1517">
        <v>120842</v>
      </c>
      <c r="F1517">
        <v>522939</v>
      </c>
      <c r="G1517" t="s">
        <v>9</v>
      </c>
      <c r="H1517" t="s">
        <v>13</v>
      </c>
      <c r="I1517" t="s">
        <v>3101</v>
      </c>
    </row>
    <row r="1518" spans="1:9" x14ac:dyDescent="0.2">
      <c r="A1518" t="s">
        <v>3100</v>
      </c>
      <c r="D1518" t="str">
        <f>HYPERLINK("http://nlpdeep.cs.uic.edu:8080/proofing/gsii/522939-history-of-present-illness-0-9.pdf","gsii/522939-history-of-present-illness-0-9.pdf")</f>
        <v>gsii/522939-history-of-present-illness-0-9.pdf</v>
      </c>
      <c r="E1518">
        <v>120842</v>
      </c>
      <c r="F1518">
        <v>522939</v>
      </c>
      <c r="G1518" t="s">
        <v>9</v>
      </c>
      <c r="H1518" t="s">
        <v>13</v>
      </c>
      <c r="I1518" t="s">
        <v>3101</v>
      </c>
    </row>
    <row r="1519" spans="1:9" x14ac:dyDescent="0.2">
      <c r="A1519" t="s">
        <v>3102</v>
      </c>
      <c r="D1519" t="str">
        <f>HYPERLINK("http://nlpdeep.cs.uic.edu:8080/proofing/t5/522939-history-of-present-illness-0-10.pdf","t5/522939-history-of-present-illness-0-10.pdf")</f>
        <v>t5/522939-history-of-present-illness-0-10.pdf</v>
      </c>
      <c r="E1519">
        <v>120842</v>
      </c>
      <c r="F1519">
        <v>522939</v>
      </c>
      <c r="G1519" t="s">
        <v>9</v>
      </c>
      <c r="H1519" t="s">
        <v>13</v>
      </c>
      <c r="I1519" t="s">
        <v>3103</v>
      </c>
    </row>
    <row r="1520" spans="1:9" x14ac:dyDescent="0.2">
      <c r="A1520" t="s">
        <v>3102</v>
      </c>
      <c r="D1520" t="str">
        <f>HYPERLINK("http://nlpdeep.cs.uic.edu:8080/proofing/gsii/522939-history-of-present-illness-0-10.pdf","gsii/522939-history-of-present-illness-0-10.pdf")</f>
        <v>gsii/522939-history-of-present-illness-0-10.pdf</v>
      </c>
      <c r="E1520">
        <v>120842</v>
      </c>
      <c r="F1520">
        <v>522939</v>
      </c>
      <c r="G1520" t="s">
        <v>9</v>
      </c>
      <c r="H1520" t="s">
        <v>13</v>
      </c>
      <c r="I1520" t="s">
        <v>3103</v>
      </c>
    </row>
    <row r="1521" spans="1:9" x14ac:dyDescent="0.2">
      <c r="A1521" t="s">
        <v>3104</v>
      </c>
      <c r="D1521" t="str">
        <f>HYPERLINK("http://nlpdeep.cs.uic.edu:8080/proofing/t5/522939-history-of-present-illness-0-11.pdf","t5/522939-history-of-present-illness-0-11.pdf")</f>
        <v>t5/522939-history-of-present-illness-0-11.pdf</v>
      </c>
      <c r="E1521">
        <v>120842</v>
      </c>
      <c r="F1521">
        <v>522939</v>
      </c>
      <c r="G1521" t="s">
        <v>9</v>
      </c>
      <c r="H1521" t="s">
        <v>13</v>
      </c>
      <c r="I1521" t="s">
        <v>3105</v>
      </c>
    </row>
    <row r="1522" spans="1:9" x14ac:dyDescent="0.2">
      <c r="A1522" t="s">
        <v>3104</v>
      </c>
      <c r="D1522" t="str">
        <f>HYPERLINK("http://nlpdeep.cs.uic.edu:8080/proofing/gsii/522939-history-of-present-illness-0-11.pdf","gsii/522939-history-of-present-illness-0-11.pdf")</f>
        <v>gsii/522939-history-of-present-illness-0-11.pdf</v>
      </c>
      <c r="E1522">
        <v>120842</v>
      </c>
      <c r="F1522">
        <v>522939</v>
      </c>
      <c r="G1522" t="s">
        <v>9</v>
      </c>
      <c r="H1522" t="s">
        <v>13</v>
      </c>
      <c r="I1522" t="s">
        <v>3105</v>
      </c>
    </row>
    <row r="1523" spans="1:9" x14ac:dyDescent="0.2">
      <c r="A1523" t="s">
        <v>3106</v>
      </c>
      <c r="D1523" t="str">
        <f>HYPERLINK("http://nlpdeep.cs.uic.edu:8080/proofing/t5/522939-history-of-present-illness-1-0.pdf","t5/522939-history-of-present-illness-1-0.pdf")</f>
        <v>t5/522939-history-of-present-illness-1-0.pdf</v>
      </c>
      <c r="E1523">
        <v>120842</v>
      </c>
      <c r="F1523">
        <v>522939</v>
      </c>
      <c r="G1523" t="s">
        <v>9</v>
      </c>
      <c r="H1523" t="s">
        <v>13</v>
      </c>
      <c r="I1523" t="s">
        <v>3107</v>
      </c>
    </row>
    <row r="1524" spans="1:9" x14ac:dyDescent="0.2">
      <c r="A1524" t="s">
        <v>3106</v>
      </c>
      <c r="D1524" t="str">
        <f>HYPERLINK("http://nlpdeep.cs.uic.edu:8080/proofing/gsii/522939-history-of-present-illness-1-0.pdf","gsii/522939-history-of-present-illness-1-0.pdf")</f>
        <v>gsii/522939-history-of-present-illness-1-0.pdf</v>
      </c>
      <c r="E1524">
        <v>120842</v>
      </c>
      <c r="F1524">
        <v>522939</v>
      </c>
      <c r="G1524" t="s">
        <v>9</v>
      </c>
      <c r="H1524" t="s">
        <v>13</v>
      </c>
      <c r="I1524" t="s">
        <v>3107</v>
      </c>
    </row>
    <row r="1525" spans="1:9" x14ac:dyDescent="0.2">
      <c r="A1525" t="s">
        <v>3108</v>
      </c>
      <c r="D1525" t="str">
        <f>HYPERLINK("http://nlpdeep.cs.uic.edu:8080/proofing/t5/522939-history-of-present-illness-1-1.pdf","t5/522939-history-of-present-illness-1-1.pdf")</f>
        <v>t5/522939-history-of-present-illness-1-1.pdf</v>
      </c>
      <c r="E1525">
        <v>120842</v>
      </c>
      <c r="F1525">
        <v>522939</v>
      </c>
      <c r="G1525" t="s">
        <v>9</v>
      </c>
      <c r="H1525" t="s">
        <v>13</v>
      </c>
      <c r="I1525" t="s">
        <v>3109</v>
      </c>
    </row>
    <row r="1526" spans="1:9" x14ac:dyDescent="0.2">
      <c r="A1526" t="s">
        <v>3108</v>
      </c>
      <c r="D1526" t="str">
        <f>HYPERLINK("http://nlpdeep.cs.uic.edu:8080/proofing/gsii/522939-history-of-present-illness-1-1.pdf","gsii/522939-history-of-present-illness-1-1.pdf")</f>
        <v>gsii/522939-history-of-present-illness-1-1.pdf</v>
      </c>
      <c r="E1526">
        <v>120842</v>
      </c>
      <c r="F1526">
        <v>522939</v>
      </c>
      <c r="G1526" t="s">
        <v>9</v>
      </c>
      <c r="H1526" t="s">
        <v>13</v>
      </c>
      <c r="I1526" t="s">
        <v>3109</v>
      </c>
    </row>
    <row r="1527" spans="1:9" x14ac:dyDescent="0.2">
      <c r="A1527" t="s">
        <v>3110</v>
      </c>
      <c r="D1527" t="str">
        <f>HYPERLINK("http://nlpdeep.cs.uic.edu:8080/proofing/t5/522939-history-of-present-illness-1-2.pdf","t5/522939-history-of-present-illness-1-2.pdf")</f>
        <v>t5/522939-history-of-present-illness-1-2.pdf</v>
      </c>
      <c r="E1527">
        <v>120842</v>
      </c>
      <c r="F1527">
        <v>522939</v>
      </c>
      <c r="G1527" t="s">
        <v>9</v>
      </c>
      <c r="H1527" t="s">
        <v>13</v>
      </c>
      <c r="I1527" t="s">
        <v>3111</v>
      </c>
    </row>
    <row r="1528" spans="1:9" x14ac:dyDescent="0.2">
      <c r="A1528" t="s">
        <v>3110</v>
      </c>
      <c r="D1528" t="str">
        <f>HYPERLINK("http://nlpdeep.cs.uic.edu:8080/proofing/gsii/522939-history-of-present-illness-1-2.pdf","gsii/522939-history-of-present-illness-1-2.pdf")</f>
        <v>gsii/522939-history-of-present-illness-1-2.pdf</v>
      </c>
      <c r="E1528">
        <v>120842</v>
      </c>
      <c r="F1528">
        <v>522939</v>
      </c>
      <c r="G1528" t="s">
        <v>9</v>
      </c>
      <c r="H1528" t="s">
        <v>13</v>
      </c>
      <c r="I1528" t="s">
        <v>3111</v>
      </c>
    </row>
    <row r="1529" spans="1:9" x14ac:dyDescent="0.2">
      <c r="A1529" t="s">
        <v>3112</v>
      </c>
      <c r="D1529" t="str">
        <f>HYPERLINK("http://nlpdeep.cs.uic.edu:8080/proofing/t5/522939-history-of-present-illness-1-3.pdf","t5/522939-history-of-present-illness-1-3.pdf")</f>
        <v>t5/522939-history-of-present-illness-1-3.pdf</v>
      </c>
      <c r="E1529">
        <v>120842</v>
      </c>
      <c r="F1529">
        <v>522939</v>
      </c>
      <c r="G1529" t="s">
        <v>9</v>
      </c>
      <c r="H1529" t="s">
        <v>13</v>
      </c>
      <c r="I1529" t="s">
        <v>3113</v>
      </c>
    </row>
    <row r="1530" spans="1:9" x14ac:dyDescent="0.2">
      <c r="A1530" t="s">
        <v>3112</v>
      </c>
      <c r="D1530" t="str">
        <f>HYPERLINK("http://nlpdeep.cs.uic.edu:8080/proofing/gsii/522939-history-of-present-illness-1-3.pdf","gsii/522939-history-of-present-illness-1-3.pdf")</f>
        <v>gsii/522939-history-of-present-illness-1-3.pdf</v>
      </c>
      <c r="E1530">
        <v>120842</v>
      </c>
      <c r="F1530">
        <v>522939</v>
      </c>
      <c r="G1530" t="s">
        <v>9</v>
      </c>
      <c r="H1530" t="s">
        <v>13</v>
      </c>
      <c r="I1530" t="s">
        <v>3113</v>
      </c>
    </row>
    <row r="1531" spans="1:9" x14ac:dyDescent="0.2">
      <c r="A1531" t="s">
        <v>3114</v>
      </c>
      <c r="D1531" t="str">
        <f>HYPERLINK("http://nlpdeep.cs.uic.edu:8080/proofing/t5/522939-history-of-present-illness-1-4.pdf","t5/522939-history-of-present-illness-1-4.pdf")</f>
        <v>t5/522939-history-of-present-illness-1-4.pdf</v>
      </c>
      <c r="E1531">
        <v>120842</v>
      </c>
      <c r="F1531">
        <v>522939</v>
      </c>
      <c r="G1531" t="s">
        <v>9</v>
      </c>
      <c r="H1531" t="s">
        <v>13</v>
      </c>
      <c r="I1531" t="s">
        <v>3115</v>
      </c>
    </row>
    <row r="1532" spans="1:9" x14ac:dyDescent="0.2">
      <c r="A1532" t="s">
        <v>3114</v>
      </c>
      <c r="D1532" t="str">
        <f>HYPERLINK("http://nlpdeep.cs.uic.edu:8080/proofing/gsii/522939-history-of-present-illness-1-4.pdf","gsii/522939-history-of-present-illness-1-4.pdf")</f>
        <v>gsii/522939-history-of-present-illness-1-4.pdf</v>
      </c>
      <c r="E1532">
        <v>120842</v>
      </c>
      <c r="F1532">
        <v>522939</v>
      </c>
      <c r="G1532" t="s">
        <v>9</v>
      </c>
      <c r="H1532" t="s">
        <v>13</v>
      </c>
      <c r="I1532" t="s">
        <v>3115</v>
      </c>
    </row>
    <row r="1533" spans="1:9" x14ac:dyDescent="0.2">
      <c r="A1533" t="s">
        <v>3116</v>
      </c>
      <c r="D1533" t="str">
        <f>HYPERLINK("http://nlpdeep.cs.uic.edu:8080/proofing/t5/522939-history-of-present-illness-1-5.pdf","t5/522939-history-of-present-illness-1-5.pdf")</f>
        <v>t5/522939-history-of-present-illness-1-5.pdf</v>
      </c>
      <c r="E1533">
        <v>120842</v>
      </c>
      <c r="F1533">
        <v>522939</v>
      </c>
      <c r="G1533" t="s">
        <v>9</v>
      </c>
      <c r="H1533" t="s">
        <v>13</v>
      </c>
      <c r="I1533" t="s">
        <v>3117</v>
      </c>
    </row>
    <row r="1534" spans="1:9" x14ac:dyDescent="0.2">
      <c r="A1534" t="s">
        <v>3116</v>
      </c>
      <c r="D1534" t="str">
        <f>HYPERLINK("http://nlpdeep.cs.uic.edu:8080/proofing/gsii/522939-history-of-present-illness-1-5.pdf","gsii/522939-history-of-present-illness-1-5.pdf")</f>
        <v>gsii/522939-history-of-present-illness-1-5.pdf</v>
      </c>
      <c r="E1534">
        <v>120842</v>
      </c>
      <c r="F1534">
        <v>522939</v>
      </c>
      <c r="G1534" t="s">
        <v>9</v>
      </c>
      <c r="H1534" t="s">
        <v>13</v>
      </c>
      <c r="I1534" t="s">
        <v>3117</v>
      </c>
    </row>
    <row r="1535" spans="1:9" x14ac:dyDescent="0.2">
      <c r="A1535" t="s">
        <v>3118</v>
      </c>
      <c r="D1535" t="str">
        <f>HYPERLINK("http://nlpdeep.cs.uic.edu:8080/proofing/t5/522939-history-of-present-illness-1-6.pdf","t5/522939-history-of-present-illness-1-6.pdf")</f>
        <v>t5/522939-history-of-present-illness-1-6.pdf</v>
      </c>
      <c r="E1535">
        <v>120842</v>
      </c>
      <c r="F1535">
        <v>522939</v>
      </c>
      <c r="G1535" t="s">
        <v>9</v>
      </c>
      <c r="H1535" t="s">
        <v>13</v>
      </c>
      <c r="I1535" t="s">
        <v>3119</v>
      </c>
    </row>
    <row r="1536" spans="1:9" x14ac:dyDescent="0.2">
      <c r="A1536" t="s">
        <v>3118</v>
      </c>
      <c r="D1536" t="str">
        <f>HYPERLINK("http://nlpdeep.cs.uic.edu:8080/proofing/gsii/522939-history-of-present-illness-1-6.pdf","gsii/522939-history-of-present-illness-1-6.pdf")</f>
        <v>gsii/522939-history-of-present-illness-1-6.pdf</v>
      </c>
      <c r="E1536">
        <v>120842</v>
      </c>
      <c r="F1536">
        <v>522939</v>
      </c>
      <c r="G1536" t="s">
        <v>9</v>
      </c>
      <c r="H1536" t="s">
        <v>13</v>
      </c>
      <c r="I1536" t="s">
        <v>3119</v>
      </c>
    </row>
    <row r="1537" spans="1:9" x14ac:dyDescent="0.2">
      <c r="A1537" t="s">
        <v>3120</v>
      </c>
      <c r="D1537" t="str">
        <f>HYPERLINK("http://nlpdeep.cs.uic.edu:8080/proofing/t5/522939-history-of-present-illness-1-7.pdf","t5/522939-history-of-present-illness-1-7.pdf")</f>
        <v>t5/522939-history-of-present-illness-1-7.pdf</v>
      </c>
      <c r="E1537">
        <v>120842</v>
      </c>
      <c r="F1537">
        <v>522939</v>
      </c>
      <c r="G1537" t="s">
        <v>9</v>
      </c>
      <c r="H1537" t="s">
        <v>13</v>
      </c>
      <c r="I1537" t="s">
        <v>3121</v>
      </c>
    </row>
    <row r="1538" spans="1:9" x14ac:dyDescent="0.2">
      <c r="A1538" t="s">
        <v>3120</v>
      </c>
      <c r="D1538" t="str">
        <f>HYPERLINK("http://nlpdeep.cs.uic.edu:8080/proofing/gsii/522939-history-of-present-illness-1-7.pdf","gsii/522939-history-of-present-illness-1-7.pdf")</f>
        <v>gsii/522939-history-of-present-illness-1-7.pdf</v>
      </c>
      <c r="E1538">
        <v>120842</v>
      </c>
      <c r="F1538">
        <v>522939</v>
      </c>
      <c r="G1538" t="s">
        <v>9</v>
      </c>
      <c r="H1538" t="s">
        <v>13</v>
      </c>
      <c r="I1538" t="s">
        <v>3121</v>
      </c>
    </row>
    <row r="1539" spans="1:9" x14ac:dyDescent="0.2">
      <c r="A1539" t="s">
        <v>3122</v>
      </c>
      <c r="D1539" t="str">
        <f>HYPERLINK("http://nlpdeep.cs.uic.edu:8080/proofing/t5/522939-allergies-0-0.pdf","t5/522939-allergies-0-0.pdf")</f>
        <v>t5/522939-allergies-0-0.pdf</v>
      </c>
      <c r="E1539">
        <v>120842</v>
      </c>
      <c r="F1539">
        <v>522939</v>
      </c>
      <c r="G1539" t="s">
        <v>9</v>
      </c>
      <c r="H1539" t="s">
        <v>64</v>
      </c>
      <c r="I1539" t="s">
        <v>3123</v>
      </c>
    </row>
    <row r="1540" spans="1:9" x14ac:dyDescent="0.2">
      <c r="A1540" t="s">
        <v>3122</v>
      </c>
      <c r="D1540" t="str">
        <f>HYPERLINK("http://nlpdeep.cs.uic.edu:8080/proofing/gsii/522939-allergies-0-0.pdf","gsii/522939-allergies-0-0.pdf")</f>
        <v>gsii/522939-allergies-0-0.pdf</v>
      </c>
      <c r="E1540">
        <v>120842</v>
      </c>
      <c r="F1540">
        <v>522939</v>
      </c>
      <c r="G1540" t="s">
        <v>9</v>
      </c>
      <c r="H1540" t="s">
        <v>64</v>
      </c>
      <c r="I1540" t="s">
        <v>3123</v>
      </c>
    </row>
    <row r="1541" spans="1:9" x14ac:dyDescent="0.2">
      <c r="A1541" t="s">
        <v>3124</v>
      </c>
      <c r="D1541" t="str">
        <f>HYPERLINK("http://nlpdeep.cs.uic.edu:8080/proofing/t5/522939-other-medications-0-0.pdf","t5/522939-other-medications-0-0.pdf")</f>
        <v>t5/522939-other-medications-0-0.pdf</v>
      </c>
      <c r="E1541">
        <v>120842</v>
      </c>
      <c r="F1541">
        <v>522939</v>
      </c>
      <c r="G1541" t="s">
        <v>9</v>
      </c>
      <c r="H1541" t="s">
        <v>67</v>
      </c>
      <c r="I1541" t="s">
        <v>3125</v>
      </c>
    </row>
    <row r="1542" spans="1:9" x14ac:dyDescent="0.2">
      <c r="A1542" t="s">
        <v>3124</v>
      </c>
      <c r="D1542" t="str">
        <f>HYPERLINK("http://nlpdeep.cs.uic.edu:8080/proofing/gsii/522939-other-medications-0-0.pdf","gsii/522939-other-medications-0-0.pdf")</f>
        <v>gsii/522939-other-medications-0-0.pdf</v>
      </c>
      <c r="E1542">
        <v>120842</v>
      </c>
      <c r="F1542">
        <v>522939</v>
      </c>
      <c r="G1542" t="s">
        <v>9</v>
      </c>
      <c r="H1542" t="s">
        <v>67</v>
      </c>
      <c r="I1542" t="s">
        <v>3125</v>
      </c>
    </row>
    <row r="1543" spans="1:9" x14ac:dyDescent="0.2">
      <c r="A1543" t="s">
        <v>3126</v>
      </c>
      <c r="D1543" t="str">
        <f>HYPERLINK("http://nlpdeep.cs.uic.edu:8080/proofing/t5/522939-other-medications-0-1.pdf","t5/522939-other-medications-0-1.pdf")</f>
        <v>t5/522939-other-medications-0-1.pdf</v>
      </c>
      <c r="E1543">
        <v>120842</v>
      </c>
      <c r="F1543">
        <v>522939</v>
      </c>
      <c r="G1543" t="s">
        <v>9</v>
      </c>
      <c r="H1543" t="s">
        <v>67</v>
      </c>
      <c r="I1543" t="s">
        <v>2772</v>
      </c>
    </row>
    <row r="1544" spans="1:9" x14ac:dyDescent="0.2">
      <c r="A1544" t="s">
        <v>3126</v>
      </c>
      <c r="D1544" t="str">
        <f>HYPERLINK("http://nlpdeep.cs.uic.edu:8080/proofing/gsii/522939-other-medications-0-1.pdf","gsii/522939-other-medications-0-1.pdf")</f>
        <v>gsii/522939-other-medications-0-1.pdf</v>
      </c>
      <c r="E1544">
        <v>120842</v>
      </c>
      <c r="F1544">
        <v>522939</v>
      </c>
      <c r="G1544" t="s">
        <v>9</v>
      </c>
      <c r="H1544" t="s">
        <v>67</v>
      </c>
      <c r="I1544" t="s">
        <v>2772</v>
      </c>
    </row>
    <row r="1545" spans="1:9" x14ac:dyDescent="0.2">
      <c r="A1545" t="s">
        <v>3127</v>
      </c>
      <c r="D1545" t="str">
        <f>HYPERLINK("http://nlpdeep.cs.uic.edu:8080/proofing/t5/522939-other-medications-0-2.pdf","t5/522939-other-medications-0-2.pdf")</f>
        <v>t5/522939-other-medications-0-2.pdf</v>
      </c>
      <c r="E1545">
        <v>120842</v>
      </c>
      <c r="F1545">
        <v>522939</v>
      </c>
      <c r="G1545" t="s">
        <v>9</v>
      </c>
      <c r="H1545" t="s">
        <v>67</v>
      </c>
      <c r="I1545" t="s">
        <v>2774</v>
      </c>
    </row>
    <row r="1546" spans="1:9" x14ac:dyDescent="0.2">
      <c r="A1546" t="s">
        <v>3127</v>
      </c>
      <c r="D1546" t="str">
        <f>HYPERLINK("http://nlpdeep.cs.uic.edu:8080/proofing/gsii/522939-other-medications-0-2.pdf","gsii/522939-other-medications-0-2.pdf")</f>
        <v>gsii/522939-other-medications-0-2.pdf</v>
      </c>
      <c r="E1546">
        <v>120842</v>
      </c>
      <c r="F1546">
        <v>522939</v>
      </c>
      <c r="G1546" t="s">
        <v>9</v>
      </c>
      <c r="H1546" t="s">
        <v>67</v>
      </c>
      <c r="I1546" t="s">
        <v>2774</v>
      </c>
    </row>
    <row r="1547" spans="1:9" x14ac:dyDescent="0.2">
      <c r="A1547" t="s">
        <v>3128</v>
      </c>
      <c r="D1547" t="str">
        <f>HYPERLINK("http://nlpdeep.cs.uic.edu:8080/proofing/t5/522939-other-medications-0-3.pdf","t5/522939-other-medications-0-3.pdf")</f>
        <v>t5/522939-other-medications-0-3.pdf</v>
      </c>
      <c r="E1547">
        <v>120842</v>
      </c>
      <c r="F1547">
        <v>522939</v>
      </c>
      <c r="G1547" t="s">
        <v>9</v>
      </c>
      <c r="H1547" t="s">
        <v>67</v>
      </c>
      <c r="I1547" t="s">
        <v>3129</v>
      </c>
    </row>
    <row r="1548" spans="1:9" x14ac:dyDescent="0.2">
      <c r="A1548" t="s">
        <v>3128</v>
      </c>
      <c r="D1548" t="str">
        <f>HYPERLINK("http://nlpdeep.cs.uic.edu:8080/proofing/gsii/522939-other-medications-0-3.pdf","gsii/522939-other-medications-0-3.pdf")</f>
        <v>gsii/522939-other-medications-0-3.pdf</v>
      </c>
      <c r="E1548">
        <v>120842</v>
      </c>
      <c r="F1548">
        <v>522939</v>
      </c>
      <c r="G1548" t="s">
        <v>9</v>
      </c>
      <c r="H1548" t="s">
        <v>67</v>
      </c>
      <c r="I1548" t="s">
        <v>3129</v>
      </c>
    </row>
    <row r="1549" spans="1:9" x14ac:dyDescent="0.2">
      <c r="A1549" t="s">
        <v>3130</v>
      </c>
      <c r="D1549" t="str">
        <f>HYPERLINK("http://nlpdeep.cs.uic.edu:8080/proofing/t5/522939-other-medications-0-4.pdf","t5/522939-other-medications-0-4.pdf")</f>
        <v>t5/522939-other-medications-0-4.pdf</v>
      </c>
      <c r="E1549">
        <v>120842</v>
      </c>
      <c r="F1549">
        <v>522939</v>
      </c>
      <c r="G1549" t="s">
        <v>9</v>
      </c>
      <c r="H1549" t="s">
        <v>67</v>
      </c>
      <c r="I1549" t="s">
        <v>3131</v>
      </c>
    </row>
    <row r="1550" spans="1:9" x14ac:dyDescent="0.2">
      <c r="A1550" t="s">
        <v>3130</v>
      </c>
      <c r="D1550" t="str">
        <f>HYPERLINK("http://nlpdeep.cs.uic.edu:8080/proofing/gsii/522939-other-medications-0-4.pdf","gsii/522939-other-medications-0-4.pdf")</f>
        <v>gsii/522939-other-medications-0-4.pdf</v>
      </c>
      <c r="E1550">
        <v>120842</v>
      </c>
      <c r="F1550">
        <v>522939</v>
      </c>
      <c r="G1550" t="s">
        <v>9</v>
      </c>
      <c r="H1550" t="s">
        <v>67</v>
      </c>
      <c r="I1550" t="s">
        <v>3131</v>
      </c>
    </row>
    <row r="1551" spans="1:9" x14ac:dyDescent="0.2">
      <c r="A1551" t="s">
        <v>3132</v>
      </c>
      <c r="D1551" t="str">
        <f>HYPERLINK("http://nlpdeep.cs.uic.edu:8080/proofing/t5/522939-other-medications-0-5.pdf","t5/522939-other-medications-0-5.pdf")</f>
        <v>t5/522939-other-medications-0-5.pdf</v>
      </c>
      <c r="E1551">
        <v>120842</v>
      </c>
      <c r="F1551">
        <v>522939</v>
      </c>
      <c r="G1551" t="s">
        <v>9</v>
      </c>
      <c r="H1551" t="s">
        <v>67</v>
      </c>
      <c r="I1551" t="s">
        <v>3133</v>
      </c>
    </row>
    <row r="1552" spans="1:9" x14ac:dyDescent="0.2">
      <c r="A1552" t="s">
        <v>3132</v>
      </c>
      <c r="D1552" t="str">
        <f>HYPERLINK("http://nlpdeep.cs.uic.edu:8080/proofing/gsii/522939-other-medications-0-5.pdf","gsii/522939-other-medications-0-5.pdf")</f>
        <v>gsii/522939-other-medications-0-5.pdf</v>
      </c>
      <c r="E1552">
        <v>120842</v>
      </c>
      <c r="F1552">
        <v>522939</v>
      </c>
      <c r="G1552" t="s">
        <v>9</v>
      </c>
      <c r="H1552" t="s">
        <v>67</v>
      </c>
      <c r="I1552" t="s">
        <v>3133</v>
      </c>
    </row>
    <row r="1553" spans="1:9" x14ac:dyDescent="0.2">
      <c r="A1553" t="s">
        <v>3134</v>
      </c>
      <c r="D1553" t="str">
        <f>HYPERLINK("http://nlpdeep.cs.uic.edu:8080/proofing/t5/522939-past-medical-history-0-0.pdf","t5/522939-past-medical-history-0-0.pdf")</f>
        <v>t5/522939-past-medical-history-0-0.pdf</v>
      </c>
      <c r="E1553">
        <v>120842</v>
      </c>
      <c r="F1553">
        <v>522939</v>
      </c>
      <c r="G1553" t="s">
        <v>9</v>
      </c>
      <c r="H1553" t="s">
        <v>76</v>
      </c>
      <c r="I1553" t="s">
        <v>2787</v>
      </c>
    </row>
    <row r="1554" spans="1:9" x14ac:dyDescent="0.2">
      <c r="A1554" t="s">
        <v>3134</v>
      </c>
      <c r="D1554" t="str">
        <f>HYPERLINK("http://nlpdeep.cs.uic.edu:8080/proofing/gsii/522939-past-medical-history-0-0.pdf","gsii/522939-past-medical-history-0-0.pdf")</f>
        <v>gsii/522939-past-medical-history-0-0.pdf</v>
      </c>
      <c r="E1554">
        <v>120842</v>
      </c>
      <c r="F1554">
        <v>522939</v>
      </c>
      <c r="G1554" t="s">
        <v>9</v>
      </c>
      <c r="H1554" t="s">
        <v>76</v>
      </c>
      <c r="I1554" t="s">
        <v>2787</v>
      </c>
    </row>
    <row r="1555" spans="1:9" x14ac:dyDescent="0.2">
      <c r="A1555" t="s">
        <v>3135</v>
      </c>
      <c r="D1555" t="str">
        <f>HYPERLINK("http://nlpdeep.cs.uic.edu:8080/proofing/t5/522939-past-medical-history-0-1.pdf","t5/522939-past-medical-history-0-1.pdf")</f>
        <v>t5/522939-past-medical-history-0-1.pdf</v>
      </c>
      <c r="E1555">
        <v>120842</v>
      </c>
      <c r="F1555">
        <v>522939</v>
      </c>
      <c r="G1555" t="s">
        <v>9</v>
      </c>
      <c r="H1555" t="s">
        <v>76</v>
      </c>
      <c r="I1555" t="s">
        <v>2789</v>
      </c>
    </row>
    <row r="1556" spans="1:9" x14ac:dyDescent="0.2">
      <c r="A1556" t="s">
        <v>3135</v>
      </c>
      <c r="D1556" t="str">
        <f>HYPERLINK("http://nlpdeep.cs.uic.edu:8080/proofing/gsii/522939-past-medical-history-0-1.pdf","gsii/522939-past-medical-history-0-1.pdf")</f>
        <v>gsii/522939-past-medical-history-0-1.pdf</v>
      </c>
      <c r="E1556">
        <v>120842</v>
      </c>
      <c r="F1556">
        <v>522939</v>
      </c>
      <c r="G1556" t="s">
        <v>9</v>
      </c>
      <c r="H1556" t="s">
        <v>76</v>
      </c>
      <c r="I1556" t="s">
        <v>2789</v>
      </c>
    </row>
    <row r="1557" spans="1:9" x14ac:dyDescent="0.2">
      <c r="A1557" t="s">
        <v>3136</v>
      </c>
      <c r="D1557" t="str">
        <f>HYPERLINK("http://nlpdeep.cs.uic.edu:8080/proofing/t5/522939-past-medical-history-0-2.pdf","t5/522939-past-medical-history-0-2.pdf")</f>
        <v>t5/522939-past-medical-history-0-2.pdf</v>
      </c>
      <c r="E1557">
        <v>120842</v>
      </c>
      <c r="F1557">
        <v>522939</v>
      </c>
      <c r="G1557" t="s">
        <v>9</v>
      </c>
      <c r="H1557" t="s">
        <v>76</v>
      </c>
      <c r="I1557" t="s">
        <v>2791</v>
      </c>
    </row>
    <row r="1558" spans="1:9" x14ac:dyDescent="0.2">
      <c r="A1558" t="s">
        <v>3136</v>
      </c>
      <c r="D1558" t="str">
        <f>HYPERLINK("http://nlpdeep.cs.uic.edu:8080/proofing/gsii/522939-past-medical-history-0-2.pdf","gsii/522939-past-medical-history-0-2.pdf")</f>
        <v>gsii/522939-past-medical-history-0-2.pdf</v>
      </c>
      <c r="E1558">
        <v>120842</v>
      </c>
      <c r="F1558">
        <v>522939</v>
      </c>
      <c r="G1558" t="s">
        <v>9</v>
      </c>
      <c r="H1558" t="s">
        <v>76</v>
      </c>
      <c r="I1558" t="s">
        <v>2791</v>
      </c>
    </row>
    <row r="1559" spans="1:9" x14ac:dyDescent="0.2">
      <c r="A1559" t="s">
        <v>3137</v>
      </c>
      <c r="D1559" t="str">
        <f>HYPERLINK("http://nlpdeep.cs.uic.edu:8080/proofing/t5/522939-past-medical-history-0-3.pdf","t5/522939-past-medical-history-0-3.pdf")</f>
        <v>t5/522939-past-medical-history-0-3.pdf</v>
      </c>
      <c r="E1559">
        <v>120842</v>
      </c>
      <c r="F1559">
        <v>522939</v>
      </c>
      <c r="G1559" t="s">
        <v>9</v>
      </c>
      <c r="H1559" t="s">
        <v>76</v>
      </c>
      <c r="I1559" t="s">
        <v>2793</v>
      </c>
    </row>
    <row r="1560" spans="1:9" x14ac:dyDescent="0.2">
      <c r="A1560" t="s">
        <v>3137</v>
      </c>
      <c r="D1560" t="str">
        <f>HYPERLINK("http://nlpdeep.cs.uic.edu:8080/proofing/gsii/522939-past-medical-history-0-3.pdf","gsii/522939-past-medical-history-0-3.pdf")</f>
        <v>gsii/522939-past-medical-history-0-3.pdf</v>
      </c>
      <c r="E1560">
        <v>120842</v>
      </c>
      <c r="F1560">
        <v>522939</v>
      </c>
      <c r="G1560" t="s">
        <v>9</v>
      </c>
      <c r="H1560" t="s">
        <v>76</v>
      </c>
      <c r="I1560" t="s">
        <v>2793</v>
      </c>
    </row>
    <row r="1561" spans="1:9" x14ac:dyDescent="0.2">
      <c r="A1561" t="s">
        <v>3138</v>
      </c>
      <c r="D1561" t="str">
        <f>HYPERLINK("http://nlpdeep.cs.uic.edu:8080/proofing/t5/522939-past-medical-history-0-4.pdf","t5/522939-past-medical-history-0-4.pdf")</f>
        <v>t5/522939-past-medical-history-0-4.pdf</v>
      </c>
      <c r="E1561">
        <v>120842</v>
      </c>
      <c r="F1561">
        <v>522939</v>
      </c>
      <c r="G1561" t="s">
        <v>9</v>
      </c>
      <c r="H1561" t="s">
        <v>76</v>
      </c>
      <c r="I1561" t="s">
        <v>2795</v>
      </c>
    </row>
    <row r="1562" spans="1:9" x14ac:dyDescent="0.2">
      <c r="A1562" t="s">
        <v>3138</v>
      </c>
      <c r="D1562" t="str">
        <f>HYPERLINK("http://nlpdeep.cs.uic.edu:8080/proofing/gsii/522939-past-medical-history-0-4.pdf","gsii/522939-past-medical-history-0-4.pdf")</f>
        <v>gsii/522939-past-medical-history-0-4.pdf</v>
      </c>
      <c r="E1562">
        <v>120842</v>
      </c>
      <c r="F1562">
        <v>522939</v>
      </c>
      <c r="G1562" t="s">
        <v>9</v>
      </c>
      <c r="H1562" t="s">
        <v>76</v>
      </c>
      <c r="I1562" t="s">
        <v>2795</v>
      </c>
    </row>
    <row r="1563" spans="1:9" x14ac:dyDescent="0.2">
      <c r="A1563" t="s">
        <v>3139</v>
      </c>
      <c r="D1563" t="str">
        <f>HYPERLINK("http://nlpdeep.cs.uic.edu:8080/proofing/t5/522939-past-medical-history-0-5.pdf","t5/522939-past-medical-history-0-5.pdf")</f>
        <v>t5/522939-past-medical-history-0-5.pdf</v>
      </c>
      <c r="E1563">
        <v>120842</v>
      </c>
      <c r="F1563">
        <v>522939</v>
      </c>
      <c r="G1563" t="s">
        <v>9</v>
      </c>
      <c r="H1563" t="s">
        <v>76</v>
      </c>
      <c r="I1563" t="s">
        <v>3140</v>
      </c>
    </row>
    <row r="1564" spans="1:9" x14ac:dyDescent="0.2">
      <c r="A1564" t="s">
        <v>3139</v>
      </c>
      <c r="D1564" t="str">
        <f>HYPERLINK("http://nlpdeep.cs.uic.edu:8080/proofing/gsii/522939-past-medical-history-0-5.pdf","gsii/522939-past-medical-history-0-5.pdf")</f>
        <v>gsii/522939-past-medical-history-0-5.pdf</v>
      </c>
      <c r="E1564">
        <v>120842</v>
      </c>
      <c r="F1564">
        <v>522939</v>
      </c>
      <c r="G1564" t="s">
        <v>9</v>
      </c>
      <c r="H1564" t="s">
        <v>76</v>
      </c>
      <c r="I1564" t="s">
        <v>3140</v>
      </c>
    </row>
    <row r="1565" spans="1:9" x14ac:dyDescent="0.2">
      <c r="A1565" t="s">
        <v>3141</v>
      </c>
      <c r="D1565" t="str">
        <f>HYPERLINK("http://nlpdeep.cs.uic.edu:8080/proofing/t5/522939-family-history-0-0.pdf","t5/522939-family-history-0-0.pdf")</f>
        <v>t5/522939-family-history-0-0.pdf</v>
      </c>
      <c r="E1565">
        <v>120842</v>
      </c>
      <c r="F1565">
        <v>522939</v>
      </c>
      <c r="G1565" t="s">
        <v>9</v>
      </c>
      <c r="H1565" t="s">
        <v>107</v>
      </c>
      <c r="I1565" t="s">
        <v>2800</v>
      </c>
    </row>
    <row r="1566" spans="1:9" x14ac:dyDescent="0.2">
      <c r="A1566" t="s">
        <v>3141</v>
      </c>
      <c r="D1566" t="str">
        <f>HYPERLINK("http://nlpdeep.cs.uic.edu:8080/proofing/gsii/522939-family-history-0-0.pdf","gsii/522939-family-history-0-0.pdf")</f>
        <v>gsii/522939-family-history-0-0.pdf</v>
      </c>
      <c r="E1566">
        <v>120842</v>
      </c>
      <c r="F1566">
        <v>522939</v>
      </c>
      <c r="G1566" t="s">
        <v>9</v>
      </c>
      <c r="H1566" t="s">
        <v>107</v>
      </c>
      <c r="I1566" t="s">
        <v>2800</v>
      </c>
    </row>
    <row r="1567" spans="1:9" x14ac:dyDescent="0.2">
      <c r="A1567" t="s">
        <v>3142</v>
      </c>
      <c r="D1567" t="str">
        <f>HYPERLINK("http://nlpdeep.cs.uic.edu:8080/proofing/t5/522939-family-history-0-1.pdf","t5/522939-family-history-0-1.pdf")</f>
        <v>t5/522939-family-history-0-1.pdf</v>
      </c>
      <c r="E1567">
        <v>120842</v>
      </c>
      <c r="F1567">
        <v>522939</v>
      </c>
      <c r="G1567" t="s">
        <v>9</v>
      </c>
      <c r="H1567" t="s">
        <v>107</v>
      </c>
      <c r="I1567" t="s">
        <v>2802</v>
      </c>
    </row>
    <row r="1568" spans="1:9" x14ac:dyDescent="0.2">
      <c r="A1568" t="s">
        <v>3142</v>
      </c>
      <c r="D1568" t="str">
        <f>HYPERLINK("http://nlpdeep.cs.uic.edu:8080/proofing/gsii/522939-family-history-0-1.pdf","gsii/522939-family-history-0-1.pdf")</f>
        <v>gsii/522939-family-history-0-1.pdf</v>
      </c>
      <c r="E1568">
        <v>120842</v>
      </c>
      <c r="F1568">
        <v>522939</v>
      </c>
      <c r="G1568" t="s">
        <v>9</v>
      </c>
      <c r="H1568" t="s">
        <v>107</v>
      </c>
      <c r="I1568" t="s">
        <v>2802</v>
      </c>
    </row>
    <row r="1569" spans="1:9" x14ac:dyDescent="0.2">
      <c r="A1569" t="s">
        <v>3143</v>
      </c>
      <c r="D1569" t="str">
        <f>HYPERLINK("http://nlpdeep.cs.uic.edu:8080/proofing/t5/522939-social-history-0-0.pdf","t5/522939-social-history-0-0.pdf")</f>
        <v>t5/522939-social-history-0-0.pdf</v>
      </c>
      <c r="E1569">
        <v>120842</v>
      </c>
      <c r="F1569">
        <v>522939</v>
      </c>
      <c r="G1569" t="s">
        <v>9</v>
      </c>
      <c r="H1569" t="s">
        <v>118</v>
      </c>
      <c r="I1569" t="s">
        <v>2804</v>
      </c>
    </row>
    <row r="1570" spans="1:9" x14ac:dyDescent="0.2">
      <c r="A1570" t="s">
        <v>3143</v>
      </c>
      <c r="D1570" t="str">
        <f>HYPERLINK("http://nlpdeep.cs.uic.edu:8080/proofing/gsii/522939-social-history-0-0.pdf","gsii/522939-social-history-0-0.pdf")</f>
        <v>gsii/522939-social-history-0-0.pdf</v>
      </c>
      <c r="E1570">
        <v>120842</v>
      </c>
      <c r="F1570">
        <v>522939</v>
      </c>
      <c r="G1570" t="s">
        <v>9</v>
      </c>
      <c r="H1570" t="s">
        <v>118</v>
      </c>
      <c r="I1570" t="s">
        <v>2804</v>
      </c>
    </row>
    <row r="1571" spans="1:9" x14ac:dyDescent="0.2">
      <c r="A1571" t="s">
        <v>3144</v>
      </c>
      <c r="D1571" t="str">
        <f>HYPERLINK("http://nlpdeep.cs.uic.edu:8080/proofing/t5/522939-social-history-0-1.pdf","t5/522939-social-history-0-1.pdf")</f>
        <v>t5/522939-social-history-0-1.pdf</v>
      </c>
      <c r="E1571">
        <v>120842</v>
      </c>
      <c r="F1571">
        <v>522939</v>
      </c>
      <c r="G1571" t="s">
        <v>9</v>
      </c>
      <c r="H1571" t="s">
        <v>118</v>
      </c>
      <c r="I1571" t="s">
        <v>3145</v>
      </c>
    </row>
    <row r="1572" spans="1:9" x14ac:dyDescent="0.2">
      <c r="A1572" t="s">
        <v>3144</v>
      </c>
      <c r="D1572" t="str">
        <f>HYPERLINK("http://nlpdeep.cs.uic.edu:8080/proofing/gsii/522939-social-history-0-1.pdf","gsii/522939-social-history-0-1.pdf")</f>
        <v>gsii/522939-social-history-0-1.pdf</v>
      </c>
      <c r="E1572">
        <v>120842</v>
      </c>
      <c r="F1572">
        <v>522939</v>
      </c>
      <c r="G1572" t="s">
        <v>9</v>
      </c>
      <c r="H1572" t="s">
        <v>118</v>
      </c>
      <c r="I1572" t="s">
        <v>3145</v>
      </c>
    </row>
    <row r="1573" spans="1:9" x14ac:dyDescent="0.2">
      <c r="A1573" t="s">
        <v>3146</v>
      </c>
      <c r="D1573" t="str">
        <f>HYPERLINK("http://nlpdeep.cs.uic.edu:8080/proofing/t5/522939-review-of-systems-0-0.pdf","t5/522939-review-of-systems-0-0.pdf")</f>
        <v>t5/522939-review-of-systems-0-0.pdf</v>
      </c>
      <c r="E1573">
        <v>120842</v>
      </c>
      <c r="F1573">
        <v>522939</v>
      </c>
      <c r="G1573" t="s">
        <v>9</v>
      </c>
      <c r="H1573" t="s">
        <v>393</v>
      </c>
      <c r="I1573" t="s">
        <v>3147</v>
      </c>
    </row>
    <row r="1574" spans="1:9" x14ac:dyDescent="0.2">
      <c r="A1574" t="s">
        <v>3146</v>
      </c>
      <c r="D1574" t="str">
        <f>HYPERLINK("http://nlpdeep.cs.uic.edu:8080/proofing/gsii/522939-review-of-systems-0-0.pdf","gsii/522939-review-of-systems-0-0.pdf")</f>
        <v>gsii/522939-review-of-systems-0-0.pdf</v>
      </c>
      <c r="E1574">
        <v>120842</v>
      </c>
      <c r="F1574">
        <v>522939</v>
      </c>
      <c r="G1574" t="s">
        <v>9</v>
      </c>
      <c r="H1574" t="s">
        <v>393</v>
      </c>
      <c r="I1574" t="s">
        <v>3147</v>
      </c>
    </row>
    <row r="1575" spans="1:9" x14ac:dyDescent="0.2">
      <c r="A1575" t="s">
        <v>3148</v>
      </c>
      <c r="D1575" t="str">
        <f>HYPERLINK("http://nlpdeep.cs.uic.edu:8080/proofing/t5/522939-review-of-systems-0-1.pdf","t5/522939-review-of-systems-0-1.pdf")</f>
        <v>t5/522939-review-of-systems-0-1.pdf</v>
      </c>
      <c r="E1575">
        <v>120842</v>
      </c>
      <c r="F1575">
        <v>522939</v>
      </c>
      <c r="G1575" t="s">
        <v>9</v>
      </c>
      <c r="H1575" t="s">
        <v>393</v>
      </c>
      <c r="I1575" t="s">
        <v>3149</v>
      </c>
    </row>
    <row r="1576" spans="1:9" x14ac:dyDescent="0.2">
      <c r="A1576" t="s">
        <v>3148</v>
      </c>
      <c r="D1576" t="str">
        <f>HYPERLINK("http://nlpdeep.cs.uic.edu:8080/proofing/gsii/522939-review-of-systems-0-1.pdf","gsii/522939-review-of-systems-0-1.pdf")</f>
        <v>gsii/522939-review-of-systems-0-1.pdf</v>
      </c>
      <c r="E1576">
        <v>120842</v>
      </c>
      <c r="F1576">
        <v>522939</v>
      </c>
      <c r="G1576" t="s">
        <v>9</v>
      </c>
      <c r="H1576" t="s">
        <v>393</v>
      </c>
      <c r="I1576" t="s">
        <v>3149</v>
      </c>
    </row>
    <row r="1577" spans="1:9" x14ac:dyDescent="0.2">
      <c r="A1577" t="s">
        <v>3150</v>
      </c>
      <c r="D1577" t="str">
        <f>HYPERLINK("http://nlpdeep.cs.uic.edu:8080/proofing/t5/522939-review-of-systems-0-2.pdf","t5/522939-review-of-systems-0-2.pdf")</f>
        <v>t5/522939-review-of-systems-0-2.pdf</v>
      </c>
      <c r="E1577">
        <v>120842</v>
      </c>
      <c r="F1577">
        <v>522939</v>
      </c>
      <c r="G1577" t="s">
        <v>9</v>
      </c>
      <c r="H1577" t="s">
        <v>393</v>
      </c>
      <c r="I1577" t="s">
        <v>3151</v>
      </c>
    </row>
    <row r="1578" spans="1:9" x14ac:dyDescent="0.2">
      <c r="A1578" t="s">
        <v>3150</v>
      </c>
      <c r="D1578" t="str">
        <f>HYPERLINK("http://nlpdeep.cs.uic.edu:8080/proofing/gsii/522939-review-of-systems-0-2.pdf","gsii/522939-review-of-systems-0-2.pdf")</f>
        <v>gsii/522939-review-of-systems-0-2.pdf</v>
      </c>
      <c r="E1578">
        <v>120842</v>
      </c>
      <c r="F1578">
        <v>522939</v>
      </c>
      <c r="G1578" t="s">
        <v>9</v>
      </c>
      <c r="H1578" t="s">
        <v>393</v>
      </c>
      <c r="I1578" t="s">
        <v>3151</v>
      </c>
    </row>
    <row r="1579" spans="1:9" x14ac:dyDescent="0.2">
      <c r="A1579" t="s">
        <v>3152</v>
      </c>
      <c r="D1579" t="str">
        <f>HYPERLINK("http://nlpdeep.cs.uic.edu:8080/proofing/t5/522939-review-of-systems-0-3.pdf","t5/522939-review-of-systems-0-3.pdf")</f>
        <v>t5/522939-review-of-systems-0-3.pdf</v>
      </c>
      <c r="E1579">
        <v>120842</v>
      </c>
      <c r="F1579">
        <v>522939</v>
      </c>
      <c r="G1579" t="s">
        <v>9</v>
      </c>
      <c r="H1579" t="s">
        <v>393</v>
      </c>
      <c r="I1579" t="s">
        <v>3153</v>
      </c>
    </row>
    <row r="1580" spans="1:9" x14ac:dyDescent="0.2">
      <c r="A1580" t="s">
        <v>3152</v>
      </c>
      <c r="D1580" t="str">
        <f>HYPERLINK("http://nlpdeep.cs.uic.edu:8080/proofing/gsii/522939-review-of-systems-0-3.pdf","gsii/522939-review-of-systems-0-3.pdf")</f>
        <v>gsii/522939-review-of-systems-0-3.pdf</v>
      </c>
      <c r="E1580">
        <v>120842</v>
      </c>
      <c r="F1580">
        <v>522939</v>
      </c>
      <c r="G1580" t="s">
        <v>9</v>
      </c>
      <c r="H1580" t="s">
        <v>393</v>
      </c>
      <c r="I1580" t="s">
        <v>3153</v>
      </c>
    </row>
    <row r="1581" spans="1:9" x14ac:dyDescent="0.2">
      <c r="A1581" t="s">
        <v>3154</v>
      </c>
      <c r="D1581" t="str">
        <f>HYPERLINK("http://nlpdeep.cs.uic.edu:8080/proofing/t5/522939-review-of-systems-0-4.pdf","t5/522939-review-of-systems-0-4.pdf")</f>
        <v>t5/522939-review-of-systems-0-4.pdf</v>
      </c>
      <c r="E1581">
        <v>120842</v>
      </c>
      <c r="F1581">
        <v>522939</v>
      </c>
      <c r="G1581" t="s">
        <v>9</v>
      </c>
      <c r="H1581" t="s">
        <v>393</v>
      </c>
      <c r="I1581" t="s">
        <v>3155</v>
      </c>
    </row>
    <row r="1582" spans="1:9" x14ac:dyDescent="0.2">
      <c r="A1582" t="s">
        <v>3154</v>
      </c>
      <c r="D1582" t="str">
        <f>HYPERLINK("http://nlpdeep.cs.uic.edu:8080/proofing/gsii/522939-review-of-systems-0-4.pdf","gsii/522939-review-of-systems-0-4.pdf")</f>
        <v>gsii/522939-review-of-systems-0-4.pdf</v>
      </c>
      <c r="E1582">
        <v>120842</v>
      </c>
      <c r="F1582">
        <v>522939</v>
      </c>
      <c r="G1582" t="s">
        <v>9</v>
      </c>
      <c r="H1582" t="s">
        <v>393</v>
      </c>
      <c r="I1582" t="s">
        <v>3155</v>
      </c>
    </row>
    <row r="1583" spans="1:9" x14ac:dyDescent="0.2">
      <c r="A1583" t="s">
        <v>3156</v>
      </c>
      <c r="D1583" t="str">
        <f>HYPERLINK("http://nlpdeep.cs.uic.edu:8080/proofing/t5/522939-review-of-systems-0-5.pdf","t5/522939-review-of-systems-0-5.pdf")</f>
        <v>t5/522939-review-of-systems-0-5.pdf</v>
      </c>
      <c r="E1583">
        <v>120842</v>
      </c>
      <c r="F1583">
        <v>522939</v>
      </c>
      <c r="G1583" t="s">
        <v>9</v>
      </c>
      <c r="H1583" t="s">
        <v>393</v>
      </c>
      <c r="I1583" t="s">
        <v>3157</v>
      </c>
    </row>
    <row r="1584" spans="1:9" x14ac:dyDescent="0.2">
      <c r="A1584" t="s">
        <v>3156</v>
      </c>
      <c r="D1584" t="str">
        <f>HYPERLINK("http://nlpdeep.cs.uic.edu:8080/proofing/gsii/522939-review-of-systems-0-5.pdf","gsii/522939-review-of-systems-0-5.pdf")</f>
        <v>gsii/522939-review-of-systems-0-5.pdf</v>
      </c>
      <c r="E1584">
        <v>120842</v>
      </c>
      <c r="F1584">
        <v>522939</v>
      </c>
      <c r="G1584" t="s">
        <v>9</v>
      </c>
      <c r="H1584" t="s">
        <v>393</v>
      </c>
      <c r="I1584" t="s">
        <v>3157</v>
      </c>
    </row>
    <row r="1585" spans="1:9" x14ac:dyDescent="0.2">
      <c r="A1585" t="s">
        <v>3158</v>
      </c>
      <c r="D1585" t="str">
        <f>HYPERLINK("http://nlpdeep.cs.uic.edu:8080/proofing/t5/522939-review-of-systems-0-6.pdf","t5/522939-review-of-systems-0-6.pdf")</f>
        <v>t5/522939-review-of-systems-0-6.pdf</v>
      </c>
      <c r="E1585">
        <v>120842</v>
      </c>
      <c r="F1585">
        <v>522939</v>
      </c>
      <c r="G1585" t="s">
        <v>9</v>
      </c>
      <c r="H1585" t="s">
        <v>393</v>
      </c>
      <c r="I1585" t="s">
        <v>3159</v>
      </c>
    </row>
    <row r="1586" spans="1:9" x14ac:dyDescent="0.2">
      <c r="A1586" t="s">
        <v>3158</v>
      </c>
      <c r="D1586" t="str">
        <f>HYPERLINK("http://nlpdeep.cs.uic.edu:8080/proofing/gsii/522939-review-of-systems-0-6.pdf","gsii/522939-review-of-systems-0-6.pdf")</f>
        <v>gsii/522939-review-of-systems-0-6.pdf</v>
      </c>
      <c r="E1586">
        <v>120842</v>
      </c>
      <c r="F1586">
        <v>522939</v>
      </c>
      <c r="G1586" t="s">
        <v>9</v>
      </c>
      <c r="H1586" t="s">
        <v>393</v>
      </c>
      <c r="I1586" t="s">
        <v>3159</v>
      </c>
    </row>
    <row r="1587" spans="1:9" x14ac:dyDescent="0.2">
      <c r="A1587" t="s">
        <v>3160</v>
      </c>
      <c r="D1587" t="str">
        <f>HYPERLINK("http://nlpdeep.cs.uic.edu:8080/proofing/t5/522939-flowsheet-data-vitals-0-0.pdf","t5/522939-flowsheet-data-vitals-0-0.pdf")</f>
        <v>t5/522939-flowsheet-data-vitals-0-0.pdf</v>
      </c>
      <c r="E1587">
        <v>120842</v>
      </c>
      <c r="F1587">
        <v>522939</v>
      </c>
      <c r="G1587" t="s">
        <v>9</v>
      </c>
      <c r="H1587" t="s">
        <v>135</v>
      </c>
      <c r="I1587" t="s">
        <v>3161</v>
      </c>
    </row>
    <row r="1588" spans="1:9" x14ac:dyDescent="0.2">
      <c r="A1588" t="s">
        <v>3160</v>
      </c>
      <c r="D1588" t="str">
        <f>HYPERLINK("http://nlpdeep.cs.uic.edu:8080/proofing/gsii/522939-flowsheet-data-vitals-0-0.pdf","gsii/522939-flowsheet-data-vitals-0-0.pdf")</f>
        <v>gsii/522939-flowsheet-data-vitals-0-0.pdf</v>
      </c>
      <c r="E1588">
        <v>120842</v>
      </c>
      <c r="F1588">
        <v>522939</v>
      </c>
      <c r="G1588" t="s">
        <v>9</v>
      </c>
      <c r="H1588" t="s">
        <v>135</v>
      </c>
      <c r="I1588" t="s">
        <v>3161</v>
      </c>
    </row>
    <row r="1589" spans="1:9" x14ac:dyDescent="0.2">
      <c r="A1589" t="s">
        <v>3162</v>
      </c>
      <c r="D1589" t="str">
        <f>HYPERLINK("http://nlpdeep.cs.uic.edu:8080/proofing/t5/522939-physical-examination-0-0.pdf","t5/522939-physical-examination-0-0.pdf")</f>
        <v>t5/522939-physical-examination-0-0.pdf</v>
      </c>
      <c r="E1589">
        <v>120842</v>
      </c>
      <c r="F1589">
        <v>522939</v>
      </c>
      <c r="G1589" t="s">
        <v>9</v>
      </c>
      <c r="H1589" t="s">
        <v>138</v>
      </c>
      <c r="I1589" t="s">
        <v>3163</v>
      </c>
    </row>
    <row r="1590" spans="1:9" x14ac:dyDescent="0.2">
      <c r="A1590" t="s">
        <v>3162</v>
      </c>
      <c r="D1590" t="str">
        <f>HYPERLINK("http://nlpdeep.cs.uic.edu:8080/proofing/gsii/522939-physical-examination-0-0.pdf","gsii/522939-physical-examination-0-0.pdf")</f>
        <v>gsii/522939-physical-examination-0-0.pdf</v>
      </c>
      <c r="E1590">
        <v>120842</v>
      </c>
      <c r="F1590">
        <v>522939</v>
      </c>
      <c r="G1590" t="s">
        <v>9</v>
      </c>
      <c r="H1590" t="s">
        <v>138</v>
      </c>
      <c r="I1590" t="s">
        <v>3163</v>
      </c>
    </row>
    <row r="1591" spans="1:9" x14ac:dyDescent="0.2">
      <c r="A1591" t="s">
        <v>3164</v>
      </c>
      <c r="D1591" t="str">
        <f>HYPERLINK("http://nlpdeep.cs.uic.edu:8080/proofing/t5/522939-physical-examination-0-1.pdf","t5/522939-physical-examination-0-1.pdf")</f>
        <v>t5/522939-physical-examination-0-1.pdf</v>
      </c>
      <c r="E1591">
        <v>120842</v>
      </c>
      <c r="F1591">
        <v>522939</v>
      </c>
      <c r="G1591" t="s">
        <v>9</v>
      </c>
      <c r="H1591" t="s">
        <v>138</v>
      </c>
      <c r="I1591" t="s">
        <v>3165</v>
      </c>
    </row>
    <row r="1592" spans="1:9" x14ac:dyDescent="0.2">
      <c r="A1592" t="s">
        <v>3164</v>
      </c>
      <c r="D1592" t="str">
        <f>HYPERLINK("http://nlpdeep.cs.uic.edu:8080/proofing/gsii/522939-physical-examination-0-1.pdf","gsii/522939-physical-examination-0-1.pdf")</f>
        <v>gsii/522939-physical-examination-0-1.pdf</v>
      </c>
      <c r="E1592">
        <v>120842</v>
      </c>
      <c r="F1592">
        <v>522939</v>
      </c>
      <c r="G1592" t="s">
        <v>9</v>
      </c>
      <c r="H1592" t="s">
        <v>138</v>
      </c>
      <c r="I1592" t="s">
        <v>3165</v>
      </c>
    </row>
    <row r="1593" spans="1:9" x14ac:dyDescent="0.2">
      <c r="A1593" t="s">
        <v>3166</v>
      </c>
      <c r="D1593" t="str">
        <f>HYPERLINK("http://nlpdeep.cs.uic.edu:8080/proofing/t5/522939-labs-imaging-0-0.pdf","t5/522939-labs-imaging-0-0.pdf")</f>
        <v>t5/522939-labs-imaging-0-0.pdf</v>
      </c>
      <c r="E1593">
        <v>120842</v>
      </c>
      <c r="F1593">
        <v>522939</v>
      </c>
      <c r="G1593" t="s">
        <v>9</v>
      </c>
      <c r="H1593" t="s">
        <v>147</v>
      </c>
      <c r="I1593" t="s">
        <v>3167</v>
      </c>
    </row>
    <row r="1594" spans="1:9" x14ac:dyDescent="0.2">
      <c r="A1594" t="s">
        <v>3166</v>
      </c>
      <c r="D1594" t="str">
        <f>HYPERLINK("http://nlpdeep.cs.uic.edu:8080/proofing/gsii/522939-labs-imaging-0-0.pdf","gsii/522939-labs-imaging-0-0.pdf")</f>
        <v>gsii/522939-labs-imaging-0-0.pdf</v>
      </c>
      <c r="E1594">
        <v>120842</v>
      </c>
      <c r="F1594">
        <v>522939</v>
      </c>
      <c r="G1594" t="s">
        <v>9</v>
      </c>
      <c r="H1594" t="s">
        <v>147</v>
      </c>
      <c r="I1594" t="s">
        <v>3167</v>
      </c>
    </row>
    <row r="1595" spans="1:9" x14ac:dyDescent="0.2">
      <c r="A1595" t="s">
        <v>3168</v>
      </c>
      <c r="D1595" t="str">
        <f>HYPERLINK("http://nlpdeep.cs.uic.edu:8080/proofing/t5/522939-labs-imaging-0-1.pdf","t5/522939-labs-imaging-0-1.pdf")</f>
        <v>t5/522939-labs-imaging-0-1.pdf</v>
      </c>
      <c r="E1595">
        <v>120842</v>
      </c>
      <c r="F1595">
        <v>522939</v>
      </c>
      <c r="G1595" t="s">
        <v>9</v>
      </c>
      <c r="H1595" t="s">
        <v>147</v>
      </c>
      <c r="I1595" t="s">
        <v>3169</v>
      </c>
    </row>
    <row r="1596" spans="1:9" x14ac:dyDescent="0.2">
      <c r="A1596" t="s">
        <v>3168</v>
      </c>
      <c r="D1596" t="str">
        <f>HYPERLINK("http://nlpdeep.cs.uic.edu:8080/proofing/gsii/522939-labs-imaging-0-1.pdf","gsii/522939-labs-imaging-0-1.pdf")</f>
        <v>gsii/522939-labs-imaging-0-1.pdf</v>
      </c>
      <c r="E1596">
        <v>120842</v>
      </c>
      <c r="F1596">
        <v>522939</v>
      </c>
      <c r="G1596" t="s">
        <v>9</v>
      </c>
      <c r="H1596" t="s">
        <v>147</v>
      </c>
      <c r="I1596" t="s">
        <v>3169</v>
      </c>
    </row>
    <row r="1597" spans="1:9" x14ac:dyDescent="0.2">
      <c r="A1597" t="s">
        <v>3170</v>
      </c>
      <c r="D1597" t="str">
        <f>HYPERLINK("http://nlpdeep.cs.uic.edu:8080/proofing/t5/522939-labs-imaging-0-2.pdf","t5/522939-labs-imaging-0-2.pdf")</f>
        <v>t5/522939-labs-imaging-0-2.pdf</v>
      </c>
      <c r="E1597">
        <v>120842</v>
      </c>
      <c r="F1597">
        <v>522939</v>
      </c>
      <c r="G1597" t="s">
        <v>9</v>
      </c>
      <c r="H1597" t="s">
        <v>147</v>
      </c>
      <c r="I1597" t="s">
        <v>3171</v>
      </c>
    </row>
    <row r="1598" spans="1:9" x14ac:dyDescent="0.2">
      <c r="A1598" t="s">
        <v>3170</v>
      </c>
      <c r="D1598" t="str">
        <f>HYPERLINK("http://nlpdeep.cs.uic.edu:8080/proofing/gsii/522939-labs-imaging-0-2.pdf","gsii/522939-labs-imaging-0-2.pdf")</f>
        <v>gsii/522939-labs-imaging-0-2.pdf</v>
      </c>
      <c r="E1598">
        <v>120842</v>
      </c>
      <c r="F1598">
        <v>522939</v>
      </c>
      <c r="G1598" t="s">
        <v>9</v>
      </c>
      <c r="H1598" t="s">
        <v>147</v>
      </c>
      <c r="I1598" t="s">
        <v>3171</v>
      </c>
    </row>
    <row r="1599" spans="1:9" x14ac:dyDescent="0.2">
      <c r="A1599" t="s">
        <v>3172</v>
      </c>
      <c r="D1599" t="str">
        <f>HYPERLINK("http://nlpdeep.cs.uic.edu:8080/proofing/t5/522939-labs-imaging-0-3.pdf","t5/522939-labs-imaging-0-3.pdf")</f>
        <v>t5/522939-labs-imaging-0-3.pdf</v>
      </c>
      <c r="E1599">
        <v>120842</v>
      </c>
      <c r="F1599">
        <v>522939</v>
      </c>
      <c r="G1599" t="s">
        <v>9</v>
      </c>
      <c r="H1599" t="s">
        <v>147</v>
      </c>
      <c r="I1599" t="s">
        <v>3173</v>
      </c>
    </row>
    <row r="1600" spans="1:9" x14ac:dyDescent="0.2">
      <c r="A1600" t="s">
        <v>3172</v>
      </c>
      <c r="D1600" t="str">
        <f>HYPERLINK("http://nlpdeep.cs.uic.edu:8080/proofing/gsii/522939-labs-imaging-0-3.pdf","gsii/522939-labs-imaging-0-3.pdf")</f>
        <v>gsii/522939-labs-imaging-0-3.pdf</v>
      </c>
      <c r="E1600">
        <v>120842</v>
      </c>
      <c r="F1600">
        <v>522939</v>
      </c>
      <c r="G1600" t="s">
        <v>9</v>
      </c>
      <c r="H1600" t="s">
        <v>147</v>
      </c>
      <c r="I1600" t="s">
        <v>3173</v>
      </c>
    </row>
    <row r="1601" spans="1:9" x14ac:dyDescent="0.2">
      <c r="A1601" t="s">
        <v>3174</v>
      </c>
      <c r="D1601" t="str">
        <f>HYPERLINK("http://nlpdeep.cs.uic.edu:8080/proofing/t5/522939-labs-imaging-0-4.pdf","t5/522939-labs-imaging-0-4.pdf")</f>
        <v>t5/522939-labs-imaging-0-4.pdf</v>
      </c>
      <c r="E1601">
        <v>120842</v>
      </c>
      <c r="F1601">
        <v>522939</v>
      </c>
      <c r="G1601" t="s">
        <v>9</v>
      </c>
      <c r="H1601" t="s">
        <v>147</v>
      </c>
      <c r="I1601" t="s">
        <v>3175</v>
      </c>
    </row>
    <row r="1602" spans="1:9" x14ac:dyDescent="0.2">
      <c r="A1602" t="s">
        <v>3174</v>
      </c>
      <c r="D1602" t="str">
        <f>HYPERLINK("http://nlpdeep.cs.uic.edu:8080/proofing/gsii/522939-labs-imaging-0-4.pdf","gsii/522939-labs-imaging-0-4.pdf")</f>
        <v>gsii/522939-labs-imaging-0-4.pdf</v>
      </c>
      <c r="E1602">
        <v>120842</v>
      </c>
      <c r="F1602">
        <v>522939</v>
      </c>
      <c r="G1602" t="s">
        <v>9</v>
      </c>
      <c r="H1602" t="s">
        <v>147</v>
      </c>
      <c r="I1602" t="s">
        <v>3175</v>
      </c>
    </row>
    <row r="1603" spans="1:9" x14ac:dyDescent="0.2">
      <c r="A1603" t="s">
        <v>3176</v>
      </c>
      <c r="D1603" t="str">
        <f>HYPERLINK("http://nlpdeep.cs.uic.edu:8080/proofing/t5/522939-labs-imaging-0-5.pdf","t5/522939-labs-imaging-0-5.pdf")</f>
        <v>t5/522939-labs-imaging-0-5.pdf</v>
      </c>
      <c r="E1603">
        <v>120842</v>
      </c>
      <c r="F1603">
        <v>522939</v>
      </c>
      <c r="G1603" t="s">
        <v>9</v>
      </c>
      <c r="H1603" t="s">
        <v>147</v>
      </c>
      <c r="I1603" t="s">
        <v>3177</v>
      </c>
    </row>
    <row r="1604" spans="1:9" x14ac:dyDescent="0.2">
      <c r="A1604" t="s">
        <v>3176</v>
      </c>
      <c r="D1604" t="str">
        <f>HYPERLINK("http://nlpdeep.cs.uic.edu:8080/proofing/gsii/522939-labs-imaging-0-5.pdf","gsii/522939-labs-imaging-0-5.pdf")</f>
        <v>gsii/522939-labs-imaging-0-5.pdf</v>
      </c>
      <c r="E1604">
        <v>120842</v>
      </c>
      <c r="F1604">
        <v>522939</v>
      </c>
      <c r="G1604" t="s">
        <v>9</v>
      </c>
      <c r="H1604" t="s">
        <v>147</v>
      </c>
      <c r="I1604" t="s">
        <v>3177</v>
      </c>
    </row>
    <row r="1605" spans="1:9" x14ac:dyDescent="0.2">
      <c r="A1605" t="s">
        <v>3178</v>
      </c>
      <c r="D1605" t="str">
        <f>HYPERLINK("http://nlpdeep.cs.uic.edu:8080/proofing/t5/522939-labs-imaging-0-6.pdf","t5/522939-labs-imaging-0-6.pdf")</f>
        <v>t5/522939-labs-imaging-0-6.pdf</v>
      </c>
      <c r="E1605">
        <v>120842</v>
      </c>
      <c r="F1605">
        <v>522939</v>
      </c>
      <c r="G1605" t="s">
        <v>9</v>
      </c>
      <c r="H1605" t="s">
        <v>147</v>
      </c>
      <c r="I1605" t="s">
        <v>3179</v>
      </c>
    </row>
    <row r="1606" spans="1:9" x14ac:dyDescent="0.2">
      <c r="A1606" t="s">
        <v>3178</v>
      </c>
      <c r="D1606" t="str">
        <f>HYPERLINK("http://nlpdeep.cs.uic.edu:8080/proofing/gsii/522939-labs-imaging-0-6.pdf","gsii/522939-labs-imaging-0-6.pdf")</f>
        <v>gsii/522939-labs-imaging-0-6.pdf</v>
      </c>
      <c r="E1606">
        <v>120842</v>
      </c>
      <c r="F1606">
        <v>522939</v>
      </c>
      <c r="G1606" t="s">
        <v>9</v>
      </c>
      <c r="H1606" t="s">
        <v>147</v>
      </c>
      <c r="I1606" t="s">
        <v>3179</v>
      </c>
    </row>
    <row r="1607" spans="1:9" x14ac:dyDescent="0.2">
      <c r="A1607" t="s">
        <v>3180</v>
      </c>
      <c r="D1607" t="str">
        <f>HYPERLINK("http://nlpdeep.cs.uic.edu:8080/proofing/t5/522939-labs-imaging-0-7.pdf","t5/522939-labs-imaging-0-7.pdf")</f>
        <v>t5/522939-labs-imaging-0-7.pdf</v>
      </c>
      <c r="E1607">
        <v>120842</v>
      </c>
      <c r="F1607">
        <v>522939</v>
      </c>
      <c r="G1607" t="s">
        <v>9</v>
      </c>
      <c r="H1607" t="s">
        <v>147</v>
      </c>
      <c r="I1607" t="s">
        <v>3181</v>
      </c>
    </row>
    <row r="1608" spans="1:9" x14ac:dyDescent="0.2">
      <c r="A1608" t="s">
        <v>3180</v>
      </c>
      <c r="D1608" t="str">
        <f>HYPERLINK("http://nlpdeep.cs.uic.edu:8080/proofing/gsii/522939-labs-imaging-0-7.pdf","gsii/522939-labs-imaging-0-7.pdf")</f>
        <v>gsii/522939-labs-imaging-0-7.pdf</v>
      </c>
      <c r="E1608">
        <v>120842</v>
      </c>
      <c r="F1608">
        <v>522939</v>
      </c>
      <c r="G1608" t="s">
        <v>9</v>
      </c>
      <c r="H1608" t="s">
        <v>147</v>
      </c>
      <c r="I1608" t="s">
        <v>3181</v>
      </c>
    </row>
    <row r="1609" spans="1:9" x14ac:dyDescent="0.2">
      <c r="A1609" t="s">
        <v>3182</v>
      </c>
      <c r="D1609" t="str">
        <f>HYPERLINK("http://nlpdeep.cs.uic.edu:8080/proofing/t5/522939-assessment-and-plan-0-0.pdf","t5/522939-assessment-and-plan-0-0.pdf")</f>
        <v>t5/522939-assessment-and-plan-0-0.pdf</v>
      </c>
      <c r="E1609">
        <v>120842</v>
      </c>
      <c r="F1609">
        <v>522939</v>
      </c>
      <c r="G1609" t="s">
        <v>9</v>
      </c>
      <c r="H1609" t="s">
        <v>195</v>
      </c>
      <c r="I1609" t="s">
        <v>2663</v>
      </c>
    </row>
    <row r="1610" spans="1:9" x14ac:dyDescent="0.2">
      <c r="A1610" t="s">
        <v>3182</v>
      </c>
      <c r="D1610" t="str">
        <f>HYPERLINK("http://nlpdeep.cs.uic.edu:8080/proofing/gsii/522939-assessment-and-plan-0-0.pdf","gsii/522939-assessment-and-plan-0-0.pdf")</f>
        <v>gsii/522939-assessment-and-plan-0-0.pdf</v>
      </c>
      <c r="E1610">
        <v>120842</v>
      </c>
      <c r="F1610">
        <v>522939</v>
      </c>
      <c r="G1610" t="s">
        <v>9</v>
      </c>
      <c r="H1610" t="s">
        <v>195</v>
      </c>
      <c r="I1610" t="s">
        <v>2663</v>
      </c>
    </row>
    <row r="1611" spans="1:9" x14ac:dyDescent="0.2">
      <c r="A1611" t="s">
        <v>3183</v>
      </c>
      <c r="D1611" t="str">
        <f>HYPERLINK("http://nlpdeep.cs.uic.edu:8080/proofing/t5/522939-assessment-and-plan-0-1.pdf","t5/522939-assessment-and-plan-0-1.pdf")</f>
        <v>t5/522939-assessment-and-plan-0-1.pdf</v>
      </c>
      <c r="E1611">
        <v>120842</v>
      </c>
      <c r="F1611">
        <v>522939</v>
      </c>
      <c r="G1611" t="s">
        <v>9</v>
      </c>
      <c r="H1611" t="s">
        <v>195</v>
      </c>
      <c r="I1611" t="s">
        <v>2665</v>
      </c>
    </row>
    <row r="1612" spans="1:9" x14ac:dyDescent="0.2">
      <c r="A1612" t="s">
        <v>3183</v>
      </c>
      <c r="D1612" t="str">
        <f>HYPERLINK("http://nlpdeep.cs.uic.edu:8080/proofing/gsii/522939-assessment-and-plan-0-1.pdf","gsii/522939-assessment-and-plan-0-1.pdf")</f>
        <v>gsii/522939-assessment-and-plan-0-1.pdf</v>
      </c>
      <c r="E1612">
        <v>120842</v>
      </c>
      <c r="F1612">
        <v>522939</v>
      </c>
      <c r="G1612" t="s">
        <v>9</v>
      </c>
      <c r="H1612" t="s">
        <v>195</v>
      </c>
      <c r="I1612" t="s">
        <v>2665</v>
      </c>
    </row>
    <row r="1613" spans="1:9" x14ac:dyDescent="0.2">
      <c r="A1613" t="s">
        <v>3184</v>
      </c>
      <c r="D1613" t="str">
        <f>HYPERLINK("http://nlpdeep.cs.uic.edu:8080/proofing/t5/522939-assessment-and-plan-0-2.pdf","t5/522939-assessment-and-plan-0-2.pdf")</f>
        <v>t5/522939-assessment-and-plan-0-2.pdf</v>
      </c>
      <c r="E1613">
        <v>120842</v>
      </c>
      <c r="F1613">
        <v>522939</v>
      </c>
      <c r="G1613" t="s">
        <v>9</v>
      </c>
      <c r="H1613" t="s">
        <v>195</v>
      </c>
      <c r="I1613" t="s">
        <v>2667</v>
      </c>
    </row>
    <row r="1614" spans="1:9" x14ac:dyDescent="0.2">
      <c r="A1614" t="s">
        <v>3184</v>
      </c>
      <c r="D1614" t="str">
        <f>HYPERLINK("http://nlpdeep.cs.uic.edu:8080/proofing/gsii/522939-assessment-and-plan-0-2.pdf","gsii/522939-assessment-and-plan-0-2.pdf")</f>
        <v>gsii/522939-assessment-and-plan-0-2.pdf</v>
      </c>
      <c r="E1614">
        <v>120842</v>
      </c>
      <c r="F1614">
        <v>522939</v>
      </c>
      <c r="G1614" t="s">
        <v>9</v>
      </c>
      <c r="H1614" t="s">
        <v>195</v>
      </c>
      <c r="I1614" t="s">
        <v>2667</v>
      </c>
    </row>
    <row r="1615" spans="1:9" x14ac:dyDescent="0.2">
      <c r="A1615" t="s">
        <v>3185</v>
      </c>
      <c r="D1615" t="str">
        <f>HYPERLINK("http://nlpdeep.cs.uic.edu:8080/proofing/t5/522939-assessment-and-plan-0-3.pdf","t5/522939-assessment-and-plan-0-3.pdf")</f>
        <v>t5/522939-assessment-and-plan-0-3.pdf</v>
      </c>
      <c r="E1615">
        <v>120842</v>
      </c>
      <c r="F1615">
        <v>522939</v>
      </c>
      <c r="G1615" t="s">
        <v>9</v>
      </c>
      <c r="H1615" t="s">
        <v>195</v>
      </c>
      <c r="I1615" t="s">
        <v>2669</v>
      </c>
    </row>
    <row r="1616" spans="1:9" x14ac:dyDescent="0.2">
      <c r="A1616" t="s">
        <v>3185</v>
      </c>
      <c r="D1616" t="str">
        <f>HYPERLINK("http://nlpdeep.cs.uic.edu:8080/proofing/gsii/522939-assessment-and-plan-0-3.pdf","gsii/522939-assessment-and-plan-0-3.pdf")</f>
        <v>gsii/522939-assessment-and-plan-0-3.pdf</v>
      </c>
      <c r="E1616">
        <v>120842</v>
      </c>
      <c r="F1616">
        <v>522939</v>
      </c>
      <c r="G1616" t="s">
        <v>9</v>
      </c>
      <c r="H1616" t="s">
        <v>195</v>
      </c>
      <c r="I1616" t="s">
        <v>2669</v>
      </c>
    </row>
    <row r="1617" spans="1:9" x14ac:dyDescent="0.2">
      <c r="A1617" t="s">
        <v>3186</v>
      </c>
      <c r="D1617" t="str">
        <f>HYPERLINK("http://nlpdeep.cs.uic.edu:8080/proofing/t5/522939-assessment-and-plan-0-4.pdf","t5/522939-assessment-and-plan-0-4.pdf")</f>
        <v>t5/522939-assessment-and-plan-0-4.pdf</v>
      </c>
      <c r="E1617">
        <v>120842</v>
      </c>
      <c r="F1617">
        <v>522939</v>
      </c>
      <c r="G1617" t="s">
        <v>9</v>
      </c>
      <c r="H1617" t="s">
        <v>195</v>
      </c>
      <c r="I1617" t="s">
        <v>2671</v>
      </c>
    </row>
    <row r="1618" spans="1:9" x14ac:dyDescent="0.2">
      <c r="A1618" t="s">
        <v>3186</v>
      </c>
      <c r="D1618" t="str">
        <f>HYPERLINK("http://nlpdeep.cs.uic.edu:8080/proofing/gsii/522939-assessment-and-plan-0-4.pdf","gsii/522939-assessment-and-plan-0-4.pdf")</f>
        <v>gsii/522939-assessment-and-plan-0-4.pdf</v>
      </c>
      <c r="E1618">
        <v>120842</v>
      </c>
      <c r="F1618">
        <v>522939</v>
      </c>
      <c r="G1618" t="s">
        <v>9</v>
      </c>
      <c r="H1618" t="s">
        <v>195</v>
      </c>
      <c r="I1618" t="s">
        <v>2671</v>
      </c>
    </row>
    <row r="1619" spans="1:9" x14ac:dyDescent="0.2">
      <c r="A1619" t="s">
        <v>3187</v>
      </c>
      <c r="D1619" t="str">
        <f>HYPERLINK("http://nlpdeep.cs.uic.edu:8080/proofing/t5/522939-assessment-and-plan-0-5.pdf","t5/522939-assessment-and-plan-0-5.pdf")</f>
        <v>t5/522939-assessment-and-plan-0-5.pdf</v>
      </c>
      <c r="E1619">
        <v>120842</v>
      </c>
      <c r="F1619">
        <v>522939</v>
      </c>
      <c r="G1619" t="s">
        <v>9</v>
      </c>
      <c r="H1619" t="s">
        <v>195</v>
      </c>
      <c r="I1619" t="s">
        <v>2673</v>
      </c>
    </row>
    <row r="1620" spans="1:9" x14ac:dyDescent="0.2">
      <c r="A1620" t="s">
        <v>3187</v>
      </c>
      <c r="D1620" t="str">
        <f>HYPERLINK("http://nlpdeep.cs.uic.edu:8080/proofing/gsii/522939-assessment-and-plan-0-5.pdf","gsii/522939-assessment-and-plan-0-5.pdf")</f>
        <v>gsii/522939-assessment-and-plan-0-5.pdf</v>
      </c>
      <c r="E1620">
        <v>120842</v>
      </c>
      <c r="F1620">
        <v>522939</v>
      </c>
      <c r="G1620" t="s">
        <v>9</v>
      </c>
      <c r="H1620" t="s">
        <v>195</v>
      </c>
      <c r="I1620" t="s">
        <v>2673</v>
      </c>
    </row>
    <row r="1621" spans="1:9" x14ac:dyDescent="0.2">
      <c r="A1621" t="s">
        <v>3188</v>
      </c>
      <c r="D1621" t="str">
        <f>HYPERLINK("http://nlpdeep.cs.uic.edu:8080/proofing/t5/522939-assessment-and-plan-0-6.pdf","t5/522939-assessment-and-plan-0-6.pdf")</f>
        <v>t5/522939-assessment-and-plan-0-6.pdf</v>
      </c>
      <c r="E1621">
        <v>120842</v>
      </c>
      <c r="F1621">
        <v>522939</v>
      </c>
      <c r="G1621" t="s">
        <v>9</v>
      </c>
      <c r="H1621" t="s">
        <v>195</v>
      </c>
      <c r="I1621" t="s">
        <v>2675</v>
      </c>
    </row>
    <row r="1622" spans="1:9" x14ac:dyDescent="0.2">
      <c r="A1622" t="s">
        <v>3188</v>
      </c>
      <c r="D1622" t="str">
        <f>HYPERLINK("http://nlpdeep.cs.uic.edu:8080/proofing/gsii/522939-assessment-and-plan-0-6.pdf","gsii/522939-assessment-and-plan-0-6.pdf")</f>
        <v>gsii/522939-assessment-and-plan-0-6.pdf</v>
      </c>
      <c r="E1622">
        <v>120842</v>
      </c>
      <c r="F1622">
        <v>522939</v>
      </c>
      <c r="G1622" t="s">
        <v>9</v>
      </c>
      <c r="H1622" t="s">
        <v>195</v>
      </c>
      <c r="I1622" t="s">
        <v>2675</v>
      </c>
    </row>
    <row r="1623" spans="1:9" x14ac:dyDescent="0.2">
      <c r="A1623" t="s">
        <v>3189</v>
      </c>
      <c r="D1623" t="str">
        <f>HYPERLINK("http://nlpdeep.cs.uic.edu:8080/proofing/t5/522939-assessment-and-plan-0-7.pdf","t5/522939-assessment-and-plan-0-7.pdf")</f>
        <v>t5/522939-assessment-and-plan-0-7.pdf</v>
      </c>
      <c r="E1623">
        <v>120842</v>
      </c>
      <c r="F1623">
        <v>522939</v>
      </c>
      <c r="G1623" t="s">
        <v>9</v>
      </c>
      <c r="H1623" t="s">
        <v>195</v>
      </c>
      <c r="I1623" t="s">
        <v>2677</v>
      </c>
    </row>
    <row r="1624" spans="1:9" x14ac:dyDescent="0.2">
      <c r="A1624" t="s">
        <v>3189</v>
      </c>
      <c r="D1624" t="str">
        <f>HYPERLINK("http://nlpdeep.cs.uic.edu:8080/proofing/gsii/522939-assessment-and-plan-0-7.pdf","gsii/522939-assessment-and-plan-0-7.pdf")</f>
        <v>gsii/522939-assessment-and-plan-0-7.pdf</v>
      </c>
      <c r="E1624">
        <v>120842</v>
      </c>
      <c r="F1624">
        <v>522939</v>
      </c>
      <c r="G1624" t="s">
        <v>9</v>
      </c>
      <c r="H1624" t="s">
        <v>195</v>
      </c>
      <c r="I1624" t="s">
        <v>2677</v>
      </c>
    </row>
    <row r="1625" spans="1:9" x14ac:dyDescent="0.2">
      <c r="A1625" t="s">
        <v>3190</v>
      </c>
      <c r="D1625" t="str">
        <f>HYPERLINK("http://nlpdeep.cs.uic.edu:8080/proofing/t5/522939-assessment-and-plan-0-8.pdf","t5/522939-assessment-and-plan-0-8.pdf")</f>
        <v>t5/522939-assessment-and-plan-0-8.pdf</v>
      </c>
      <c r="E1625">
        <v>120842</v>
      </c>
      <c r="F1625">
        <v>522939</v>
      </c>
      <c r="G1625" t="s">
        <v>9</v>
      </c>
      <c r="H1625" t="s">
        <v>195</v>
      </c>
      <c r="I1625" t="s">
        <v>2679</v>
      </c>
    </row>
    <row r="1626" spans="1:9" x14ac:dyDescent="0.2">
      <c r="A1626" t="s">
        <v>3190</v>
      </c>
      <c r="D1626" t="str">
        <f>HYPERLINK("http://nlpdeep.cs.uic.edu:8080/proofing/gsii/522939-assessment-and-plan-0-8.pdf","gsii/522939-assessment-and-plan-0-8.pdf")</f>
        <v>gsii/522939-assessment-and-plan-0-8.pdf</v>
      </c>
      <c r="E1626">
        <v>120842</v>
      </c>
      <c r="F1626">
        <v>522939</v>
      </c>
      <c r="G1626" t="s">
        <v>9</v>
      </c>
      <c r="H1626" t="s">
        <v>195</v>
      </c>
      <c r="I1626" t="s">
        <v>2679</v>
      </c>
    </row>
    <row r="1627" spans="1:9" x14ac:dyDescent="0.2">
      <c r="A1627" t="s">
        <v>3191</v>
      </c>
      <c r="D1627" t="str">
        <f>HYPERLINK("http://nlpdeep.cs.uic.edu:8080/proofing/t5/522939-assessment-and-plan-0-9.pdf","t5/522939-assessment-and-plan-0-9.pdf")</f>
        <v>t5/522939-assessment-and-plan-0-9.pdf</v>
      </c>
      <c r="E1627">
        <v>120842</v>
      </c>
      <c r="F1627">
        <v>522939</v>
      </c>
      <c r="G1627" t="s">
        <v>9</v>
      </c>
      <c r="H1627" t="s">
        <v>195</v>
      </c>
      <c r="I1627" t="s">
        <v>2681</v>
      </c>
    </row>
    <row r="1628" spans="1:9" x14ac:dyDescent="0.2">
      <c r="A1628" t="s">
        <v>3191</v>
      </c>
      <c r="D1628" t="str">
        <f>HYPERLINK("http://nlpdeep.cs.uic.edu:8080/proofing/gsii/522939-assessment-and-plan-0-9.pdf","gsii/522939-assessment-and-plan-0-9.pdf")</f>
        <v>gsii/522939-assessment-and-plan-0-9.pdf</v>
      </c>
      <c r="E1628">
        <v>120842</v>
      </c>
      <c r="F1628">
        <v>522939</v>
      </c>
      <c r="G1628" t="s">
        <v>9</v>
      </c>
      <c r="H1628" t="s">
        <v>195</v>
      </c>
      <c r="I1628" t="s">
        <v>2681</v>
      </c>
    </row>
    <row r="1629" spans="1:9" x14ac:dyDescent="0.2">
      <c r="A1629" t="s">
        <v>3192</v>
      </c>
      <c r="D1629" t="str">
        <f>HYPERLINK("http://nlpdeep.cs.uic.edu:8080/proofing/t5/522939-assessment-and-plan-0-10.pdf","t5/522939-assessment-and-plan-0-10.pdf")</f>
        <v>t5/522939-assessment-and-plan-0-10.pdf</v>
      </c>
      <c r="E1629">
        <v>120842</v>
      </c>
      <c r="F1629">
        <v>522939</v>
      </c>
      <c r="G1629" t="s">
        <v>9</v>
      </c>
      <c r="H1629" t="s">
        <v>195</v>
      </c>
    </row>
    <row r="1630" spans="1:9" x14ac:dyDescent="0.2">
      <c r="A1630" t="s">
        <v>3192</v>
      </c>
      <c r="D1630" t="str">
        <f>HYPERLINK("http://nlpdeep.cs.uic.edu:8080/proofing/gsii/522939-assessment-and-plan-0-10.pdf","gsii/522939-assessment-and-plan-0-10.pdf")</f>
        <v>gsii/522939-assessment-and-plan-0-10.pdf</v>
      </c>
      <c r="E1630">
        <v>120842</v>
      </c>
      <c r="F1630">
        <v>522939</v>
      </c>
      <c r="G1630" t="s">
        <v>9</v>
      </c>
      <c r="H1630" t="s">
        <v>195</v>
      </c>
    </row>
    <row r="1631" spans="1:9" x14ac:dyDescent="0.2">
      <c r="A1631" t="s">
        <v>3193</v>
      </c>
      <c r="D1631" t="str">
        <f>HYPERLINK("http://nlpdeep.cs.uic.edu:8080/proofing/t5/522939-assessment-and-plan-1-0.pdf","t5/522939-assessment-and-plan-1-0.pdf")</f>
        <v>t5/522939-assessment-and-plan-1-0.pdf</v>
      </c>
      <c r="E1631">
        <v>120842</v>
      </c>
      <c r="F1631">
        <v>522939</v>
      </c>
      <c r="G1631" t="s">
        <v>9</v>
      </c>
      <c r="H1631" t="s">
        <v>195</v>
      </c>
      <c r="I1631" t="s">
        <v>2684</v>
      </c>
    </row>
    <row r="1632" spans="1:9" x14ac:dyDescent="0.2">
      <c r="A1632" t="s">
        <v>3193</v>
      </c>
      <c r="D1632" t="str">
        <f>HYPERLINK("http://nlpdeep.cs.uic.edu:8080/proofing/gsii/522939-assessment-and-plan-1-0.pdf","gsii/522939-assessment-and-plan-1-0.pdf")</f>
        <v>gsii/522939-assessment-and-plan-1-0.pdf</v>
      </c>
      <c r="E1632">
        <v>120842</v>
      </c>
      <c r="F1632">
        <v>522939</v>
      </c>
      <c r="G1632" t="s">
        <v>9</v>
      </c>
      <c r="H1632" t="s">
        <v>195</v>
      </c>
      <c r="I1632" t="s">
        <v>2684</v>
      </c>
    </row>
    <row r="1633" spans="1:9" x14ac:dyDescent="0.2">
      <c r="A1633" t="s">
        <v>3194</v>
      </c>
      <c r="D1633" t="str">
        <f>HYPERLINK("http://nlpdeep.cs.uic.edu:8080/proofing/t5/522939-assessment-and-plan-1-1.pdf","t5/522939-assessment-and-plan-1-1.pdf")</f>
        <v>t5/522939-assessment-and-plan-1-1.pdf</v>
      </c>
      <c r="E1633">
        <v>120842</v>
      </c>
      <c r="F1633">
        <v>522939</v>
      </c>
      <c r="G1633" t="s">
        <v>9</v>
      </c>
      <c r="H1633" t="s">
        <v>195</v>
      </c>
      <c r="I1633" t="s">
        <v>2686</v>
      </c>
    </row>
    <row r="1634" spans="1:9" x14ac:dyDescent="0.2">
      <c r="A1634" t="s">
        <v>3194</v>
      </c>
      <c r="D1634" t="str">
        <f>HYPERLINK("http://nlpdeep.cs.uic.edu:8080/proofing/gsii/522939-assessment-and-plan-1-1.pdf","gsii/522939-assessment-and-plan-1-1.pdf")</f>
        <v>gsii/522939-assessment-and-plan-1-1.pdf</v>
      </c>
      <c r="E1634">
        <v>120842</v>
      </c>
      <c r="F1634">
        <v>522939</v>
      </c>
      <c r="G1634" t="s">
        <v>9</v>
      </c>
      <c r="H1634" t="s">
        <v>195</v>
      </c>
      <c r="I1634" t="s">
        <v>2686</v>
      </c>
    </row>
    <row r="1635" spans="1:9" x14ac:dyDescent="0.2">
      <c r="A1635" t="s">
        <v>3195</v>
      </c>
      <c r="D1635" t="str">
        <f>HYPERLINK("http://nlpdeep.cs.uic.edu:8080/proofing/t5/522939-assessment-and-plan-1-2.pdf","t5/522939-assessment-and-plan-1-2.pdf")</f>
        <v>t5/522939-assessment-and-plan-1-2.pdf</v>
      </c>
      <c r="E1635">
        <v>120842</v>
      </c>
      <c r="F1635">
        <v>522939</v>
      </c>
      <c r="G1635" t="s">
        <v>9</v>
      </c>
      <c r="H1635" t="s">
        <v>195</v>
      </c>
      <c r="I1635" t="s">
        <v>2688</v>
      </c>
    </row>
    <row r="1636" spans="1:9" x14ac:dyDescent="0.2">
      <c r="A1636" t="s">
        <v>3195</v>
      </c>
      <c r="D1636" t="str">
        <f>HYPERLINK("http://nlpdeep.cs.uic.edu:8080/proofing/gsii/522939-assessment-and-plan-1-2.pdf","gsii/522939-assessment-and-plan-1-2.pdf")</f>
        <v>gsii/522939-assessment-and-plan-1-2.pdf</v>
      </c>
      <c r="E1636">
        <v>120842</v>
      </c>
      <c r="F1636">
        <v>522939</v>
      </c>
      <c r="G1636" t="s">
        <v>9</v>
      </c>
      <c r="H1636" t="s">
        <v>195</v>
      </c>
      <c r="I1636" t="s">
        <v>2688</v>
      </c>
    </row>
    <row r="1637" spans="1:9" x14ac:dyDescent="0.2">
      <c r="A1637" t="s">
        <v>3196</v>
      </c>
      <c r="D1637" t="str">
        <f>HYPERLINK("http://nlpdeep.cs.uic.edu:8080/proofing/t5/522939-assessment-and-plan-1-3.pdf","t5/522939-assessment-and-plan-1-3.pdf")</f>
        <v>t5/522939-assessment-and-plan-1-3.pdf</v>
      </c>
      <c r="E1637">
        <v>120842</v>
      </c>
      <c r="F1637">
        <v>522939</v>
      </c>
      <c r="G1637" t="s">
        <v>9</v>
      </c>
      <c r="H1637" t="s">
        <v>195</v>
      </c>
      <c r="I1637" t="s">
        <v>2690</v>
      </c>
    </row>
    <row r="1638" spans="1:9" x14ac:dyDescent="0.2">
      <c r="A1638" t="s">
        <v>3196</v>
      </c>
      <c r="D1638" t="str">
        <f>HYPERLINK("http://nlpdeep.cs.uic.edu:8080/proofing/gsii/522939-assessment-and-plan-1-3.pdf","gsii/522939-assessment-and-plan-1-3.pdf")</f>
        <v>gsii/522939-assessment-and-plan-1-3.pdf</v>
      </c>
      <c r="E1638">
        <v>120842</v>
      </c>
      <c r="F1638">
        <v>522939</v>
      </c>
      <c r="G1638" t="s">
        <v>9</v>
      </c>
      <c r="H1638" t="s">
        <v>195</v>
      </c>
      <c r="I1638" t="s">
        <v>2690</v>
      </c>
    </row>
    <row r="1639" spans="1:9" x14ac:dyDescent="0.2">
      <c r="A1639" t="s">
        <v>3197</v>
      </c>
      <c r="D1639" t="str">
        <f>HYPERLINK("http://nlpdeep.cs.uic.edu:8080/proofing/t5/522939-assessment-and-plan-1-4.pdf","t5/522939-assessment-and-plan-1-4.pdf")</f>
        <v>t5/522939-assessment-and-plan-1-4.pdf</v>
      </c>
      <c r="E1639">
        <v>120842</v>
      </c>
      <c r="F1639">
        <v>522939</v>
      </c>
      <c r="G1639" t="s">
        <v>9</v>
      </c>
      <c r="H1639" t="s">
        <v>195</v>
      </c>
      <c r="I1639" t="s">
        <v>2692</v>
      </c>
    </row>
    <row r="1640" spans="1:9" x14ac:dyDescent="0.2">
      <c r="A1640" t="s">
        <v>3197</v>
      </c>
      <c r="D1640" t="str">
        <f>HYPERLINK("http://nlpdeep.cs.uic.edu:8080/proofing/gsii/522939-assessment-and-plan-1-4.pdf","gsii/522939-assessment-and-plan-1-4.pdf")</f>
        <v>gsii/522939-assessment-and-plan-1-4.pdf</v>
      </c>
      <c r="E1640">
        <v>120842</v>
      </c>
      <c r="F1640">
        <v>522939</v>
      </c>
      <c r="G1640" t="s">
        <v>9</v>
      </c>
      <c r="H1640" t="s">
        <v>195</v>
      </c>
      <c r="I1640" t="s">
        <v>2692</v>
      </c>
    </row>
    <row r="1641" spans="1:9" x14ac:dyDescent="0.2">
      <c r="A1641" t="s">
        <v>3198</v>
      </c>
      <c r="D1641" t="str">
        <f>HYPERLINK("http://nlpdeep.cs.uic.edu:8080/proofing/t5/522939-assessment-and-plan-1-5.pdf","t5/522939-assessment-and-plan-1-5.pdf")</f>
        <v>t5/522939-assessment-and-plan-1-5.pdf</v>
      </c>
      <c r="E1641">
        <v>120842</v>
      </c>
      <c r="F1641">
        <v>522939</v>
      </c>
      <c r="G1641" t="s">
        <v>9</v>
      </c>
      <c r="H1641" t="s">
        <v>195</v>
      </c>
      <c r="I1641" t="s">
        <v>2694</v>
      </c>
    </row>
    <row r="1642" spans="1:9" x14ac:dyDescent="0.2">
      <c r="A1642" t="s">
        <v>3198</v>
      </c>
      <c r="D1642" t="str">
        <f>HYPERLINK("http://nlpdeep.cs.uic.edu:8080/proofing/gsii/522939-assessment-and-plan-1-5.pdf","gsii/522939-assessment-and-plan-1-5.pdf")</f>
        <v>gsii/522939-assessment-and-plan-1-5.pdf</v>
      </c>
      <c r="E1642">
        <v>120842</v>
      </c>
      <c r="F1642">
        <v>522939</v>
      </c>
      <c r="G1642" t="s">
        <v>9</v>
      </c>
      <c r="H1642" t="s">
        <v>195</v>
      </c>
      <c r="I1642" t="s">
        <v>2694</v>
      </c>
    </row>
    <row r="1643" spans="1:9" x14ac:dyDescent="0.2">
      <c r="A1643" t="s">
        <v>3199</v>
      </c>
      <c r="D1643" t="str">
        <f>HYPERLINK("http://nlpdeep.cs.uic.edu:8080/proofing/t5/522939-assessment-and-plan-1-6.pdf","t5/522939-assessment-and-plan-1-6.pdf")</f>
        <v>t5/522939-assessment-and-plan-1-6.pdf</v>
      </c>
      <c r="E1643">
        <v>120842</v>
      </c>
      <c r="F1643">
        <v>522939</v>
      </c>
      <c r="G1643" t="s">
        <v>9</v>
      </c>
      <c r="H1643" t="s">
        <v>195</v>
      </c>
      <c r="I1643" t="s">
        <v>2696</v>
      </c>
    </row>
    <row r="1644" spans="1:9" x14ac:dyDescent="0.2">
      <c r="A1644" t="s">
        <v>3199</v>
      </c>
      <c r="D1644" t="str">
        <f>HYPERLINK("http://nlpdeep.cs.uic.edu:8080/proofing/gsii/522939-assessment-and-plan-1-6.pdf","gsii/522939-assessment-and-plan-1-6.pdf")</f>
        <v>gsii/522939-assessment-and-plan-1-6.pdf</v>
      </c>
      <c r="E1644">
        <v>120842</v>
      </c>
      <c r="F1644">
        <v>522939</v>
      </c>
      <c r="G1644" t="s">
        <v>9</v>
      </c>
      <c r="H1644" t="s">
        <v>195</v>
      </c>
      <c r="I1644" t="s">
        <v>2696</v>
      </c>
    </row>
    <row r="1645" spans="1:9" x14ac:dyDescent="0.2">
      <c r="A1645" t="s">
        <v>3200</v>
      </c>
      <c r="D1645" t="str">
        <f>HYPERLINK("http://nlpdeep.cs.uic.edu:8080/proofing/t5/522939-assessment-and-plan-1-7.pdf","t5/522939-assessment-and-plan-1-7.pdf")</f>
        <v>t5/522939-assessment-and-plan-1-7.pdf</v>
      </c>
      <c r="E1645">
        <v>120842</v>
      </c>
      <c r="F1645">
        <v>522939</v>
      </c>
      <c r="G1645" t="s">
        <v>9</v>
      </c>
      <c r="H1645" t="s">
        <v>195</v>
      </c>
      <c r="I1645" t="s">
        <v>2698</v>
      </c>
    </row>
    <row r="1646" spans="1:9" x14ac:dyDescent="0.2">
      <c r="A1646" t="s">
        <v>3200</v>
      </c>
      <c r="D1646" t="str">
        <f>HYPERLINK("http://nlpdeep.cs.uic.edu:8080/proofing/gsii/522939-assessment-and-plan-1-7.pdf","gsii/522939-assessment-and-plan-1-7.pdf")</f>
        <v>gsii/522939-assessment-and-plan-1-7.pdf</v>
      </c>
      <c r="E1646">
        <v>120842</v>
      </c>
      <c r="F1646">
        <v>522939</v>
      </c>
      <c r="G1646" t="s">
        <v>9</v>
      </c>
      <c r="H1646" t="s">
        <v>195</v>
      </c>
      <c r="I1646" t="s">
        <v>2698</v>
      </c>
    </row>
    <row r="1647" spans="1:9" x14ac:dyDescent="0.2">
      <c r="A1647" t="s">
        <v>3201</v>
      </c>
      <c r="D1647" t="str">
        <f>HYPERLINK("http://nlpdeep.cs.uic.edu:8080/proofing/t5/522939-assessment-and-plan-1-8.pdf","t5/522939-assessment-and-plan-1-8.pdf")</f>
        <v>t5/522939-assessment-and-plan-1-8.pdf</v>
      </c>
      <c r="E1647">
        <v>120842</v>
      </c>
      <c r="F1647">
        <v>522939</v>
      </c>
      <c r="G1647" t="s">
        <v>9</v>
      </c>
      <c r="H1647" t="s">
        <v>195</v>
      </c>
    </row>
    <row r="1648" spans="1:9" x14ac:dyDescent="0.2">
      <c r="A1648" t="s">
        <v>3201</v>
      </c>
      <c r="D1648" t="str">
        <f>HYPERLINK("http://nlpdeep.cs.uic.edu:8080/proofing/gsii/522939-assessment-and-plan-1-8.pdf","gsii/522939-assessment-and-plan-1-8.pdf")</f>
        <v>gsii/522939-assessment-and-plan-1-8.pdf</v>
      </c>
      <c r="E1648">
        <v>120842</v>
      </c>
      <c r="F1648">
        <v>522939</v>
      </c>
      <c r="G1648" t="s">
        <v>9</v>
      </c>
      <c r="H1648" t="s">
        <v>195</v>
      </c>
    </row>
    <row r="1649" spans="1:9" x14ac:dyDescent="0.2">
      <c r="A1649" t="s">
        <v>3202</v>
      </c>
      <c r="D1649" t="str">
        <f>HYPERLINK("http://nlpdeep.cs.uic.edu:8080/proofing/t5/522939-assessment-and-plan-2-0.pdf","t5/522939-assessment-and-plan-2-0.pdf")</f>
        <v>t5/522939-assessment-and-plan-2-0.pdf</v>
      </c>
      <c r="E1649">
        <v>120842</v>
      </c>
      <c r="F1649">
        <v>522939</v>
      </c>
      <c r="G1649" t="s">
        <v>9</v>
      </c>
      <c r="H1649" t="s">
        <v>195</v>
      </c>
      <c r="I1649" t="s">
        <v>3203</v>
      </c>
    </row>
    <row r="1650" spans="1:9" x14ac:dyDescent="0.2">
      <c r="A1650" t="s">
        <v>3202</v>
      </c>
      <c r="D1650" t="str">
        <f>HYPERLINK("http://nlpdeep.cs.uic.edu:8080/proofing/gsii/522939-assessment-and-plan-2-0.pdf","gsii/522939-assessment-and-plan-2-0.pdf")</f>
        <v>gsii/522939-assessment-and-plan-2-0.pdf</v>
      </c>
      <c r="E1650">
        <v>120842</v>
      </c>
      <c r="F1650">
        <v>522939</v>
      </c>
      <c r="G1650" t="s">
        <v>9</v>
      </c>
      <c r="H1650" t="s">
        <v>195</v>
      </c>
      <c r="I1650" t="s">
        <v>3203</v>
      </c>
    </row>
    <row r="1651" spans="1:9" x14ac:dyDescent="0.2">
      <c r="A1651" t="s">
        <v>3204</v>
      </c>
      <c r="D1651" t="str">
        <f>HYPERLINK("http://nlpdeep.cs.uic.edu:8080/proofing/t5/522939-assessment-and-plan-2-1.pdf","t5/522939-assessment-and-plan-2-1.pdf")</f>
        <v>t5/522939-assessment-and-plan-2-1.pdf</v>
      </c>
      <c r="E1651">
        <v>120842</v>
      </c>
      <c r="F1651">
        <v>522939</v>
      </c>
      <c r="G1651" t="s">
        <v>9</v>
      </c>
      <c r="H1651" t="s">
        <v>195</v>
      </c>
      <c r="I1651" t="s">
        <v>2702</v>
      </c>
    </row>
    <row r="1652" spans="1:9" x14ac:dyDescent="0.2">
      <c r="A1652" t="s">
        <v>3204</v>
      </c>
      <c r="D1652" t="str">
        <f>HYPERLINK("http://nlpdeep.cs.uic.edu:8080/proofing/gsii/522939-assessment-and-plan-2-1.pdf","gsii/522939-assessment-and-plan-2-1.pdf")</f>
        <v>gsii/522939-assessment-and-plan-2-1.pdf</v>
      </c>
      <c r="E1652">
        <v>120842</v>
      </c>
      <c r="F1652">
        <v>522939</v>
      </c>
      <c r="G1652" t="s">
        <v>9</v>
      </c>
      <c r="H1652" t="s">
        <v>195</v>
      </c>
      <c r="I1652" t="s">
        <v>2702</v>
      </c>
    </row>
    <row r="1653" spans="1:9" x14ac:dyDescent="0.2">
      <c r="A1653" t="s">
        <v>3205</v>
      </c>
      <c r="D1653" t="str">
        <f>HYPERLINK("http://nlpdeep.cs.uic.edu:8080/proofing/t5/522939-assessment-and-plan-2-2.pdf","t5/522939-assessment-and-plan-2-2.pdf")</f>
        <v>t5/522939-assessment-and-plan-2-2.pdf</v>
      </c>
      <c r="E1653">
        <v>120842</v>
      </c>
      <c r="F1653">
        <v>522939</v>
      </c>
      <c r="G1653" t="s">
        <v>9</v>
      </c>
      <c r="H1653" t="s">
        <v>195</v>
      </c>
      <c r="I1653" t="s">
        <v>2704</v>
      </c>
    </row>
    <row r="1654" spans="1:9" x14ac:dyDescent="0.2">
      <c r="A1654" t="s">
        <v>3205</v>
      </c>
      <c r="D1654" t="str">
        <f>HYPERLINK("http://nlpdeep.cs.uic.edu:8080/proofing/gsii/522939-assessment-and-plan-2-2.pdf","gsii/522939-assessment-and-plan-2-2.pdf")</f>
        <v>gsii/522939-assessment-and-plan-2-2.pdf</v>
      </c>
      <c r="E1654">
        <v>120842</v>
      </c>
      <c r="F1654">
        <v>522939</v>
      </c>
      <c r="G1654" t="s">
        <v>9</v>
      </c>
      <c r="H1654" t="s">
        <v>195</v>
      </c>
      <c r="I1654" t="s">
        <v>2704</v>
      </c>
    </row>
    <row r="1655" spans="1:9" x14ac:dyDescent="0.2">
      <c r="A1655" t="s">
        <v>3206</v>
      </c>
      <c r="D1655" t="str">
        <f>HYPERLINK("http://nlpdeep.cs.uic.edu:8080/proofing/t5/522939-assessment-and-plan-2-3.pdf","t5/522939-assessment-and-plan-2-3.pdf")</f>
        <v>t5/522939-assessment-and-plan-2-3.pdf</v>
      </c>
      <c r="E1655">
        <v>120842</v>
      </c>
      <c r="F1655">
        <v>522939</v>
      </c>
      <c r="G1655" t="s">
        <v>9</v>
      </c>
      <c r="H1655" t="s">
        <v>195</v>
      </c>
      <c r="I1655" t="s">
        <v>2706</v>
      </c>
    </row>
    <row r="1656" spans="1:9" x14ac:dyDescent="0.2">
      <c r="A1656" t="s">
        <v>3206</v>
      </c>
      <c r="D1656" t="str">
        <f>HYPERLINK("http://nlpdeep.cs.uic.edu:8080/proofing/gsii/522939-assessment-and-plan-2-3.pdf","gsii/522939-assessment-and-plan-2-3.pdf")</f>
        <v>gsii/522939-assessment-and-plan-2-3.pdf</v>
      </c>
      <c r="E1656">
        <v>120842</v>
      </c>
      <c r="F1656">
        <v>522939</v>
      </c>
      <c r="G1656" t="s">
        <v>9</v>
      </c>
      <c r="H1656" t="s">
        <v>195</v>
      </c>
      <c r="I1656" t="s">
        <v>2706</v>
      </c>
    </row>
    <row r="1657" spans="1:9" x14ac:dyDescent="0.2">
      <c r="A1657" t="s">
        <v>3207</v>
      </c>
      <c r="D1657" t="str">
        <f>HYPERLINK("http://nlpdeep.cs.uic.edu:8080/proofing/t5/522939-assessment-and-plan-3-0.pdf","t5/522939-assessment-and-plan-3-0.pdf")</f>
        <v>t5/522939-assessment-and-plan-3-0.pdf</v>
      </c>
      <c r="E1657">
        <v>120842</v>
      </c>
      <c r="F1657">
        <v>522939</v>
      </c>
      <c r="G1657" t="s">
        <v>9</v>
      </c>
      <c r="H1657" t="s">
        <v>195</v>
      </c>
      <c r="I1657" t="s">
        <v>2708</v>
      </c>
    </row>
    <row r="1658" spans="1:9" x14ac:dyDescent="0.2">
      <c r="A1658" t="s">
        <v>3207</v>
      </c>
      <c r="D1658" t="str">
        <f>HYPERLINK("http://nlpdeep.cs.uic.edu:8080/proofing/gsii/522939-assessment-and-plan-3-0.pdf","gsii/522939-assessment-and-plan-3-0.pdf")</f>
        <v>gsii/522939-assessment-and-plan-3-0.pdf</v>
      </c>
      <c r="E1658">
        <v>120842</v>
      </c>
      <c r="F1658">
        <v>522939</v>
      </c>
      <c r="G1658" t="s">
        <v>9</v>
      </c>
      <c r="H1658" t="s">
        <v>195</v>
      </c>
      <c r="I1658" t="s">
        <v>2708</v>
      </c>
    </row>
    <row r="1659" spans="1:9" x14ac:dyDescent="0.2">
      <c r="A1659" t="s">
        <v>3208</v>
      </c>
      <c r="D1659" t="str">
        <f>HYPERLINK("http://nlpdeep.cs.uic.edu:8080/proofing/t5/522939-assessment-and-plan-3-1.pdf","t5/522939-assessment-and-plan-3-1.pdf")</f>
        <v>t5/522939-assessment-and-plan-3-1.pdf</v>
      </c>
      <c r="E1659">
        <v>120842</v>
      </c>
      <c r="F1659">
        <v>522939</v>
      </c>
      <c r="G1659" t="s">
        <v>9</v>
      </c>
      <c r="H1659" t="s">
        <v>195</v>
      </c>
      <c r="I1659" t="s">
        <v>2710</v>
      </c>
    </row>
    <row r="1660" spans="1:9" x14ac:dyDescent="0.2">
      <c r="A1660" t="s">
        <v>3208</v>
      </c>
      <c r="D1660" t="str">
        <f>HYPERLINK("http://nlpdeep.cs.uic.edu:8080/proofing/gsii/522939-assessment-and-plan-3-1.pdf","gsii/522939-assessment-and-plan-3-1.pdf")</f>
        <v>gsii/522939-assessment-and-plan-3-1.pdf</v>
      </c>
      <c r="E1660">
        <v>120842</v>
      </c>
      <c r="F1660">
        <v>522939</v>
      </c>
      <c r="G1660" t="s">
        <v>9</v>
      </c>
      <c r="H1660" t="s">
        <v>195</v>
      </c>
      <c r="I1660" t="s">
        <v>2710</v>
      </c>
    </row>
    <row r="1661" spans="1:9" x14ac:dyDescent="0.2">
      <c r="A1661" t="s">
        <v>3209</v>
      </c>
      <c r="D1661" t="str">
        <f>HYPERLINK("http://nlpdeep.cs.uic.edu:8080/proofing/t5/522939-assessment-and-plan-4-0.pdf","t5/522939-assessment-and-plan-4-0.pdf")</f>
        <v>t5/522939-assessment-and-plan-4-0.pdf</v>
      </c>
      <c r="E1661">
        <v>120842</v>
      </c>
      <c r="F1661">
        <v>522939</v>
      </c>
      <c r="G1661" t="s">
        <v>9</v>
      </c>
      <c r="H1661" t="s">
        <v>195</v>
      </c>
      <c r="I1661" t="s">
        <v>2712</v>
      </c>
    </row>
    <row r="1662" spans="1:9" x14ac:dyDescent="0.2">
      <c r="A1662" t="s">
        <v>3209</v>
      </c>
      <c r="D1662" t="str">
        <f>HYPERLINK("http://nlpdeep.cs.uic.edu:8080/proofing/gsii/522939-assessment-and-plan-4-0.pdf","gsii/522939-assessment-and-plan-4-0.pdf")</f>
        <v>gsii/522939-assessment-and-plan-4-0.pdf</v>
      </c>
      <c r="E1662">
        <v>120842</v>
      </c>
      <c r="F1662">
        <v>522939</v>
      </c>
      <c r="G1662" t="s">
        <v>9</v>
      </c>
      <c r="H1662" t="s">
        <v>195</v>
      </c>
      <c r="I1662" t="s">
        <v>2712</v>
      </c>
    </row>
    <row r="1663" spans="1:9" x14ac:dyDescent="0.2">
      <c r="A1663" t="s">
        <v>3210</v>
      </c>
      <c r="D1663" t="str">
        <f>HYPERLINK("http://nlpdeep.cs.uic.edu:8080/proofing/t5/522939-assessment-and-plan-4-1.pdf","t5/522939-assessment-and-plan-4-1.pdf")</f>
        <v>t5/522939-assessment-and-plan-4-1.pdf</v>
      </c>
      <c r="E1663">
        <v>120842</v>
      </c>
      <c r="F1663">
        <v>522939</v>
      </c>
      <c r="G1663" t="s">
        <v>9</v>
      </c>
      <c r="H1663" t="s">
        <v>195</v>
      </c>
      <c r="I1663" t="s">
        <v>2714</v>
      </c>
    </row>
    <row r="1664" spans="1:9" x14ac:dyDescent="0.2">
      <c r="A1664" t="s">
        <v>3210</v>
      </c>
      <c r="D1664" t="str">
        <f>HYPERLINK("http://nlpdeep.cs.uic.edu:8080/proofing/gsii/522939-assessment-and-plan-4-1.pdf","gsii/522939-assessment-and-plan-4-1.pdf")</f>
        <v>gsii/522939-assessment-and-plan-4-1.pdf</v>
      </c>
      <c r="E1664">
        <v>120842</v>
      </c>
      <c r="F1664">
        <v>522939</v>
      </c>
      <c r="G1664" t="s">
        <v>9</v>
      </c>
      <c r="H1664" t="s">
        <v>195</v>
      </c>
      <c r="I1664" t="s">
        <v>2714</v>
      </c>
    </row>
    <row r="1665" spans="1:9" x14ac:dyDescent="0.2">
      <c r="A1665" t="s">
        <v>3211</v>
      </c>
      <c r="D1665" t="str">
        <f>HYPERLINK("http://nlpdeep.cs.uic.edu:8080/proofing/t5/522939-assessment-and-plan-4-2.pdf","t5/522939-assessment-and-plan-4-2.pdf")</f>
        <v>t5/522939-assessment-and-plan-4-2.pdf</v>
      </c>
      <c r="E1665">
        <v>120842</v>
      </c>
      <c r="F1665">
        <v>522939</v>
      </c>
      <c r="G1665" t="s">
        <v>9</v>
      </c>
      <c r="H1665" t="s">
        <v>195</v>
      </c>
      <c r="I1665" t="s">
        <v>2716</v>
      </c>
    </row>
    <row r="1666" spans="1:9" x14ac:dyDescent="0.2">
      <c r="A1666" t="s">
        <v>3211</v>
      </c>
      <c r="D1666" t="str">
        <f>HYPERLINK("http://nlpdeep.cs.uic.edu:8080/proofing/gsii/522939-assessment-and-plan-4-2.pdf","gsii/522939-assessment-and-plan-4-2.pdf")</f>
        <v>gsii/522939-assessment-and-plan-4-2.pdf</v>
      </c>
      <c r="E1666">
        <v>120842</v>
      </c>
      <c r="F1666">
        <v>522939</v>
      </c>
      <c r="G1666" t="s">
        <v>9</v>
      </c>
      <c r="H1666" t="s">
        <v>195</v>
      </c>
      <c r="I1666" t="s">
        <v>2716</v>
      </c>
    </row>
    <row r="1667" spans="1:9" x14ac:dyDescent="0.2">
      <c r="A1667" t="s">
        <v>3212</v>
      </c>
      <c r="D1667" t="str">
        <f>HYPERLINK("http://nlpdeep.cs.uic.edu:8080/proofing/t5/522939-assessment-and-plan-5-0.pdf","t5/522939-assessment-and-plan-5-0.pdf")</f>
        <v>t5/522939-assessment-and-plan-5-0.pdf</v>
      </c>
      <c r="E1667">
        <v>120842</v>
      </c>
      <c r="F1667">
        <v>522939</v>
      </c>
      <c r="G1667" t="s">
        <v>9</v>
      </c>
      <c r="H1667" t="s">
        <v>195</v>
      </c>
      <c r="I1667" t="s">
        <v>3213</v>
      </c>
    </row>
    <row r="1668" spans="1:9" x14ac:dyDescent="0.2">
      <c r="A1668" t="s">
        <v>3212</v>
      </c>
      <c r="D1668" t="str">
        <f>HYPERLINK("http://nlpdeep.cs.uic.edu:8080/proofing/gsii/522939-assessment-and-plan-5-0.pdf","gsii/522939-assessment-and-plan-5-0.pdf")</f>
        <v>gsii/522939-assessment-and-plan-5-0.pdf</v>
      </c>
      <c r="E1668">
        <v>120842</v>
      </c>
      <c r="F1668">
        <v>522939</v>
      </c>
      <c r="G1668" t="s">
        <v>9</v>
      </c>
      <c r="H1668" t="s">
        <v>195</v>
      </c>
      <c r="I1668" t="s">
        <v>3213</v>
      </c>
    </row>
    <row r="1669" spans="1:9" x14ac:dyDescent="0.2">
      <c r="A1669" t="s">
        <v>3214</v>
      </c>
      <c r="D1669" t="str">
        <f>HYPERLINK("http://nlpdeep.cs.uic.edu:8080/proofing/t5/522939-code-status-0-0.pdf","t5/522939-code-status-0-0.pdf")</f>
        <v>t5/522939-code-status-0-0.pdf</v>
      </c>
      <c r="E1669">
        <v>120842</v>
      </c>
      <c r="F1669">
        <v>522939</v>
      </c>
      <c r="G1669" t="s">
        <v>9</v>
      </c>
      <c r="H1669" t="s">
        <v>201</v>
      </c>
      <c r="I1669" t="s">
        <v>2720</v>
      </c>
    </row>
    <row r="1670" spans="1:9" x14ac:dyDescent="0.2">
      <c r="A1670" t="s">
        <v>3214</v>
      </c>
      <c r="D1670" t="str">
        <f>HYPERLINK("http://nlpdeep.cs.uic.edu:8080/proofing/gsii/522939-code-status-0-0.pdf","gsii/522939-code-status-0-0.pdf")</f>
        <v>gsii/522939-code-status-0-0.pdf</v>
      </c>
      <c r="E1670">
        <v>120842</v>
      </c>
      <c r="F1670">
        <v>522939</v>
      </c>
      <c r="G1670" t="s">
        <v>9</v>
      </c>
      <c r="H1670" t="s">
        <v>201</v>
      </c>
      <c r="I1670" t="s">
        <v>2720</v>
      </c>
    </row>
    <row r="1671" spans="1:9" x14ac:dyDescent="0.2">
      <c r="A1671" t="s">
        <v>3215</v>
      </c>
      <c r="D1671" t="str">
        <f>HYPERLINK("http://nlpdeep.cs.uic.edu:8080/proofing/t5/522939-communication-0-0.pdf","t5/522939-communication-0-0.pdf")</f>
        <v>t5/522939-communication-0-0.pdf</v>
      </c>
      <c r="E1671">
        <v>120842</v>
      </c>
      <c r="F1671">
        <v>522939</v>
      </c>
      <c r="G1671" t="s">
        <v>9</v>
      </c>
      <c r="H1671" t="s">
        <v>198</v>
      </c>
      <c r="I1671" t="s">
        <v>2722</v>
      </c>
    </row>
    <row r="1672" spans="1:9" x14ac:dyDescent="0.2">
      <c r="A1672" t="s">
        <v>3215</v>
      </c>
      <c r="D1672" t="str">
        <f>HYPERLINK("http://nlpdeep.cs.uic.edu:8080/proofing/gsii/522939-communication-0-0.pdf","gsii/522939-communication-0-0.pdf")</f>
        <v>gsii/522939-communication-0-0.pdf</v>
      </c>
      <c r="E1672">
        <v>120842</v>
      </c>
      <c r="F1672">
        <v>522939</v>
      </c>
      <c r="G1672" t="s">
        <v>9</v>
      </c>
      <c r="H1672" t="s">
        <v>198</v>
      </c>
      <c r="I1672" t="s">
        <v>2722</v>
      </c>
    </row>
    <row r="1673" spans="1:9" x14ac:dyDescent="0.2">
      <c r="A1673" t="s">
        <v>3216</v>
      </c>
      <c r="D1673" t="str">
        <f>HYPERLINK("http://nlpdeep.cs.uic.edu:8080/proofing/t5/522939-disposition-0-0.pdf","t5/522939-disposition-0-0.pdf")</f>
        <v>t5/522939-disposition-0-0.pdf</v>
      </c>
      <c r="E1673">
        <v>120842</v>
      </c>
      <c r="F1673">
        <v>522939</v>
      </c>
      <c r="G1673" t="s">
        <v>9</v>
      </c>
      <c r="H1673" t="s">
        <v>204</v>
      </c>
      <c r="I1673" t="s">
        <v>3217</v>
      </c>
    </row>
    <row r="1674" spans="1:9" x14ac:dyDescent="0.2">
      <c r="A1674" t="s">
        <v>3216</v>
      </c>
      <c r="D1674" t="str">
        <f>HYPERLINK("http://nlpdeep.cs.uic.edu:8080/proofing/gsii/522939-disposition-0-0.pdf","gsii/522939-disposition-0-0.pdf")</f>
        <v>gsii/522939-disposition-0-0.pdf</v>
      </c>
      <c r="E1674">
        <v>120842</v>
      </c>
      <c r="F1674">
        <v>522939</v>
      </c>
      <c r="G1674" t="s">
        <v>9</v>
      </c>
      <c r="H1674" t="s">
        <v>204</v>
      </c>
      <c r="I1674" t="s">
        <v>3217</v>
      </c>
    </row>
    <row r="1675" spans="1:9" x14ac:dyDescent="0.2">
      <c r="A1675" t="s">
        <v>3218</v>
      </c>
      <c r="D1675" t="str">
        <f>HYPERLINK("http://nlpdeep.cs.uic.edu:8080/proofing/t5/522939-critical-care-attending-addendum-0-0.pdf","t5/522939-critical-care-attending-addendum-0-0.pdf")</f>
        <v>t5/522939-critical-care-attending-addendum-0-0.pdf</v>
      </c>
      <c r="E1675">
        <v>120842</v>
      </c>
      <c r="F1675">
        <v>522939</v>
      </c>
      <c r="G1675" t="s">
        <v>9</v>
      </c>
      <c r="H1675" t="s">
        <v>1563</v>
      </c>
      <c r="I1675" t="s">
        <v>3219</v>
      </c>
    </row>
    <row r="1676" spans="1:9" x14ac:dyDescent="0.2">
      <c r="A1676" t="s">
        <v>3218</v>
      </c>
      <c r="D1676" t="str">
        <f>HYPERLINK("http://nlpdeep.cs.uic.edu:8080/proofing/gsii/522939-critical-care-attending-addendum-0-0.pdf","gsii/522939-critical-care-attending-addendum-0-0.pdf")</f>
        <v>gsii/522939-critical-care-attending-addendum-0-0.pdf</v>
      </c>
      <c r="E1676">
        <v>120842</v>
      </c>
      <c r="F1676">
        <v>522939</v>
      </c>
      <c r="G1676" t="s">
        <v>9</v>
      </c>
      <c r="H1676" t="s">
        <v>1563</v>
      </c>
      <c r="I1676" t="s">
        <v>3219</v>
      </c>
    </row>
    <row r="1677" spans="1:9" x14ac:dyDescent="0.2">
      <c r="A1677" t="s">
        <v>3220</v>
      </c>
      <c r="D1677" t="str">
        <f>HYPERLINK("http://nlpdeep.cs.uic.edu:8080/proofing/t5/522939-critical-care-attending-addendum-0-1.pdf","t5/522939-critical-care-attending-addendum-0-1.pdf")</f>
        <v>t5/522939-critical-care-attending-addendum-0-1.pdf</v>
      </c>
      <c r="E1677">
        <v>120842</v>
      </c>
      <c r="F1677">
        <v>522939</v>
      </c>
      <c r="G1677" t="s">
        <v>9</v>
      </c>
      <c r="H1677" t="s">
        <v>1563</v>
      </c>
      <c r="I1677" t="s">
        <v>3221</v>
      </c>
    </row>
    <row r="1678" spans="1:9" x14ac:dyDescent="0.2">
      <c r="A1678" t="s">
        <v>3220</v>
      </c>
      <c r="D1678" t="str">
        <f>HYPERLINK("http://nlpdeep.cs.uic.edu:8080/proofing/gsii/522939-critical-care-attending-addendum-0-1.pdf","gsii/522939-critical-care-attending-addendum-0-1.pdf")</f>
        <v>gsii/522939-critical-care-attending-addendum-0-1.pdf</v>
      </c>
      <c r="E1678">
        <v>120842</v>
      </c>
      <c r="F1678">
        <v>522939</v>
      </c>
      <c r="G1678" t="s">
        <v>9</v>
      </c>
      <c r="H1678" t="s">
        <v>1563</v>
      </c>
      <c r="I1678" t="s">
        <v>3221</v>
      </c>
    </row>
    <row r="1679" spans="1:9" x14ac:dyDescent="0.2">
      <c r="A1679" t="s">
        <v>3222</v>
      </c>
      <c r="D1679" t="str">
        <f>HYPERLINK("http://nlpdeep.cs.uic.edu:8080/proofing/t5/522939-critical-care-attending-addendum-0-2.pdf","t5/522939-critical-care-attending-addendum-0-2.pdf")</f>
        <v>t5/522939-critical-care-attending-addendum-0-2.pdf</v>
      </c>
      <c r="E1679">
        <v>120842</v>
      </c>
      <c r="F1679">
        <v>522939</v>
      </c>
      <c r="G1679" t="s">
        <v>9</v>
      </c>
      <c r="H1679" t="s">
        <v>1563</v>
      </c>
      <c r="I1679" t="s">
        <v>3223</v>
      </c>
    </row>
    <row r="1680" spans="1:9" x14ac:dyDescent="0.2">
      <c r="A1680" t="s">
        <v>3222</v>
      </c>
      <c r="D1680" t="str">
        <f>HYPERLINK("http://nlpdeep.cs.uic.edu:8080/proofing/gsii/522939-critical-care-attending-addendum-0-2.pdf","gsii/522939-critical-care-attending-addendum-0-2.pdf")</f>
        <v>gsii/522939-critical-care-attending-addendum-0-2.pdf</v>
      </c>
      <c r="E1680">
        <v>120842</v>
      </c>
      <c r="F1680">
        <v>522939</v>
      </c>
      <c r="G1680" t="s">
        <v>9</v>
      </c>
      <c r="H1680" t="s">
        <v>1563</v>
      </c>
      <c r="I1680" t="s">
        <v>3223</v>
      </c>
    </row>
    <row r="1681" spans="1:9" x14ac:dyDescent="0.2">
      <c r="A1681" t="s">
        <v>3224</v>
      </c>
      <c r="D1681" t="str">
        <f>HYPERLINK("http://nlpdeep.cs.uic.edu:8080/proofing/t5/522939-critical-care-attending-addendum-0-3.pdf","t5/522939-critical-care-attending-addendum-0-3.pdf")</f>
        <v>t5/522939-critical-care-attending-addendum-0-3.pdf</v>
      </c>
      <c r="E1681">
        <v>120842</v>
      </c>
      <c r="F1681">
        <v>522939</v>
      </c>
      <c r="G1681" t="s">
        <v>9</v>
      </c>
      <c r="H1681" t="s">
        <v>1563</v>
      </c>
      <c r="I1681" t="s">
        <v>3225</v>
      </c>
    </row>
    <row r="1682" spans="1:9" x14ac:dyDescent="0.2">
      <c r="A1682" t="s">
        <v>3224</v>
      </c>
      <c r="D1682" t="str">
        <f>HYPERLINK("http://nlpdeep.cs.uic.edu:8080/proofing/gsii/522939-critical-care-attending-addendum-0-3.pdf","gsii/522939-critical-care-attending-addendum-0-3.pdf")</f>
        <v>gsii/522939-critical-care-attending-addendum-0-3.pdf</v>
      </c>
      <c r="E1682">
        <v>120842</v>
      </c>
      <c r="F1682">
        <v>522939</v>
      </c>
      <c r="G1682" t="s">
        <v>9</v>
      </c>
      <c r="H1682" t="s">
        <v>1563</v>
      </c>
      <c r="I1682" t="s">
        <v>3225</v>
      </c>
    </row>
    <row r="1683" spans="1:9" x14ac:dyDescent="0.2">
      <c r="A1683" t="s">
        <v>3226</v>
      </c>
      <c r="D1683" t="str">
        <f>HYPERLINK("http://nlpdeep.cs.uic.edu:8080/proofing/t5/522939-critical-care-attending-addendum-0-4.pdf","t5/522939-critical-care-attending-addendum-0-4.pdf")</f>
        <v>t5/522939-critical-care-attending-addendum-0-4.pdf</v>
      </c>
      <c r="E1683">
        <v>120842</v>
      </c>
      <c r="F1683">
        <v>522939</v>
      </c>
      <c r="G1683" t="s">
        <v>9</v>
      </c>
      <c r="H1683" t="s">
        <v>1563</v>
      </c>
      <c r="I1683" t="s">
        <v>3227</v>
      </c>
    </row>
    <row r="1684" spans="1:9" x14ac:dyDescent="0.2">
      <c r="A1684" t="s">
        <v>3226</v>
      </c>
      <c r="D1684" t="str">
        <f>HYPERLINK("http://nlpdeep.cs.uic.edu:8080/proofing/gsii/522939-critical-care-attending-addendum-0-4.pdf","gsii/522939-critical-care-attending-addendum-0-4.pdf")</f>
        <v>gsii/522939-critical-care-attending-addendum-0-4.pdf</v>
      </c>
      <c r="E1684">
        <v>120842</v>
      </c>
      <c r="F1684">
        <v>522939</v>
      </c>
      <c r="G1684" t="s">
        <v>9</v>
      </c>
      <c r="H1684" t="s">
        <v>1563</v>
      </c>
      <c r="I1684" t="s">
        <v>3227</v>
      </c>
    </row>
    <row r="1685" spans="1:9" x14ac:dyDescent="0.2">
      <c r="A1685" t="s">
        <v>3228</v>
      </c>
      <c r="D1685" t="str">
        <f>HYPERLINK("http://nlpdeep.cs.uic.edu:8080/proofing/t5/522939-critical-care-attending-addendum-0-5.pdf","t5/522939-critical-care-attending-addendum-0-5.pdf")</f>
        <v>t5/522939-critical-care-attending-addendum-0-5.pdf</v>
      </c>
      <c r="E1685">
        <v>120842</v>
      </c>
      <c r="F1685">
        <v>522939</v>
      </c>
      <c r="G1685" t="s">
        <v>9</v>
      </c>
      <c r="H1685" t="s">
        <v>1563</v>
      </c>
      <c r="I1685" t="s">
        <v>3229</v>
      </c>
    </row>
    <row r="1686" spans="1:9" x14ac:dyDescent="0.2">
      <c r="A1686" t="s">
        <v>3228</v>
      </c>
      <c r="D1686" t="str">
        <f>HYPERLINK("http://nlpdeep.cs.uic.edu:8080/proofing/gsii/522939-critical-care-attending-addendum-0-5.pdf","gsii/522939-critical-care-attending-addendum-0-5.pdf")</f>
        <v>gsii/522939-critical-care-attending-addendum-0-5.pdf</v>
      </c>
      <c r="E1686">
        <v>120842</v>
      </c>
      <c r="F1686">
        <v>522939</v>
      </c>
      <c r="G1686" t="s">
        <v>9</v>
      </c>
      <c r="H1686" t="s">
        <v>1563</v>
      </c>
      <c r="I1686" t="s">
        <v>3229</v>
      </c>
    </row>
    <row r="1687" spans="1:9" x14ac:dyDescent="0.2">
      <c r="A1687" t="s">
        <v>3230</v>
      </c>
      <c r="D1687" t="str">
        <f>HYPERLINK("http://nlpdeep.cs.uic.edu:8080/proofing/t5/522939-critical-care-attending-addendum-0-6.pdf","t5/522939-critical-care-attending-addendum-0-6.pdf")</f>
        <v>t5/522939-critical-care-attending-addendum-0-6.pdf</v>
      </c>
      <c r="E1687">
        <v>120842</v>
      </c>
      <c r="F1687">
        <v>522939</v>
      </c>
      <c r="G1687" t="s">
        <v>9</v>
      </c>
      <c r="H1687" t="s">
        <v>1563</v>
      </c>
      <c r="I1687" t="s">
        <v>3231</v>
      </c>
    </row>
    <row r="1688" spans="1:9" x14ac:dyDescent="0.2">
      <c r="A1688" t="s">
        <v>3230</v>
      </c>
      <c r="D1688" t="str">
        <f>HYPERLINK("http://nlpdeep.cs.uic.edu:8080/proofing/gsii/522939-critical-care-attending-addendum-0-6.pdf","gsii/522939-critical-care-attending-addendum-0-6.pdf")</f>
        <v>gsii/522939-critical-care-attending-addendum-0-6.pdf</v>
      </c>
      <c r="E1688">
        <v>120842</v>
      </c>
      <c r="F1688">
        <v>522939</v>
      </c>
      <c r="G1688" t="s">
        <v>9</v>
      </c>
      <c r="H1688" t="s">
        <v>1563</v>
      </c>
      <c r="I1688" t="s">
        <v>3231</v>
      </c>
    </row>
    <row r="1689" spans="1:9" x14ac:dyDescent="0.2">
      <c r="A1689" t="s">
        <v>3232</v>
      </c>
      <c r="D1689" t="str">
        <f>HYPERLINK("http://nlpdeep.cs.uic.edu:8080/proofing/t5/522939-critical-care-attending-addendum-0-7.pdf","t5/522939-critical-care-attending-addendum-0-7.pdf")</f>
        <v>t5/522939-critical-care-attending-addendum-0-7.pdf</v>
      </c>
      <c r="E1689">
        <v>120842</v>
      </c>
      <c r="F1689">
        <v>522939</v>
      </c>
      <c r="G1689" t="s">
        <v>9</v>
      </c>
      <c r="H1689" t="s">
        <v>1563</v>
      </c>
      <c r="I1689" t="s">
        <v>3233</v>
      </c>
    </row>
    <row r="1690" spans="1:9" x14ac:dyDescent="0.2">
      <c r="A1690" t="s">
        <v>3232</v>
      </c>
      <c r="D1690" t="str">
        <f>HYPERLINK("http://nlpdeep.cs.uic.edu:8080/proofing/gsii/522939-critical-care-attending-addendum-0-7.pdf","gsii/522939-critical-care-attending-addendum-0-7.pdf")</f>
        <v>gsii/522939-critical-care-attending-addendum-0-7.pdf</v>
      </c>
      <c r="E1690">
        <v>120842</v>
      </c>
      <c r="F1690">
        <v>522939</v>
      </c>
      <c r="G1690" t="s">
        <v>9</v>
      </c>
      <c r="H1690" t="s">
        <v>1563</v>
      </c>
      <c r="I1690" t="s">
        <v>3233</v>
      </c>
    </row>
    <row r="1691" spans="1:9" x14ac:dyDescent="0.2">
      <c r="A1691" t="s">
        <v>3234</v>
      </c>
      <c r="D1691" t="str">
        <f>HYPERLINK("http://nlpdeep.cs.uic.edu:8080/proofing/t5/522939-critical-care-attending-addendum-0-8.pdf","t5/522939-critical-care-attending-addendum-0-8.pdf")</f>
        <v>t5/522939-critical-care-attending-addendum-0-8.pdf</v>
      </c>
      <c r="E1691">
        <v>120842</v>
      </c>
      <c r="F1691">
        <v>522939</v>
      </c>
      <c r="G1691" t="s">
        <v>9</v>
      </c>
      <c r="H1691" t="s">
        <v>1563</v>
      </c>
      <c r="I1691" t="s">
        <v>3235</v>
      </c>
    </row>
    <row r="1692" spans="1:9" x14ac:dyDescent="0.2">
      <c r="A1692" t="s">
        <v>3234</v>
      </c>
      <c r="D1692" t="str">
        <f>HYPERLINK("http://nlpdeep.cs.uic.edu:8080/proofing/gsii/522939-critical-care-attending-addendum-0-8.pdf","gsii/522939-critical-care-attending-addendum-0-8.pdf")</f>
        <v>gsii/522939-critical-care-attending-addendum-0-8.pdf</v>
      </c>
      <c r="E1692">
        <v>120842</v>
      </c>
      <c r="F1692">
        <v>522939</v>
      </c>
      <c r="G1692" t="s">
        <v>9</v>
      </c>
      <c r="H1692" t="s">
        <v>1563</v>
      </c>
      <c r="I1692" t="s">
        <v>3235</v>
      </c>
    </row>
    <row r="1693" spans="1:9" x14ac:dyDescent="0.2">
      <c r="A1693" t="s">
        <v>3236</v>
      </c>
      <c r="D1693" t="str">
        <f>HYPERLINK("http://nlpdeep.cs.uic.edu:8080/proofing/t5/522939-critical-care-attending-addendum-0-9.pdf","t5/522939-critical-care-attending-addendum-0-9.pdf")</f>
        <v>t5/522939-critical-care-attending-addendum-0-9.pdf</v>
      </c>
      <c r="E1693">
        <v>120842</v>
      </c>
      <c r="F1693">
        <v>522939</v>
      </c>
      <c r="G1693" t="s">
        <v>9</v>
      </c>
      <c r="H1693" t="s">
        <v>1563</v>
      </c>
      <c r="I1693" t="s">
        <v>3237</v>
      </c>
    </row>
    <row r="1694" spans="1:9" x14ac:dyDescent="0.2">
      <c r="A1694" t="s">
        <v>3236</v>
      </c>
      <c r="D1694" t="str">
        <f>HYPERLINK("http://nlpdeep.cs.uic.edu:8080/proofing/gsii/522939-critical-care-attending-addendum-0-9.pdf","gsii/522939-critical-care-attending-addendum-0-9.pdf")</f>
        <v>gsii/522939-critical-care-attending-addendum-0-9.pdf</v>
      </c>
      <c r="E1694">
        <v>120842</v>
      </c>
      <c r="F1694">
        <v>522939</v>
      </c>
      <c r="G1694" t="s">
        <v>9</v>
      </c>
      <c r="H1694" t="s">
        <v>1563</v>
      </c>
      <c r="I1694" t="s">
        <v>3237</v>
      </c>
    </row>
    <row r="1695" spans="1:9" x14ac:dyDescent="0.2">
      <c r="A1695" t="s">
        <v>3238</v>
      </c>
      <c r="D1695" t="str">
        <f>HYPERLINK("http://nlpdeep.cs.uic.edu:8080/proofing/t5/522939-critical-care-attending-addendum-0-10.pdf","t5/522939-critical-care-attending-addendum-0-10.pdf")</f>
        <v>t5/522939-critical-care-attending-addendum-0-10.pdf</v>
      </c>
      <c r="E1695">
        <v>120842</v>
      </c>
      <c r="F1695">
        <v>522939</v>
      </c>
      <c r="G1695" t="s">
        <v>9</v>
      </c>
      <c r="H1695" t="s">
        <v>1563</v>
      </c>
      <c r="I1695" t="s">
        <v>3239</v>
      </c>
    </row>
    <row r="1696" spans="1:9" x14ac:dyDescent="0.2">
      <c r="A1696" t="s">
        <v>3238</v>
      </c>
      <c r="D1696" t="str">
        <f>HYPERLINK("http://nlpdeep.cs.uic.edu:8080/proofing/gsii/522939-critical-care-attending-addendum-0-10.pdf","gsii/522939-critical-care-attending-addendum-0-10.pdf")</f>
        <v>gsii/522939-critical-care-attending-addendum-0-10.pdf</v>
      </c>
      <c r="E1696">
        <v>120842</v>
      </c>
      <c r="F1696">
        <v>522939</v>
      </c>
      <c r="G1696" t="s">
        <v>9</v>
      </c>
      <c r="H1696" t="s">
        <v>1563</v>
      </c>
      <c r="I1696" t="s">
        <v>3239</v>
      </c>
    </row>
    <row r="1697" spans="1:9" x14ac:dyDescent="0.2">
      <c r="A1697" t="s">
        <v>3240</v>
      </c>
      <c r="D1697" t="str">
        <f>HYPERLINK("http://nlpdeep.cs.uic.edu:8080/proofing/t5/522939-critical-care-attending-addendum-0-11.pdf","t5/522939-critical-care-attending-addendum-0-11.pdf")</f>
        <v>t5/522939-critical-care-attending-addendum-0-11.pdf</v>
      </c>
      <c r="E1697">
        <v>120842</v>
      </c>
      <c r="F1697">
        <v>522939</v>
      </c>
      <c r="G1697" t="s">
        <v>9</v>
      </c>
      <c r="H1697" t="s">
        <v>1563</v>
      </c>
      <c r="I1697" t="s">
        <v>3241</v>
      </c>
    </row>
    <row r="1698" spans="1:9" x14ac:dyDescent="0.2">
      <c r="A1698" t="s">
        <v>3240</v>
      </c>
      <c r="D1698" t="str">
        <f>HYPERLINK("http://nlpdeep.cs.uic.edu:8080/proofing/gsii/522939-critical-care-attending-addendum-0-11.pdf","gsii/522939-critical-care-attending-addendum-0-11.pdf")</f>
        <v>gsii/522939-critical-care-attending-addendum-0-11.pdf</v>
      </c>
      <c r="E1698">
        <v>120842</v>
      </c>
      <c r="F1698">
        <v>522939</v>
      </c>
      <c r="G1698" t="s">
        <v>9</v>
      </c>
      <c r="H1698" t="s">
        <v>1563</v>
      </c>
      <c r="I1698" t="s">
        <v>3241</v>
      </c>
    </row>
    <row r="1699" spans="1:9" x14ac:dyDescent="0.2">
      <c r="A1699" t="s">
        <v>3242</v>
      </c>
      <c r="D1699" t="str">
        <f>HYPERLINK("http://nlpdeep.cs.uic.edu:8080/proofing/t5/43723-allergies-0-0.pdf","t5/43723-allergies-0-0.pdf")</f>
        <v>t5/43723-allergies-0-0.pdf</v>
      </c>
      <c r="E1699">
        <v>120842</v>
      </c>
      <c r="F1699">
        <v>43723</v>
      </c>
      <c r="G1699" t="s">
        <v>745</v>
      </c>
      <c r="H1699" t="s">
        <v>64</v>
      </c>
      <c r="I1699" t="s">
        <v>2937</v>
      </c>
    </row>
    <row r="1700" spans="1:9" x14ac:dyDescent="0.2">
      <c r="A1700" t="s">
        <v>3242</v>
      </c>
      <c r="D1700" t="str">
        <f>HYPERLINK("http://nlpdeep.cs.uic.edu:8080/proofing/gsii/43723-allergies-0-0.pdf","gsii/43723-allergies-0-0.pdf")</f>
        <v>gsii/43723-allergies-0-0.pdf</v>
      </c>
      <c r="E1700">
        <v>120842</v>
      </c>
      <c r="F1700">
        <v>43723</v>
      </c>
      <c r="G1700" t="s">
        <v>745</v>
      </c>
      <c r="H1700" t="s">
        <v>64</v>
      </c>
      <c r="I1700" t="s">
        <v>2937</v>
      </c>
    </row>
    <row r="1701" spans="1:9" x14ac:dyDescent="0.2">
      <c r="A1701" t="s">
        <v>3243</v>
      </c>
      <c r="D1701" t="str">
        <f>HYPERLINK("http://nlpdeep.cs.uic.edu:8080/proofing/t5/43723-chief-complaint-0-0.pdf","t5/43723-chief-complaint-0-0.pdf")</f>
        <v>t5/43723-chief-complaint-0-0.pdf</v>
      </c>
      <c r="E1701">
        <v>120842</v>
      </c>
      <c r="F1701">
        <v>43723</v>
      </c>
      <c r="G1701" t="s">
        <v>745</v>
      </c>
      <c r="H1701" t="s">
        <v>10</v>
      </c>
      <c r="I1701" t="s">
        <v>3244</v>
      </c>
    </row>
    <row r="1702" spans="1:9" x14ac:dyDescent="0.2">
      <c r="A1702" t="s">
        <v>3243</v>
      </c>
      <c r="D1702" t="str">
        <f>HYPERLINK("http://nlpdeep.cs.uic.edu:8080/proofing/gsii/43723-chief-complaint-0-0.pdf","gsii/43723-chief-complaint-0-0.pdf")</f>
        <v>gsii/43723-chief-complaint-0-0.pdf</v>
      </c>
      <c r="E1702">
        <v>120842</v>
      </c>
      <c r="F1702">
        <v>43723</v>
      </c>
      <c r="G1702" t="s">
        <v>745</v>
      </c>
      <c r="H1702" t="s">
        <v>10</v>
      </c>
      <c r="I1702" t="s">
        <v>3244</v>
      </c>
    </row>
    <row r="1703" spans="1:9" x14ac:dyDescent="0.2">
      <c r="A1703" t="s">
        <v>3245</v>
      </c>
      <c r="D1703" t="str">
        <f>HYPERLINK("http://nlpdeep.cs.uic.edu:8080/proofing/t5/43723-major-surgical-or-invasive-procedure-0-0.pdf","t5/43723-major-surgical-or-invasive-procedure-0-0.pdf")</f>
        <v>t5/43723-major-surgical-or-invasive-procedure-0-0.pdf</v>
      </c>
      <c r="E1703">
        <v>120842</v>
      </c>
      <c r="F1703">
        <v>43723</v>
      </c>
      <c r="G1703" t="s">
        <v>745</v>
      </c>
      <c r="H1703" t="s">
        <v>750</v>
      </c>
      <c r="I1703" t="s">
        <v>523</v>
      </c>
    </row>
    <row r="1704" spans="1:9" x14ac:dyDescent="0.2">
      <c r="A1704" t="s">
        <v>3245</v>
      </c>
      <c r="D1704" t="str">
        <f>HYPERLINK("http://nlpdeep.cs.uic.edu:8080/proofing/gsii/43723-major-surgical-or-invasive-procedure-0-0.pdf","gsii/43723-major-surgical-or-invasive-procedure-0-0.pdf")</f>
        <v>gsii/43723-major-surgical-or-invasive-procedure-0-0.pdf</v>
      </c>
      <c r="E1704">
        <v>120842</v>
      </c>
      <c r="F1704">
        <v>43723</v>
      </c>
      <c r="G1704" t="s">
        <v>745</v>
      </c>
      <c r="H1704" t="s">
        <v>750</v>
      </c>
      <c r="I1704" t="s">
        <v>523</v>
      </c>
    </row>
    <row r="1705" spans="1:9" x14ac:dyDescent="0.2">
      <c r="A1705" t="s">
        <v>3246</v>
      </c>
      <c r="D1705" t="str">
        <f>HYPERLINK("http://nlpdeep.cs.uic.edu:8080/proofing/t5/43723-history-of-present-illness-0-0.pdf","t5/43723-history-of-present-illness-0-0.pdf")</f>
        <v>t5/43723-history-of-present-illness-0-0.pdf</v>
      </c>
      <c r="E1705">
        <v>120842</v>
      </c>
      <c r="F1705">
        <v>43723</v>
      </c>
      <c r="G1705" t="s">
        <v>745</v>
      </c>
      <c r="H1705" t="s">
        <v>13</v>
      </c>
      <c r="I1705" t="s">
        <v>3247</v>
      </c>
    </row>
    <row r="1706" spans="1:9" x14ac:dyDescent="0.2">
      <c r="A1706" t="s">
        <v>3246</v>
      </c>
      <c r="D1706" t="str">
        <f>HYPERLINK("http://nlpdeep.cs.uic.edu:8080/proofing/gsii/43723-history-of-present-illness-0-0.pdf","gsii/43723-history-of-present-illness-0-0.pdf")</f>
        <v>gsii/43723-history-of-present-illness-0-0.pdf</v>
      </c>
      <c r="E1706">
        <v>120842</v>
      </c>
      <c r="F1706">
        <v>43723</v>
      </c>
      <c r="G1706" t="s">
        <v>745</v>
      </c>
      <c r="H1706" t="s">
        <v>13</v>
      </c>
      <c r="I1706" t="s">
        <v>3247</v>
      </c>
    </row>
    <row r="1707" spans="1:9" x14ac:dyDescent="0.2">
      <c r="A1707" t="s">
        <v>3248</v>
      </c>
      <c r="D1707" t="str">
        <f>HYPERLINK("http://nlpdeep.cs.uic.edu:8080/proofing/t5/43723-history-of-present-illness-0-1.pdf","t5/43723-history-of-present-illness-0-1.pdf")</f>
        <v>t5/43723-history-of-present-illness-0-1.pdf</v>
      </c>
      <c r="E1707">
        <v>120842</v>
      </c>
      <c r="F1707">
        <v>43723</v>
      </c>
      <c r="G1707" t="s">
        <v>745</v>
      </c>
      <c r="H1707" t="s">
        <v>13</v>
      </c>
      <c r="I1707" t="s">
        <v>3249</v>
      </c>
    </row>
    <row r="1708" spans="1:9" x14ac:dyDescent="0.2">
      <c r="A1708" t="s">
        <v>3248</v>
      </c>
      <c r="D1708" t="str">
        <f>HYPERLINK("http://nlpdeep.cs.uic.edu:8080/proofing/gsii/43723-history-of-present-illness-0-1.pdf","gsii/43723-history-of-present-illness-0-1.pdf")</f>
        <v>gsii/43723-history-of-present-illness-0-1.pdf</v>
      </c>
      <c r="E1708">
        <v>120842</v>
      </c>
      <c r="F1708">
        <v>43723</v>
      </c>
      <c r="G1708" t="s">
        <v>745</v>
      </c>
      <c r="H1708" t="s">
        <v>13</v>
      </c>
      <c r="I1708" t="s">
        <v>3249</v>
      </c>
    </row>
    <row r="1709" spans="1:9" x14ac:dyDescent="0.2">
      <c r="A1709" t="s">
        <v>3250</v>
      </c>
      <c r="D1709" t="str">
        <f>HYPERLINK("http://nlpdeep.cs.uic.edu:8080/proofing/t5/43723-history-of-present-illness-0-2.pdf","t5/43723-history-of-present-illness-0-2.pdf")</f>
        <v>t5/43723-history-of-present-illness-0-2.pdf</v>
      </c>
      <c r="E1709">
        <v>120842</v>
      </c>
      <c r="F1709">
        <v>43723</v>
      </c>
      <c r="G1709" t="s">
        <v>745</v>
      </c>
      <c r="H1709" t="s">
        <v>13</v>
      </c>
      <c r="I1709" t="s">
        <v>3251</v>
      </c>
    </row>
    <row r="1710" spans="1:9" x14ac:dyDescent="0.2">
      <c r="A1710" t="s">
        <v>3250</v>
      </c>
      <c r="D1710" t="str">
        <f>HYPERLINK("http://nlpdeep.cs.uic.edu:8080/proofing/gsii/43723-history-of-present-illness-0-2.pdf","gsii/43723-history-of-present-illness-0-2.pdf")</f>
        <v>gsii/43723-history-of-present-illness-0-2.pdf</v>
      </c>
      <c r="E1710">
        <v>120842</v>
      </c>
      <c r="F1710">
        <v>43723</v>
      </c>
      <c r="G1710" t="s">
        <v>745</v>
      </c>
      <c r="H1710" t="s">
        <v>13</v>
      </c>
      <c r="I1710" t="s">
        <v>3251</v>
      </c>
    </row>
    <row r="1711" spans="1:9" x14ac:dyDescent="0.2">
      <c r="A1711" t="s">
        <v>3252</v>
      </c>
      <c r="D1711" t="str">
        <f>HYPERLINK("http://nlpdeep.cs.uic.edu:8080/proofing/t5/43723-history-of-present-illness-0-3.pdf","t5/43723-history-of-present-illness-0-3.pdf")</f>
        <v>t5/43723-history-of-present-illness-0-3.pdf</v>
      </c>
      <c r="E1711">
        <v>120842</v>
      </c>
      <c r="F1711">
        <v>43723</v>
      </c>
      <c r="G1711" t="s">
        <v>745</v>
      </c>
      <c r="H1711" t="s">
        <v>13</v>
      </c>
      <c r="I1711" t="s">
        <v>3253</v>
      </c>
    </row>
    <row r="1712" spans="1:9" x14ac:dyDescent="0.2">
      <c r="A1712" t="s">
        <v>3252</v>
      </c>
      <c r="D1712" t="str">
        <f>HYPERLINK("http://nlpdeep.cs.uic.edu:8080/proofing/gsii/43723-history-of-present-illness-0-3.pdf","gsii/43723-history-of-present-illness-0-3.pdf")</f>
        <v>gsii/43723-history-of-present-illness-0-3.pdf</v>
      </c>
      <c r="E1712">
        <v>120842</v>
      </c>
      <c r="F1712">
        <v>43723</v>
      </c>
      <c r="G1712" t="s">
        <v>745</v>
      </c>
      <c r="H1712" t="s">
        <v>13</v>
      </c>
      <c r="I1712" t="s">
        <v>3253</v>
      </c>
    </row>
    <row r="1713" spans="1:9" x14ac:dyDescent="0.2">
      <c r="A1713" t="s">
        <v>3254</v>
      </c>
      <c r="D1713" t="str">
        <f>HYPERLINK("http://nlpdeep.cs.uic.edu:8080/proofing/t5/43723-history-of-present-illness-0-4.pdf","t5/43723-history-of-present-illness-0-4.pdf")</f>
        <v>t5/43723-history-of-present-illness-0-4.pdf</v>
      </c>
      <c r="E1713">
        <v>120842</v>
      </c>
      <c r="F1713">
        <v>43723</v>
      </c>
      <c r="G1713" t="s">
        <v>745</v>
      </c>
      <c r="H1713" t="s">
        <v>13</v>
      </c>
      <c r="I1713" t="s">
        <v>3255</v>
      </c>
    </row>
    <row r="1714" spans="1:9" x14ac:dyDescent="0.2">
      <c r="A1714" t="s">
        <v>3254</v>
      </c>
      <c r="D1714" t="str">
        <f>HYPERLINK("http://nlpdeep.cs.uic.edu:8080/proofing/gsii/43723-history-of-present-illness-0-4.pdf","gsii/43723-history-of-present-illness-0-4.pdf")</f>
        <v>gsii/43723-history-of-present-illness-0-4.pdf</v>
      </c>
      <c r="E1714">
        <v>120842</v>
      </c>
      <c r="F1714">
        <v>43723</v>
      </c>
      <c r="G1714" t="s">
        <v>745</v>
      </c>
      <c r="H1714" t="s">
        <v>13</v>
      </c>
      <c r="I1714" t="s">
        <v>3255</v>
      </c>
    </row>
    <row r="1715" spans="1:9" x14ac:dyDescent="0.2">
      <c r="A1715" t="s">
        <v>3256</v>
      </c>
      <c r="D1715" t="str">
        <f>HYPERLINK("http://nlpdeep.cs.uic.edu:8080/proofing/t5/43723-past-medical-history-0-0.pdf","t5/43723-past-medical-history-0-0.pdf")</f>
        <v>t5/43723-past-medical-history-0-0.pdf</v>
      </c>
      <c r="E1715">
        <v>120842</v>
      </c>
      <c r="F1715">
        <v>43723</v>
      </c>
      <c r="G1715" t="s">
        <v>745</v>
      </c>
      <c r="H1715" t="s">
        <v>76</v>
      </c>
      <c r="I1715" t="s">
        <v>2787</v>
      </c>
    </row>
    <row r="1716" spans="1:9" x14ac:dyDescent="0.2">
      <c r="A1716" t="s">
        <v>3256</v>
      </c>
      <c r="D1716" t="str">
        <f>HYPERLINK("http://nlpdeep.cs.uic.edu:8080/proofing/gsii/43723-past-medical-history-0-0.pdf","gsii/43723-past-medical-history-0-0.pdf")</f>
        <v>gsii/43723-past-medical-history-0-0.pdf</v>
      </c>
      <c r="E1716">
        <v>120842</v>
      </c>
      <c r="F1716">
        <v>43723</v>
      </c>
      <c r="G1716" t="s">
        <v>745</v>
      </c>
      <c r="H1716" t="s">
        <v>76</v>
      </c>
      <c r="I1716" t="s">
        <v>2787</v>
      </c>
    </row>
    <row r="1717" spans="1:9" x14ac:dyDescent="0.2">
      <c r="A1717" t="s">
        <v>3257</v>
      </c>
      <c r="D1717" t="str">
        <f>HYPERLINK("http://nlpdeep.cs.uic.edu:8080/proofing/t5/43723-past-medical-history-0-1.pdf","t5/43723-past-medical-history-0-1.pdf")</f>
        <v>t5/43723-past-medical-history-0-1.pdf</v>
      </c>
      <c r="E1717">
        <v>120842</v>
      </c>
      <c r="F1717">
        <v>43723</v>
      </c>
      <c r="G1717" t="s">
        <v>745</v>
      </c>
      <c r="H1717" t="s">
        <v>76</v>
      </c>
      <c r="I1717" t="s">
        <v>3258</v>
      </c>
    </row>
    <row r="1718" spans="1:9" x14ac:dyDescent="0.2">
      <c r="A1718" t="s">
        <v>3257</v>
      </c>
      <c r="D1718" t="str">
        <f>HYPERLINK("http://nlpdeep.cs.uic.edu:8080/proofing/gsii/43723-past-medical-history-0-1.pdf","gsii/43723-past-medical-history-0-1.pdf")</f>
        <v>gsii/43723-past-medical-history-0-1.pdf</v>
      </c>
      <c r="E1718">
        <v>120842</v>
      </c>
      <c r="F1718">
        <v>43723</v>
      </c>
      <c r="G1718" t="s">
        <v>745</v>
      </c>
      <c r="H1718" t="s">
        <v>76</v>
      </c>
      <c r="I1718" t="s">
        <v>3258</v>
      </c>
    </row>
    <row r="1719" spans="1:9" x14ac:dyDescent="0.2">
      <c r="A1719" t="s">
        <v>3259</v>
      </c>
      <c r="D1719" t="str">
        <f>HYPERLINK("http://nlpdeep.cs.uic.edu:8080/proofing/t5/43723-past-medical-history-0-2.pdf","t5/43723-past-medical-history-0-2.pdf")</f>
        <v>t5/43723-past-medical-history-0-2.pdf</v>
      </c>
      <c r="E1719">
        <v>120842</v>
      </c>
      <c r="F1719">
        <v>43723</v>
      </c>
      <c r="G1719" t="s">
        <v>745</v>
      </c>
      <c r="H1719" t="s">
        <v>76</v>
      </c>
      <c r="I1719" t="s">
        <v>3260</v>
      </c>
    </row>
    <row r="1720" spans="1:9" x14ac:dyDescent="0.2">
      <c r="A1720" t="s">
        <v>3259</v>
      </c>
      <c r="D1720" t="str">
        <f>HYPERLINK("http://nlpdeep.cs.uic.edu:8080/proofing/gsii/43723-past-medical-history-0-2.pdf","gsii/43723-past-medical-history-0-2.pdf")</f>
        <v>gsii/43723-past-medical-history-0-2.pdf</v>
      </c>
      <c r="E1720">
        <v>120842</v>
      </c>
      <c r="F1720">
        <v>43723</v>
      </c>
      <c r="G1720" t="s">
        <v>745</v>
      </c>
      <c r="H1720" t="s">
        <v>76</v>
      </c>
      <c r="I1720" t="s">
        <v>3260</v>
      </c>
    </row>
    <row r="1721" spans="1:9" x14ac:dyDescent="0.2">
      <c r="A1721" t="s">
        <v>3261</v>
      </c>
      <c r="D1721" t="str">
        <f>HYPERLINK("http://nlpdeep.cs.uic.edu:8080/proofing/t5/43723-past-medical-history-0-3.pdf","t5/43723-past-medical-history-0-3.pdf")</f>
        <v>t5/43723-past-medical-history-0-3.pdf</v>
      </c>
      <c r="E1721">
        <v>120842</v>
      </c>
      <c r="F1721">
        <v>43723</v>
      </c>
      <c r="G1721" t="s">
        <v>745</v>
      </c>
      <c r="H1721" t="s">
        <v>76</v>
      </c>
      <c r="I1721" t="s">
        <v>3262</v>
      </c>
    </row>
    <row r="1722" spans="1:9" x14ac:dyDescent="0.2">
      <c r="A1722" t="s">
        <v>3261</v>
      </c>
      <c r="D1722" t="str">
        <f>HYPERLINK("http://nlpdeep.cs.uic.edu:8080/proofing/gsii/43723-past-medical-history-0-3.pdf","gsii/43723-past-medical-history-0-3.pdf")</f>
        <v>gsii/43723-past-medical-history-0-3.pdf</v>
      </c>
      <c r="E1722">
        <v>120842</v>
      </c>
      <c r="F1722">
        <v>43723</v>
      </c>
      <c r="G1722" t="s">
        <v>745</v>
      </c>
      <c r="H1722" t="s">
        <v>76</v>
      </c>
      <c r="I1722" t="s">
        <v>3262</v>
      </c>
    </row>
    <row r="1723" spans="1:9" x14ac:dyDescent="0.2">
      <c r="A1723" t="s">
        <v>3263</v>
      </c>
      <c r="D1723" t="str">
        <f>HYPERLINK("http://nlpdeep.cs.uic.edu:8080/proofing/t5/43723-past-medical-history-0-4.pdf","t5/43723-past-medical-history-0-4.pdf")</f>
        <v>t5/43723-past-medical-history-0-4.pdf</v>
      </c>
      <c r="E1723">
        <v>120842</v>
      </c>
      <c r="F1723">
        <v>43723</v>
      </c>
      <c r="G1723" t="s">
        <v>745</v>
      </c>
      <c r="H1723" t="s">
        <v>76</v>
      </c>
      <c r="I1723" t="s">
        <v>3264</v>
      </c>
    </row>
    <row r="1724" spans="1:9" x14ac:dyDescent="0.2">
      <c r="A1724" t="s">
        <v>3263</v>
      </c>
      <c r="D1724" t="str">
        <f>HYPERLINK("http://nlpdeep.cs.uic.edu:8080/proofing/gsii/43723-past-medical-history-0-4.pdf","gsii/43723-past-medical-history-0-4.pdf")</f>
        <v>gsii/43723-past-medical-history-0-4.pdf</v>
      </c>
      <c r="E1724">
        <v>120842</v>
      </c>
      <c r="F1724">
        <v>43723</v>
      </c>
      <c r="G1724" t="s">
        <v>745</v>
      </c>
      <c r="H1724" t="s">
        <v>76</v>
      </c>
      <c r="I1724" t="s">
        <v>3264</v>
      </c>
    </row>
    <row r="1725" spans="1:9" x14ac:dyDescent="0.2">
      <c r="A1725" t="s">
        <v>3265</v>
      </c>
      <c r="D1725" t="str">
        <f>HYPERLINK("http://nlpdeep.cs.uic.edu:8080/proofing/t5/43723-social-history-0-0.pdf","t5/43723-social-history-0-0.pdf")</f>
        <v>t5/43723-social-history-0-0.pdf</v>
      </c>
      <c r="E1725">
        <v>120842</v>
      </c>
      <c r="F1725">
        <v>43723</v>
      </c>
      <c r="G1725" t="s">
        <v>745</v>
      </c>
      <c r="H1725" t="s">
        <v>118</v>
      </c>
      <c r="I1725" t="s">
        <v>3266</v>
      </c>
    </row>
    <row r="1726" spans="1:9" x14ac:dyDescent="0.2">
      <c r="A1726" t="s">
        <v>3265</v>
      </c>
      <c r="D1726" t="str">
        <f>HYPERLINK("http://nlpdeep.cs.uic.edu:8080/proofing/gsii/43723-social-history-0-0.pdf","gsii/43723-social-history-0-0.pdf")</f>
        <v>gsii/43723-social-history-0-0.pdf</v>
      </c>
      <c r="E1726">
        <v>120842</v>
      </c>
      <c r="F1726">
        <v>43723</v>
      </c>
      <c r="G1726" t="s">
        <v>745</v>
      </c>
      <c r="H1726" t="s">
        <v>118</v>
      </c>
      <c r="I1726" t="s">
        <v>3266</v>
      </c>
    </row>
    <row r="1727" spans="1:9" x14ac:dyDescent="0.2">
      <c r="A1727" t="s">
        <v>3267</v>
      </c>
      <c r="D1727" t="str">
        <f>HYPERLINK("http://nlpdeep.cs.uic.edu:8080/proofing/t5/43723-social-history-0-1.pdf","t5/43723-social-history-0-1.pdf")</f>
        <v>t5/43723-social-history-0-1.pdf</v>
      </c>
      <c r="E1727">
        <v>120842</v>
      </c>
      <c r="F1727">
        <v>43723</v>
      </c>
      <c r="G1727" t="s">
        <v>745</v>
      </c>
      <c r="H1727" t="s">
        <v>118</v>
      </c>
      <c r="I1727" t="s">
        <v>3268</v>
      </c>
    </row>
    <row r="1728" spans="1:9" x14ac:dyDescent="0.2">
      <c r="A1728" t="s">
        <v>3267</v>
      </c>
      <c r="D1728" t="str">
        <f>HYPERLINK("http://nlpdeep.cs.uic.edu:8080/proofing/gsii/43723-social-history-0-1.pdf","gsii/43723-social-history-0-1.pdf")</f>
        <v>gsii/43723-social-history-0-1.pdf</v>
      </c>
      <c r="E1728">
        <v>120842</v>
      </c>
      <c r="F1728">
        <v>43723</v>
      </c>
      <c r="G1728" t="s">
        <v>745</v>
      </c>
      <c r="H1728" t="s">
        <v>118</v>
      </c>
      <c r="I1728" t="s">
        <v>3268</v>
      </c>
    </row>
    <row r="1729" spans="1:9" x14ac:dyDescent="0.2">
      <c r="A1729" t="s">
        <v>3269</v>
      </c>
      <c r="D1729" t="str">
        <f>HYPERLINK("http://nlpdeep.cs.uic.edu:8080/proofing/t5/43723-social-history-0-2.pdf","t5/43723-social-history-0-2.pdf")</f>
        <v>t5/43723-social-history-0-2.pdf</v>
      </c>
      <c r="E1729">
        <v>120842</v>
      </c>
      <c r="F1729">
        <v>43723</v>
      </c>
      <c r="G1729" t="s">
        <v>745</v>
      </c>
      <c r="H1729" t="s">
        <v>118</v>
      </c>
      <c r="I1729" t="s">
        <v>3270</v>
      </c>
    </row>
    <row r="1730" spans="1:9" x14ac:dyDescent="0.2">
      <c r="A1730" t="s">
        <v>3269</v>
      </c>
      <c r="D1730" t="str">
        <f>HYPERLINK("http://nlpdeep.cs.uic.edu:8080/proofing/gsii/43723-social-history-0-2.pdf","gsii/43723-social-history-0-2.pdf")</f>
        <v>gsii/43723-social-history-0-2.pdf</v>
      </c>
      <c r="E1730">
        <v>120842</v>
      </c>
      <c r="F1730">
        <v>43723</v>
      </c>
      <c r="G1730" t="s">
        <v>745</v>
      </c>
      <c r="H1730" t="s">
        <v>118</v>
      </c>
      <c r="I1730" t="s">
        <v>3270</v>
      </c>
    </row>
    <row r="1731" spans="1:9" x14ac:dyDescent="0.2">
      <c r="A1731" t="s">
        <v>3271</v>
      </c>
      <c r="D1731" t="str">
        <f>HYPERLINK("http://nlpdeep.cs.uic.edu:8080/proofing/t5/43723-social-history-0-3.pdf","t5/43723-social-history-0-3.pdf")</f>
        <v>t5/43723-social-history-0-3.pdf</v>
      </c>
      <c r="E1731">
        <v>120842</v>
      </c>
      <c r="F1731">
        <v>43723</v>
      </c>
      <c r="G1731" t="s">
        <v>745</v>
      </c>
      <c r="H1731" t="s">
        <v>118</v>
      </c>
      <c r="I1731" t="s">
        <v>3272</v>
      </c>
    </row>
    <row r="1732" spans="1:9" x14ac:dyDescent="0.2">
      <c r="A1732" t="s">
        <v>3271</v>
      </c>
      <c r="D1732" t="str">
        <f>HYPERLINK("http://nlpdeep.cs.uic.edu:8080/proofing/gsii/43723-social-history-0-3.pdf","gsii/43723-social-history-0-3.pdf")</f>
        <v>gsii/43723-social-history-0-3.pdf</v>
      </c>
      <c r="E1732">
        <v>120842</v>
      </c>
      <c r="F1732">
        <v>43723</v>
      </c>
      <c r="G1732" t="s">
        <v>745</v>
      </c>
      <c r="H1732" t="s">
        <v>118</v>
      </c>
      <c r="I1732" t="s">
        <v>3272</v>
      </c>
    </row>
    <row r="1733" spans="1:9" x14ac:dyDescent="0.2">
      <c r="A1733" t="s">
        <v>3273</v>
      </c>
      <c r="D1733" t="str">
        <f>HYPERLINK("http://nlpdeep.cs.uic.edu:8080/proofing/t5/43723-family-history-0-0.pdf","t5/43723-family-history-0-0.pdf")</f>
        <v>t5/43723-family-history-0-0.pdf</v>
      </c>
      <c r="E1733">
        <v>120842</v>
      </c>
      <c r="F1733">
        <v>43723</v>
      </c>
      <c r="G1733" t="s">
        <v>745</v>
      </c>
      <c r="H1733" t="s">
        <v>107</v>
      </c>
      <c r="I1733" t="s">
        <v>3274</v>
      </c>
    </row>
    <row r="1734" spans="1:9" x14ac:dyDescent="0.2">
      <c r="A1734" t="s">
        <v>3273</v>
      </c>
      <c r="D1734" t="str">
        <f>HYPERLINK("http://nlpdeep.cs.uic.edu:8080/proofing/gsii/43723-family-history-0-0.pdf","gsii/43723-family-history-0-0.pdf")</f>
        <v>gsii/43723-family-history-0-0.pdf</v>
      </c>
      <c r="E1734">
        <v>120842</v>
      </c>
      <c r="F1734">
        <v>43723</v>
      </c>
      <c r="G1734" t="s">
        <v>745</v>
      </c>
      <c r="H1734" t="s">
        <v>107</v>
      </c>
      <c r="I1734" t="s">
        <v>3274</v>
      </c>
    </row>
    <row r="1735" spans="1:9" x14ac:dyDescent="0.2">
      <c r="A1735" t="s">
        <v>3275</v>
      </c>
      <c r="D1735" t="str">
        <f>HYPERLINK("http://nlpdeep.cs.uic.edu:8080/proofing/t5/43723-physical-examination-0-0.pdf","t5/43723-physical-examination-0-0.pdf")</f>
        <v>t5/43723-physical-examination-0-0.pdf</v>
      </c>
      <c r="E1735">
        <v>120842</v>
      </c>
      <c r="F1735">
        <v>43723</v>
      </c>
      <c r="G1735" t="s">
        <v>745</v>
      </c>
      <c r="H1735" t="s">
        <v>138</v>
      </c>
      <c r="I1735" t="s">
        <v>3276</v>
      </c>
    </row>
    <row r="1736" spans="1:9" x14ac:dyDescent="0.2">
      <c r="A1736" t="s">
        <v>3275</v>
      </c>
      <c r="D1736" t="str">
        <f>HYPERLINK("http://nlpdeep.cs.uic.edu:8080/proofing/gsii/43723-physical-examination-0-0.pdf","gsii/43723-physical-examination-0-0.pdf")</f>
        <v>gsii/43723-physical-examination-0-0.pdf</v>
      </c>
      <c r="E1736">
        <v>120842</v>
      </c>
      <c r="F1736">
        <v>43723</v>
      </c>
      <c r="G1736" t="s">
        <v>745</v>
      </c>
      <c r="H1736" t="s">
        <v>138</v>
      </c>
      <c r="I1736" t="s">
        <v>3276</v>
      </c>
    </row>
    <row r="1737" spans="1:9" x14ac:dyDescent="0.2">
      <c r="A1737" t="s">
        <v>3277</v>
      </c>
      <c r="D1737" t="str">
        <f>HYPERLINK("http://nlpdeep.cs.uic.edu:8080/proofing/t5/43723-labs-imaging-0-0.pdf","t5/43723-labs-imaging-0-0.pdf")</f>
        <v>t5/43723-labs-imaging-0-0.pdf</v>
      </c>
      <c r="E1737">
        <v>120842</v>
      </c>
      <c r="F1737">
        <v>43723</v>
      </c>
      <c r="G1737" t="s">
        <v>745</v>
      </c>
      <c r="H1737" t="s">
        <v>147</v>
      </c>
      <c r="I1737" t="s">
        <v>3278</v>
      </c>
    </row>
    <row r="1738" spans="1:9" x14ac:dyDescent="0.2">
      <c r="A1738" t="s">
        <v>3277</v>
      </c>
      <c r="D1738" t="str">
        <f>HYPERLINK("http://nlpdeep.cs.uic.edu:8080/proofing/gsii/43723-labs-imaging-0-0.pdf","gsii/43723-labs-imaging-0-0.pdf")</f>
        <v>gsii/43723-labs-imaging-0-0.pdf</v>
      </c>
      <c r="E1738">
        <v>120842</v>
      </c>
      <c r="F1738">
        <v>43723</v>
      </c>
      <c r="G1738" t="s">
        <v>745</v>
      </c>
      <c r="H1738" t="s">
        <v>147</v>
      </c>
      <c r="I1738" t="s">
        <v>3278</v>
      </c>
    </row>
    <row r="1739" spans="1:9" x14ac:dyDescent="0.2">
      <c r="A1739" t="s">
        <v>3279</v>
      </c>
      <c r="D1739" t="str">
        <f>HYPERLINK("http://nlpdeep.cs.uic.edu:8080/proofing/t5/43723-imaging-0-0.pdf","t5/43723-imaging-0-0.pdf")</f>
        <v>t5/43723-imaging-0-0.pdf</v>
      </c>
      <c r="E1739">
        <v>120842</v>
      </c>
      <c r="F1739">
        <v>43723</v>
      </c>
      <c r="G1739" t="s">
        <v>745</v>
      </c>
      <c r="H1739" t="s">
        <v>3280</v>
      </c>
      <c r="I1739" t="s">
        <v>3281</v>
      </c>
    </row>
    <row r="1740" spans="1:9" x14ac:dyDescent="0.2">
      <c r="A1740" t="s">
        <v>3279</v>
      </c>
      <c r="D1740" t="str">
        <f>HYPERLINK("http://nlpdeep.cs.uic.edu:8080/proofing/gsii/43723-imaging-0-0.pdf","gsii/43723-imaging-0-0.pdf")</f>
        <v>gsii/43723-imaging-0-0.pdf</v>
      </c>
      <c r="E1740">
        <v>120842</v>
      </c>
      <c r="F1740">
        <v>43723</v>
      </c>
      <c r="G1740" t="s">
        <v>745</v>
      </c>
      <c r="H1740" t="s">
        <v>3280</v>
      </c>
      <c r="I1740" t="s">
        <v>3281</v>
      </c>
    </row>
    <row r="1741" spans="1:9" x14ac:dyDescent="0.2">
      <c r="A1741" t="s">
        <v>3282</v>
      </c>
      <c r="D1741" t="str">
        <f>HYPERLINK("http://nlpdeep.cs.uic.edu:8080/proofing/t5/43723-imaging-0-1.pdf","t5/43723-imaging-0-1.pdf")</f>
        <v>t5/43723-imaging-0-1.pdf</v>
      </c>
      <c r="E1741">
        <v>120842</v>
      </c>
      <c r="F1741">
        <v>43723</v>
      </c>
      <c r="G1741" t="s">
        <v>745</v>
      </c>
      <c r="H1741" t="s">
        <v>3280</v>
      </c>
      <c r="I1741" t="s">
        <v>3283</v>
      </c>
    </row>
    <row r="1742" spans="1:9" x14ac:dyDescent="0.2">
      <c r="A1742" t="s">
        <v>3282</v>
      </c>
      <c r="D1742" t="str">
        <f>HYPERLINK("http://nlpdeep.cs.uic.edu:8080/proofing/gsii/43723-imaging-0-1.pdf","gsii/43723-imaging-0-1.pdf")</f>
        <v>gsii/43723-imaging-0-1.pdf</v>
      </c>
      <c r="E1742">
        <v>120842</v>
      </c>
      <c r="F1742">
        <v>43723</v>
      </c>
      <c r="G1742" t="s">
        <v>745</v>
      </c>
      <c r="H1742" t="s">
        <v>3280</v>
      </c>
      <c r="I1742" t="s">
        <v>3283</v>
      </c>
    </row>
    <row r="1743" spans="1:9" x14ac:dyDescent="0.2">
      <c r="A1743" t="s">
        <v>3284</v>
      </c>
      <c r="D1743" t="str">
        <f>HYPERLINK("http://nlpdeep.cs.uic.edu:8080/proofing/t5/43723-imaging-0-2.pdf","t5/43723-imaging-0-2.pdf")</f>
        <v>t5/43723-imaging-0-2.pdf</v>
      </c>
      <c r="E1743">
        <v>120842</v>
      </c>
      <c r="F1743">
        <v>43723</v>
      </c>
      <c r="G1743" t="s">
        <v>745</v>
      </c>
      <c r="H1743" t="s">
        <v>3280</v>
      </c>
      <c r="I1743" t="s">
        <v>3285</v>
      </c>
    </row>
    <row r="1744" spans="1:9" x14ac:dyDescent="0.2">
      <c r="A1744" t="s">
        <v>3284</v>
      </c>
      <c r="D1744" t="str">
        <f>HYPERLINK("http://nlpdeep.cs.uic.edu:8080/proofing/gsii/43723-imaging-0-2.pdf","gsii/43723-imaging-0-2.pdf")</f>
        <v>gsii/43723-imaging-0-2.pdf</v>
      </c>
      <c r="E1744">
        <v>120842</v>
      </c>
      <c r="F1744">
        <v>43723</v>
      </c>
      <c r="G1744" t="s">
        <v>745</v>
      </c>
      <c r="H1744" t="s">
        <v>3280</v>
      </c>
      <c r="I1744" t="s">
        <v>3285</v>
      </c>
    </row>
    <row r="1745" spans="1:9" x14ac:dyDescent="0.2">
      <c r="A1745" t="s">
        <v>3286</v>
      </c>
      <c r="D1745" t="str">
        <f>HYPERLINK("http://nlpdeep.cs.uic.edu:8080/proofing/t5/43723-imaging-0-3.pdf","t5/43723-imaging-0-3.pdf")</f>
        <v>t5/43723-imaging-0-3.pdf</v>
      </c>
      <c r="E1745">
        <v>120842</v>
      </c>
      <c r="F1745">
        <v>43723</v>
      </c>
      <c r="G1745" t="s">
        <v>745</v>
      </c>
      <c r="H1745" t="s">
        <v>3280</v>
      </c>
      <c r="I1745" t="s">
        <v>3287</v>
      </c>
    </row>
    <row r="1746" spans="1:9" x14ac:dyDescent="0.2">
      <c r="A1746" t="s">
        <v>3286</v>
      </c>
      <c r="D1746" t="str">
        <f>HYPERLINK("http://nlpdeep.cs.uic.edu:8080/proofing/gsii/43723-imaging-0-3.pdf","gsii/43723-imaging-0-3.pdf")</f>
        <v>gsii/43723-imaging-0-3.pdf</v>
      </c>
      <c r="E1746">
        <v>120842</v>
      </c>
      <c r="F1746">
        <v>43723</v>
      </c>
      <c r="G1746" t="s">
        <v>745</v>
      </c>
      <c r="H1746" t="s">
        <v>3280</v>
      </c>
      <c r="I1746" t="s">
        <v>3287</v>
      </c>
    </row>
    <row r="1747" spans="1:9" x14ac:dyDescent="0.2">
      <c r="A1747" t="s">
        <v>3288</v>
      </c>
      <c r="D1747" t="str">
        <f>HYPERLINK("http://nlpdeep.cs.uic.edu:8080/proofing/t5/43723-imaging-0-4.pdf","t5/43723-imaging-0-4.pdf")</f>
        <v>t5/43723-imaging-0-4.pdf</v>
      </c>
      <c r="E1747">
        <v>120842</v>
      </c>
      <c r="F1747">
        <v>43723</v>
      </c>
      <c r="G1747" t="s">
        <v>745</v>
      </c>
      <c r="H1747" t="s">
        <v>3280</v>
      </c>
      <c r="I1747" t="s">
        <v>3289</v>
      </c>
    </row>
    <row r="1748" spans="1:9" x14ac:dyDescent="0.2">
      <c r="A1748" t="s">
        <v>3288</v>
      </c>
      <c r="D1748" t="str">
        <f>HYPERLINK("http://nlpdeep.cs.uic.edu:8080/proofing/gsii/43723-imaging-0-4.pdf","gsii/43723-imaging-0-4.pdf")</f>
        <v>gsii/43723-imaging-0-4.pdf</v>
      </c>
      <c r="E1748">
        <v>120842</v>
      </c>
      <c r="F1748">
        <v>43723</v>
      </c>
      <c r="G1748" t="s">
        <v>745</v>
      </c>
      <c r="H1748" t="s">
        <v>3280</v>
      </c>
      <c r="I1748" t="s">
        <v>3289</v>
      </c>
    </row>
    <row r="1749" spans="1:9" x14ac:dyDescent="0.2">
      <c r="A1749" t="s">
        <v>3290</v>
      </c>
      <c r="D1749" t="str">
        <f>HYPERLINK("http://nlpdeep.cs.uic.edu:8080/proofing/t5/43723-imaging-0-5.pdf","t5/43723-imaging-0-5.pdf")</f>
        <v>t5/43723-imaging-0-5.pdf</v>
      </c>
      <c r="E1749">
        <v>120842</v>
      </c>
      <c r="F1749">
        <v>43723</v>
      </c>
      <c r="G1749" t="s">
        <v>745</v>
      </c>
      <c r="H1749" t="s">
        <v>3280</v>
      </c>
      <c r="I1749" t="s">
        <v>3285</v>
      </c>
    </row>
    <row r="1750" spans="1:9" x14ac:dyDescent="0.2">
      <c r="A1750" t="s">
        <v>3290</v>
      </c>
      <c r="D1750" t="str">
        <f>HYPERLINK("http://nlpdeep.cs.uic.edu:8080/proofing/gsii/43723-imaging-0-5.pdf","gsii/43723-imaging-0-5.pdf")</f>
        <v>gsii/43723-imaging-0-5.pdf</v>
      </c>
      <c r="E1750">
        <v>120842</v>
      </c>
      <c r="F1750">
        <v>43723</v>
      </c>
      <c r="G1750" t="s">
        <v>745</v>
      </c>
      <c r="H1750" t="s">
        <v>3280</v>
      </c>
      <c r="I1750" t="s">
        <v>3285</v>
      </c>
    </row>
    <row r="1751" spans="1:9" x14ac:dyDescent="0.2">
      <c r="A1751" t="s">
        <v>3291</v>
      </c>
      <c r="D1751" t="str">
        <f>HYPERLINK("http://nlpdeep.cs.uic.edu:8080/proofing/t5/43723-imaging-0-6.pdf","t5/43723-imaging-0-6.pdf")</f>
        <v>t5/43723-imaging-0-6.pdf</v>
      </c>
      <c r="E1751">
        <v>120842</v>
      </c>
      <c r="F1751">
        <v>43723</v>
      </c>
      <c r="G1751" t="s">
        <v>745</v>
      </c>
      <c r="H1751" t="s">
        <v>3280</v>
      </c>
      <c r="I1751" t="s">
        <v>3292</v>
      </c>
    </row>
    <row r="1752" spans="1:9" x14ac:dyDescent="0.2">
      <c r="A1752" t="s">
        <v>3291</v>
      </c>
      <c r="D1752" t="str">
        <f>HYPERLINK("http://nlpdeep.cs.uic.edu:8080/proofing/gsii/43723-imaging-0-6.pdf","gsii/43723-imaging-0-6.pdf")</f>
        <v>gsii/43723-imaging-0-6.pdf</v>
      </c>
      <c r="E1752">
        <v>120842</v>
      </c>
      <c r="F1752">
        <v>43723</v>
      </c>
      <c r="G1752" t="s">
        <v>745</v>
      </c>
      <c r="H1752" t="s">
        <v>3280</v>
      </c>
      <c r="I1752" t="s">
        <v>3292</v>
      </c>
    </row>
    <row r="1753" spans="1:9" x14ac:dyDescent="0.2">
      <c r="A1753" t="s">
        <v>3293</v>
      </c>
      <c r="D1753" t="str">
        <f>HYPERLINK("http://nlpdeep.cs.uic.edu:8080/proofing/t5/43723-hospital-course-0-0.pdf","t5/43723-hospital-course-0-0.pdf")</f>
        <v>t5/43723-hospital-course-0-0.pdf</v>
      </c>
      <c r="E1753">
        <v>120842</v>
      </c>
      <c r="F1753">
        <v>43723</v>
      </c>
      <c r="G1753" t="s">
        <v>745</v>
      </c>
      <c r="H1753" t="s">
        <v>999</v>
      </c>
      <c r="I1753" t="s">
        <v>3294</v>
      </c>
    </row>
    <row r="1754" spans="1:9" x14ac:dyDescent="0.2">
      <c r="A1754" t="s">
        <v>3293</v>
      </c>
      <c r="D1754" t="str">
        <f>HYPERLINK("http://nlpdeep.cs.uic.edu:8080/proofing/gsii/43723-hospital-course-0-0.pdf","gsii/43723-hospital-course-0-0.pdf")</f>
        <v>gsii/43723-hospital-course-0-0.pdf</v>
      </c>
      <c r="E1754">
        <v>120842</v>
      </c>
      <c r="F1754">
        <v>43723</v>
      </c>
      <c r="G1754" t="s">
        <v>745</v>
      </c>
      <c r="H1754" t="s">
        <v>999</v>
      </c>
      <c r="I1754" t="s">
        <v>3294</v>
      </c>
    </row>
    <row r="1755" spans="1:9" x14ac:dyDescent="0.2">
      <c r="A1755" t="s">
        <v>3295</v>
      </c>
      <c r="D1755" t="str">
        <f>HYPERLINK("http://nlpdeep.cs.uic.edu:8080/proofing/t5/43723-hospital-course-1-0.pdf","t5/43723-hospital-course-1-0.pdf")</f>
        <v>t5/43723-hospital-course-1-0.pdf</v>
      </c>
      <c r="E1755">
        <v>120842</v>
      </c>
      <c r="F1755">
        <v>43723</v>
      </c>
      <c r="G1755" t="s">
        <v>745</v>
      </c>
      <c r="H1755" t="s">
        <v>999</v>
      </c>
      <c r="I1755" t="s">
        <v>3296</v>
      </c>
    </row>
    <row r="1756" spans="1:9" x14ac:dyDescent="0.2">
      <c r="A1756" t="s">
        <v>3295</v>
      </c>
      <c r="D1756" t="str">
        <f>HYPERLINK("http://nlpdeep.cs.uic.edu:8080/proofing/gsii/43723-hospital-course-1-0.pdf","gsii/43723-hospital-course-1-0.pdf")</f>
        <v>gsii/43723-hospital-course-1-0.pdf</v>
      </c>
      <c r="E1756">
        <v>120842</v>
      </c>
      <c r="F1756">
        <v>43723</v>
      </c>
      <c r="G1756" t="s">
        <v>745</v>
      </c>
      <c r="H1756" t="s">
        <v>999</v>
      </c>
      <c r="I1756" t="s">
        <v>3296</v>
      </c>
    </row>
    <row r="1757" spans="1:9" x14ac:dyDescent="0.2">
      <c r="A1757" t="s">
        <v>3297</v>
      </c>
      <c r="D1757" t="str">
        <f>HYPERLINK("http://nlpdeep.cs.uic.edu:8080/proofing/t5/43723-hospital-course-1-1.pdf","t5/43723-hospital-course-1-1.pdf")</f>
        <v>t5/43723-hospital-course-1-1.pdf</v>
      </c>
      <c r="E1757">
        <v>120842</v>
      </c>
      <c r="F1757">
        <v>43723</v>
      </c>
      <c r="G1757" t="s">
        <v>745</v>
      </c>
      <c r="H1757" t="s">
        <v>999</v>
      </c>
      <c r="I1757" t="s">
        <v>3298</v>
      </c>
    </row>
    <row r="1758" spans="1:9" x14ac:dyDescent="0.2">
      <c r="A1758" t="s">
        <v>3297</v>
      </c>
      <c r="D1758" t="str">
        <f>HYPERLINK("http://nlpdeep.cs.uic.edu:8080/proofing/gsii/43723-hospital-course-1-1.pdf","gsii/43723-hospital-course-1-1.pdf")</f>
        <v>gsii/43723-hospital-course-1-1.pdf</v>
      </c>
      <c r="E1758">
        <v>120842</v>
      </c>
      <c r="F1758">
        <v>43723</v>
      </c>
      <c r="G1758" t="s">
        <v>745</v>
      </c>
      <c r="H1758" t="s">
        <v>999</v>
      </c>
      <c r="I1758" t="s">
        <v>3298</v>
      </c>
    </row>
    <row r="1759" spans="1:9" x14ac:dyDescent="0.2">
      <c r="A1759" t="s">
        <v>3299</v>
      </c>
      <c r="D1759" t="str">
        <f>HYPERLINK("http://nlpdeep.cs.uic.edu:8080/proofing/t5/43723-hospital-course-1-2.pdf","t5/43723-hospital-course-1-2.pdf")</f>
        <v>t5/43723-hospital-course-1-2.pdf</v>
      </c>
      <c r="E1759">
        <v>120842</v>
      </c>
      <c r="F1759">
        <v>43723</v>
      </c>
      <c r="G1759" t="s">
        <v>745</v>
      </c>
      <c r="H1759" t="s">
        <v>999</v>
      </c>
      <c r="I1759" t="s">
        <v>3300</v>
      </c>
    </row>
    <row r="1760" spans="1:9" x14ac:dyDescent="0.2">
      <c r="A1760" t="s">
        <v>3299</v>
      </c>
      <c r="D1760" t="str">
        <f>HYPERLINK("http://nlpdeep.cs.uic.edu:8080/proofing/gsii/43723-hospital-course-1-2.pdf","gsii/43723-hospital-course-1-2.pdf")</f>
        <v>gsii/43723-hospital-course-1-2.pdf</v>
      </c>
      <c r="E1760">
        <v>120842</v>
      </c>
      <c r="F1760">
        <v>43723</v>
      </c>
      <c r="G1760" t="s">
        <v>745</v>
      </c>
      <c r="H1760" t="s">
        <v>999</v>
      </c>
      <c r="I1760" t="s">
        <v>3300</v>
      </c>
    </row>
    <row r="1761" spans="1:9" x14ac:dyDescent="0.2">
      <c r="A1761" t="s">
        <v>3301</v>
      </c>
      <c r="D1761" t="str">
        <f>HYPERLINK("http://nlpdeep.cs.uic.edu:8080/proofing/t5/43723-hospital-course-1-3.pdf","t5/43723-hospital-course-1-3.pdf")</f>
        <v>t5/43723-hospital-course-1-3.pdf</v>
      </c>
      <c r="E1761">
        <v>120842</v>
      </c>
      <c r="F1761">
        <v>43723</v>
      </c>
      <c r="G1761" t="s">
        <v>745</v>
      </c>
      <c r="H1761" t="s">
        <v>999</v>
      </c>
      <c r="I1761" t="s">
        <v>3302</v>
      </c>
    </row>
    <row r="1762" spans="1:9" x14ac:dyDescent="0.2">
      <c r="A1762" t="s">
        <v>3301</v>
      </c>
      <c r="D1762" t="str">
        <f>HYPERLINK("http://nlpdeep.cs.uic.edu:8080/proofing/gsii/43723-hospital-course-1-3.pdf","gsii/43723-hospital-course-1-3.pdf")</f>
        <v>gsii/43723-hospital-course-1-3.pdf</v>
      </c>
      <c r="E1762">
        <v>120842</v>
      </c>
      <c r="F1762">
        <v>43723</v>
      </c>
      <c r="G1762" t="s">
        <v>745</v>
      </c>
      <c r="H1762" t="s">
        <v>999</v>
      </c>
      <c r="I1762" t="s">
        <v>3302</v>
      </c>
    </row>
    <row r="1763" spans="1:9" x14ac:dyDescent="0.2">
      <c r="A1763" t="s">
        <v>3303</v>
      </c>
      <c r="D1763" t="str">
        <f>HYPERLINK("http://nlpdeep.cs.uic.edu:8080/proofing/t5/43723-hospital-course-1-4.pdf","t5/43723-hospital-course-1-4.pdf")</f>
        <v>t5/43723-hospital-course-1-4.pdf</v>
      </c>
      <c r="E1763">
        <v>120842</v>
      </c>
      <c r="F1763">
        <v>43723</v>
      </c>
      <c r="G1763" t="s">
        <v>745</v>
      </c>
      <c r="H1763" t="s">
        <v>999</v>
      </c>
      <c r="I1763" t="s">
        <v>3304</v>
      </c>
    </row>
    <row r="1764" spans="1:9" x14ac:dyDescent="0.2">
      <c r="A1764" t="s">
        <v>3303</v>
      </c>
      <c r="D1764" t="str">
        <f>HYPERLINK("http://nlpdeep.cs.uic.edu:8080/proofing/gsii/43723-hospital-course-1-4.pdf","gsii/43723-hospital-course-1-4.pdf")</f>
        <v>gsii/43723-hospital-course-1-4.pdf</v>
      </c>
      <c r="E1764">
        <v>120842</v>
      </c>
      <c r="F1764">
        <v>43723</v>
      </c>
      <c r="G1764" t="s">
        <v>745</v>
      </c>
      <c r="H1764" t="s">
        <v>999</v>
      </c>
      <c r="I1764" t="s">
        <v>3304</v>
      </c>
    </row>
    <row r="1765" spans="1:9" x14ac:dyDescent="0.2">
      <c r="A1765" t="s">
        <v>3305</v>
      </c>
      <c r="D1765" t="str">
        <f>HYPERLINK("http://nlpdeep.cs.uic.edu:8080/proofing/t5/43723-hospital-course-1-5.pdf","t5/43723-hospital-course-1-5.pdf")</f>
        <v>t5/43723-hospital-course-1-5.pdf</v>
      </c>
      <c r="E1765">
        <v>120842</v>
      </c>
      <c r="F1765">
        <v>43723</v>
      </c>
      <c r="G1765" t="s">
        <v>745</v>
      </c>
      <c r="H1765" t="s">
        <v>999</v>
      </c>
      <c r="I1765" t="s">
        <v>3306</v>
      </c>
    </row>
    <row r="1766" spans="1:9" x14ac:dyDescent="0.2">
      <c r="A1766" t="s">
        <v>3305</v>
      </c>
      <c r="D1766" t="str">
        <f>HYPERLINK("http://nlpdeep.cs.uic.edu:8080/proofing/gsii/43723-hospital-course-1-5.pdf","gsii/43723-hospital-course-1-5.pdf")</f>
        <v>gsii/43723-hospital-course-1-5.pdf</v>
      </c>
      <c r="E1766">
        <v>120842</v>
      </c>
      <c r="F1766">
        <v>43723</v>
      </c>
      <c r="G1766" t="s">
        <v>745</v>
      </c>
      <c r="H1766" t="s">
        <v>999</v>
      </c>
      <c r="I1766" t="s">
        <v>3306</v>
      </c>
    </row>
    <row r="1767" spans="1:9" x14ac:dyDescent="0.2">
      <c r="A1767" t="s">
        <v>3307</v>
      </c>
      <c r="D1767" t="str">
        <f>HYPERLINK("http://nlpdeep.cs.uic.edu:8080/proofing/t5/43723-medication-history-0-0.pdf","t5/43723-medication-history-0-0.pdf")</f>
        <v>t5/43723-medication-history-0-0.pdf</v>
      </c>
      <c r="E1767">
        <v>120842</v>
      </c>
      <c r="F1767">
        <v>43723</v>
      </c>
      <c r="G1767" t="s">
        <v>745</v>
      </c>
      <c r="H1767" t="s">
        <v>336</v>
      </c>
      <c r="I1767" t="s">
        <v>3308</v>
      </c>
    </row>
    <row r="1768" spans="1:9" x14ac:dyDescent="0.2">
      <c r="A1768" t="s">
        <v>3307</v>
      </c>
      <c r="D1768" t="str">
        <f>HYPERLINK("http://nlpdeep.cs.uic.edu:8080/proofing/gsii/43723-medication-history-0-0.pdf","gsii/43723-medication-history-0-0.pdf")</f>
        <v>gsii/43723-medication-history-0-0.pdf</v>
      </c>
      <c r="E1768">
        <v>120842</v>
      </c>
      <c r="F1768">
        <v>43723</v>
      </c>
      <c r="G1768" t="s">
        <v>745</v>
      </c>
      <c r="H1768" t="s">
        <v>336</v>
      </c>
      <c r="I1768" t="s">
        <v>3308</v>
      </c>
    </row>
    <row r="1769" spans="1:9" x14ac:dyDescent="0.2">
      <c r="A1769" t="s">
        <v>3309</v>
      </c>
      <c r="D1769" t="str">
        <f>HYPERLINK("http://nlpdeep.cs.uic.edu:8080/proofing/t5/43723-medication-history-0-1.pdf","t5/43723-medication-history-0-1.pdf")</f>
        <v>t5/43723-medication-history-0-1.pdf</v>
      </c>
      <c r="E1769">
        <v>120842</v>
      </c>
      <c r="F1769">
        <v>43723</v>
      </c>
      <c r="G1769" t="s">
        <v>745</v>
      </c>
      <c r="H1769" t="s">
        <v>336</v>
      </c>
      <c r="I1769" t="s">
        <v>3310</v>
      </c>
    </row>
    <row r="1770" spans="1:9" x14ac:dyDescent="0.2">
      <c r="A1770" t="s">
        <v>3309</v>
      </c>
      <c r="D1770" t="str">
        <f>HYPERLINK("http://nlpdeep.cs.uic.edu:8080/proofing/gsii/43723-medication-history-0-1.pdf","gsii/43723-medication-history-0-1.pdf")</f>
        <v>gsii/43723-medication-history-0-1.pdf</v>
      </c>
      <c r="E1770">
        <v>120842</v>
      </c>
      <c r="F1770">
        <v>43723</v>
      </c>
      <c r="G1770" t="s">
        <v>745</v>
      </c>
      <c r="H1770" t="s">
        <v>336</v>
      </c>
      <c r="I1770" t="s">
        <v>3310</v>
      </c>
    </row>
    <row r="1771" spans="1:9" x14ac:dyDescent="0.2">
      <c r="A1771" t="s">
        <v>3311</v>
      </c>
      <c r="D1771" t="str">
        <f>HYPERLINK("http://nlpdeep.cs.uic.edu:8080/proofing/t5/43723-medication-history-0-2.pdf","t5/43723-medication-history-0-2.pdf")</f>
        <v>t5/43723-medication-history-0-2.pdf</v>
      </c>
      <c r="E1771">
        <v>120842</v>
      </c>
      <c r="F1771">
        <v>43723</v>
      </c>
      <c r="G1771" t="s">
        <v>745</v>
      </c>
      <c r="H1771" t="s">
        <v>336</v>
      </c>
      <c r="I1771" t="s">
        <v>3312</v>
      </c>
    </row>
    <row r="1772" spans="1:9" x14ac:dyDescent="0.2">
      <c r="A1772" t="s">
        <v>3311</v>
      </c>
      <c r="D1772" t="str">
        <f>HYPERLINK("http://nlpdeep.cs.uic.edu:8080/proofing/gsii/43723-medication-history-0-2.pdf","gsii/43723-medication-history-0-2.pdf")</f>
        <v>gsii/43723-medication-history-0-2.pdf</v>
      </c>
      <c r="E1772">
        <v>120842</v>
      </c>
      <c r="F1772">
        <v>43723</v>
      </c>
      <c r="G1772" t="s">
        <v>745</v>
      </c>
      <c r="H1772" t="s">
        <v>336</v>
      </c>
      <c r="I1772" t="s">
        <v>3312</v>
      </c>
    </row>
    <row r="1773" spans="1:9" x14ac:dyDescent="0.2">
      <c r="A1773" t="s">
        <v>3313</v>
      </c>
      <c r="D1773" t="str">
        <f>HYPERLINK("http://nlpdeep.cs.uic.edu:8080/proofing/t5/43723-medication-history-0-3.pdf","t5/43723-medication-history-0-3.pdf")</f>
        <v>t5/43723-medication-history-0-3.pdf</v>
      </c>
      <c r="E1773">
        <v>120842</v>
      </c>
      <c r="F1773">
        <v>43723</v>
      </c>
      <c r="G1773" t="s">
        <v>745</v>
      </c>
      <c r="H1773" t="s">
        <v>336</v>
      </c>
      <c r="I1773" t="s">
        <v>3314</v>
      </c>
    </row>
    <row r="1774" spans="1:9" x14ac:dyDescent="0.2">
      <c r="A1774" t="s">
        <v>3313</v>
      </c>
      <c r="D1774" t="str">
        <f>HYPERLINK("http://nlpdeep.cs.uic.edu:8080/proofing/gsii/43723-medication-history-0-3.pdf","gsii/43723-medication-history-0-3.pdf")</f>
        <v>gsii/43723-medication-history-0-3.pdf</v>
      </c>
      <c r="E1774">
        <v>120842</v>
      </c>
      <c r="F1774">
        <v>43723</v>
      </c>
      <c r="G1774" t="s">
        <v>745</v>
      </c>
      <c r="H1774" t="s">
        <v>336</v>
      </c>
      <c r="I1774" t="s">
        <v>3314</v>
      </c>
    </row>
    <row r="1775" spans="1:9" x14ac:dyDescent="0.2">
      <c r="A1775" t="s">
        <v>3315</v>
      </c>
      <c r="D1775" t="str">
        <f>HYPERLINK("http://nlpdeep.cs.uic.edu:8080/proofing/t5/43723-medication-history-0-4.pdf","t5/43723-medication-history-0-4.pdf")</f>
        <v>t5/43723-medication-history-0-4.pdf</v>
      </c>
      <c r="E1775">
        <v>120842</v>
      </c>
      <c r="F1775">
        <v>43723</v>
      </c>
      <c r="G1775" t="s">
        <v>745</v>
      </c>
      <c r="H1775" t="s">
        <v>336</v>
      </c>
      <c r="I1775" t="s">
        <v>3316</v>
      </c>
    </row>
    <row r="1776" spans="1:9" x14ac:dyDescent="0.2">
      <c r="A1776" t="s">
        <v>3315</v>
      </c>
      <c r="D1776" t="str">
        <f>HYPERLINK("http://nlpdeep.cs.uic.edu:8080/proofing/gsii/43723-medication-history-0-4.pdf","gsii/43723-medication-history-0-4.pdf")</f>
        <v>gsii/43723-medication-history-0-4.pdf</v>
      </c>
      <c r="E1776">
        <v>120842</v>
      </c>
      <c r="F1776">
        <v>43723</v>
      </c>
      <c r="G1776" t="s">
        <v>745</v>
      </c>
      <c r="H1776" t="s">
        <v>336</v>
      </c>
      <c r="I1776" t="s">
        <v>3316</v>
      </c>
    </row>
    <row r="1777" spans="1:9" x14ac:dyDescent="0.2">
      <c r="A1777" t="s">
        <v>3317</v>
      </c>
      <c r="D1777" t="str">
        <f>HYPERLINK("http://nlpdeep.cs.uic.edu:8080/proofing/t5/43723-discharge-medications-0-0.pdf","t5/43723-discharge-medications-0-0.pdf")</f>
        <v>t5/43723-discharge-medications-0-0.pdf</v>
      </c>
      <c r="E1777">
        <v>120842</v>
      </c>
      <c r="F1777">
        <v>43723</v>
      </c>
      <c r="G1777" t="s">
        <v>745</v>
      </c>
      <c r="H1777" t="s">
        <v>1122</v>
      </c>
      <c r="I1777" t="s">
        <v>3318</v>
      </c>
    </row>
    <row r="1778" spans="1:9" x14ac:dyDescent="0.2">
      <c r="A1778" t="s">
        <v>3317</v>
      </c>
      <c r="D1778" t="str">
        <f>HYPERLINK("http://nlpdeep.cs.uic.edu:8080/proofing/gsii/43723-discharge-medications-0-0.pdf","gsii/43723-discharge-medications-0-0.pdf")</f>
        <v>gsii/43723-discharge-medications-0-0.pdf</v>
      </c>
      <c r="E1778">
        <v>120842</v>
      </c>
      <c r="F1778">
        <v>43723</v>
      </c>
      <c r="G1778" t="s">
        <v>745</v>
      </c>
      <c r="H1778" t="s">
        <v>1122</v>
      </c>
      <c r="I1778" t="s">
        <v>3318</v>
      </c>
    </row>
    <row r="1779" spans="1:9" x14ac:dyDescent="0.2">
      <c r="A1779" t="s">
        <v>3319</v>
      </c>
      <c r="D1779" t="str">
        <f>HYPERLINK("http://nlpdeep.cs.uic.edu:8080/proofing/t5/43723-discharge-medications-0-1.pdf","t5/43723-discharge-medications-0-1.pdf")</f>
        <v>t5/43723-discharge-medications-0-1.pdf</v>
      </c>
      <c r="E1779">
        <v>120842</v>
      </c>
      <c r="F1779">
        <v>43723</v>
      </c>
      <c r="G1779" t="s">
        <v>745</v>
      </c>
      <c r="H1779" t="s">
        <v>1122</v>
      </c>
      <c r="I1779" t="s">
        <v>3320</v>
      </c>
    </row>
    <row r="1780" spans="1:9" x14ac:dyDescent="0.2">
      <c r="A1780" t="s">
        <v>3319</v>
      </c>
      <c r="D1780" t="str">
        <f>HYPERLINK("http://nlpdeep.cs.uic.edu:8080/proofing/gsii/43723-discharge-medications-0-1.pdf","gsii/43723-discharge-medications-0-1.pdf")</f>
        <v>gsii/43723-discharge-medications-0-1.pdf</v>
      </c>
      <c r="E1780">
        <v>120842</v>
      </c>
      <c r="F1780">
        <v>43723</v>
      </c>
      <c r="G1780" t="s">
        <v>745</v>
      </c>
      <c r="H1780" t="s">
        <v>1122</v>
      </c>
      <c r="I1780" t="s">
        <v>3320</v>
      </c>
    </row>
    <row r="1781" spans="1:9" x14ac:dyDescent="0.2">
      <c r="A1781" t="s">
        <v>3321</v>
      </c>
      <c r="D1781" t="str">
        <f>HYPERLINK("http://nlpdeep.cs.uic.edu:8080/proofing/t5/43723-discharge-condition-0-0.pdf","t5/43723-discharge-condition-0-0.pdf")</f>
        <v>t5/43723-discharge-condition-0-0.pdf</v>
      </c>
      <c r="E1781">
        <v>120842</v>
      </c>
      <c r="F1781">
        <v>43723</v>
      </c>
      <c r="G1781" t="s">
        <v>745</v>
      </c>
      <c r="H1781" t="s">
        <v>1172</v>
      </c>
      <c r="I1781" t="s">
        <v>3322</v>
      </c>
    </row>
    <row r="1782" spans="1:9" x14ac:dyDescent="0.2">
      <c r="A1782" t="s">
        <v>3321</v>
      </c>
      <c r="D1782" t="str">
        <f>HYPERLINK("http://nlpdeep.cs.uic.edu:8080/proofing/gsii/43723-discharge-condition-0-0.pdf","gsii/43723-discharge-condition-0-0.pdf")</f>
        <v>gsii/43723-discharge-condition-0-0.pdf</v>
      </c>
      <c r="E1782">
        <v>120842</v>
      </c>
      <c r="F1782">
        <v>43723</v>
      </c>
      <c r="G1782" t="s">
        <v>745</v>
      </c>
      <c r="H1782" t="s">
        <v>1172</v>
      </c>
      <c r="I1782" t="s">
        <v>3322</v>
      </c>
    </row>
    <row r="1783" spans="1:9" x14ac:dyDescent="0.2">
      <c r="A1783" t="s">
        <v>3323</v>
      </c>
      <c r="D1783" t="str">
        <f>HYPERLINK("http://nlpdeep.cs.uic.edu:8080/proofing/t5/43723-facility-0-0.pdf","t5/43723-facility-0-0.pdf")</f>
        <v>t5/43723-facility-0-0.pdf</v>
      </c>
      <c r="E1783">
        <v>120842</v>
      </c>
      <c r="F1783">
        <v>43723</v>
      </c>
      <c r="G1783" t="s">
        <v>745</v>
      </c>
      <c r="H1783" t="s">
        <v>1165</v>
      </c>
      <c r="I1783" t="s">
        <v>3324</v>
      </c>
    </row>
    <row r="1784" spans="1:9" x14ac:dyDescent="0.2">
      <c r="A1784" t="s">
        <v>3323</v>
      </c>
      <c r="D1784" t="str">
        <f>HYPERLINK("http://nlpdeep.cs.uic.edu:8080/proofing/gsii/43723-facility-0-0.pdf","gsii/43723-facility-0-0.pdf")</f>
        <v>gsii/43723-facility-0-0.pdf</v>
      </c>
      <c r="E1784">
        <v>120842</v>
      </c>
      <c r="F1784">
        <v>43723</v>
      </c>
      <c r="G1784" t="s">
        <v>745</v>
      </c>
      <c r="H1784" t="s">
        <v>1165</v>
      </c>
      <c r="I1784" t="s">
        <v>3324</v>
      </c>
    </row>
    <row r="1785" spans="1:9" x14ac:dyDescent="0.2">
      <c r="A1785" t="s">
        <v>3325</v>
      </c>
      <c r="D1785" t="str">
        <f>HYPERLINK("http://nlpdeep.cs.uic.edu:8080/proofing/t5/43723-discharge-diagnosis-0-0.pdf","t5/43723-discharge-diagnosis-0-0.pdf")</f>
        <v>t5/43723-discharge-diagnosis-0-0.pdf</v>
      </c>
      <c r="E1785">
        <v>120842</v>
      </c>
      <c r="F1785">
        <v>43723</v>
      </c>
      <c r="G1785" t="s">
        <v>745</v>
      </c>
      <c r="H1785" t="s">
        <v>1168</v>
      </c>
    </row>
    <row r="1786" spans="1:9" x14ac:dyDescent="0.2">
      <c r="A1786" t="s">
        <v>3325</v>
      </c>
      <c r="D1786" t="str">
        <f>HYPERLINK("http://nlpdeep.cs.uic.edu:8080/proofing/gsii/43723-discharge-diagnosis-0-0.pdf","gsii/43723-discharge-diagnosis-0-0.pdf")</f>
        <v>gsii/43723-discharge-diagnosis-0-0.pdf</v>
      </c>
      <c r="E1786">
        <v>120842</v>
      </c>
      <c r="F1786">
        <v>43723</v>
      </c>
      <c r="G1786" t="s">
        <v>745</v>
      </c>
      <c r="H1786" t="s">
        <v>1168</v>
      </c>
    </row>
    <row r="1787" spans="1:9" x14ac:dyDescent="0.2">
      <c r="A1787" t="s">
        <v>3326</v>
      </c>
      <c r="D1787" t="str">
        <f>HYPERLINK("http://nlpdeep.cs.uic.edu:8080/proofing/t5/43723-discharge-diagnosis-1-0.pdf","t5/43723-discharge-diagnosis-1-0.pdf")</f>
        <v>t5/43723-discharge-diagnosis-1-0.pdf</v>
      </c>
      <c r="E1787">
        <v>120842</v>
      </c>
      <c r="F1787">
        <v>43723</v>
      </c>
      <c r="G1787" t="s">
        <v>745</v>
      </c>
      <c r="H1787" t="s">
        <v>1168</v>
      </c>
      <c r="I1787" t="s">
        <v>3327</v>
      </c>
    </row>
    <row r="1788" spans="1:9" x14ac:dyDescent="0.2">
      <c r="A1788" t="s">
        <v>3326</v>
      </c>
      <c r="D1788" t="str">
        <f>HYPERLINK("http://nlpdeep.cs.uic.edu:8080/proofing/gsii/43723-discharge-diagnosis-1-0.pdf","gsii/43723-discharge-diagnosis-1-0.pdf")</f>
        <v>gsii/43723-discharge-diagnosis-1-0.pdf</v>
      </c>
      <c r="E1788">
        <v>120842</v>
      </c>
      <c r="F1788">
        <v>43723</v>
      </c>
      <c r="G1788" t="s">
        <v>745</v>
      </c>
      <c r="H1788" t="s">
        <v>1168</v>
      </c>
      <c r="I1788" t="s">
        <v>3327</v>
      </c>
    </row>
    <row r="1789" spans="1:9" x14ac:dyDescent="0.2">
      <c r="A1789" t="s">
        <v>3328</v>
      </c>
      <c r="D1789" t="str">
        <f>HYPERLINK("http://nlpdeep.cs.uic.edu:8080/proofing/t5/43723-discharge-instructions-0-0.pdf","t5/43723-discharge-instructions-0-0.pdf")</f>
        <v>t5/43723-discharge-instructions-0-0.pdf</v>
      </c>
      <c r="E1789">
        <v>120842</v>
      </c>
      <c r="F1789">
        <v>43723</v>
      </c>
      <c r="G1789" t="s">
        <v>745</v>
      </c>
      <c r="H1789" t="s">
        <v>1179</v>
      </c>
      <c r="I1789" t="s">
        <v>3329</v>
      </c>
    </row>
    <row r="1790" spans="1:9" x14ac:dyDescent="0.2">
      <c r="A1790" t="s">
        <v>3328</v>
      </c>
      <c r="D1790" t="str">
        <f>HYPERLINK("http://nlpdeep.cs.uic.edu:8080/proofing/gsii/43723-discharge-instructions-0-0.pdf","gsii/43723-discharge-instructions-0-0.pdf")</f>
        <v>gsii/43723-discharge-instructions-0-0.pdf</v>
      </c>
      <c r="E1790">
        <v>120842</v>
      </c>
      <c r="F1790">
        <v>43723</v>
      </c>
      <c r="G1790" t="s">
        <v>745</v>
      </c>
      <c r="H1790" t="s">
        <v>1179</v>
      </c>
      <c r="I1790" t="s">
        <v>3329</v>
      </c>
    </row>
    <row r="1791" spans="1:9" x14ac:dyDescent="0.2">
      <c r="A1791" t="s">
        <v>3330</v>
      </c>
      <c r="D1791" t="str">
        <f>HYPERLINK("http://nlpdeep.cs.uic.edu:8080/proofing/t5/523176-reason-0-0.pdf","t5/523176-reason-0-0.pdf")</f>
        <v>t5/523176-reason-0-0.pdf</v>
      </c>
      <c r="E1791">
        <v>120842</v>
      </c>
      <c r="F1791">
        <v>523176</v>
      </c>
      <c r="G1791" t="s">
        <v>306</v>
      </c>
      <c r="H1791" t="s">
        <v>1823</v>
      </c>
      <c r="I1791" t="s">
        <v>2746</v>
      </c>
    </row>
    <row r="1792" spans="1:9" x14ac:dyDescent="0.2">
      <c r="A1792" t="s">
        <v>3330</v>
      </c>
      <c r="D1792" t="str">
        <f>HYPERLINK("http://nlpdeep.cs.uic.edu:8080/proofing/gsii/523176-reason-0-0.pdf","gsii/523176-reason-0-0.pdf")</f>
        <v>gsii/523176-reason-0-0.pdf</v>
      </c>
      <c r="E1792">
        <v>120842</v>
      </c>
      <c r="F1792">
        <v>523176</v>
      </c>
      <c r="G1792" t="s">
        <v>306</v>
      </c>
      <c r="H1792" t="s">
        <v>1823</v>
      </c>
      <c r="I1792" t="s">
        <v>2746</v>
      </c>
    </row>
    <row r="1793" spans="1:9" x14ac:dyDescent="0.2">
      <c r="A1793" t="s">
        <v>3331</v>
      </c>
      <c r="D1793" t="str">
        <f>HYPERLINK("http://nlpdeep.cs.uic.edu:8080/proofing/t5/523176-history-of-present-illness-0-0.pdf","t5/523176-history-of-present-illness-0-0.pdf")</f>
        <v>t5/523176-history-of-present-illness-0-0.pdf</v>
      </c>
      <c r="E1793">
        <v>120842</v>
      </c>
      <c r="F1793">
        <v>523176</v>
      </c>
      <c r="G1793" t="s">
        <v>306</v>
      </c>
      <c r="H1793" t="s">
        <v>13</v>
      </c>
      <c r="I1793" t="s">
        <v>2748</v>
      </c>
    </row>
    <row r="1794" spans="1:9" x14ac:dyDescent="0.2">
      <c r="A1794" t="s">
        <v>3331</v>
      </c>
      <c r="D1794" t="str">
        <f>HYPERLINK("http://nlpdeep.cs.uic.edu:8080/proofing/gsii/523176-history-of-present-illness-0-0.pdf","gsii/523176-history-of-present-illness-0-0.pdf")</f>
        <v>gsii/523176-history-of-present-illness-0-0.pdf</v>
      </c>
      <c r="E1794">
        <v>120842</v>
      </c>
      <c r="F1794">
        <v>523176</v>
      </c>
      <c r="G1794" t="s">
        <v>306</v>
      </c>
      <c r="H1794" t="s">
        <v>13</v>
      </c>
      <c r="I1794" t="s">
        <v>2748</v>
      </c>
    </row>
    <row r="1795" spans="1:9" x14ac:dyDescent="0.2">
      <c r="A1795" t="s">
        <v>3332</v>
      </c>
      <c r="D1795" t="str">
        <f>HYPERLINK("http://nlpdeep.cs.uic.edu:8080/proofing/t5/523176-history-of-present-illness-0-1.pdf","t5/523176-history-of-present-illness-0-1.pdf")</f>
        <v>t5/523176-history-of-present-illness-0-1.pdf</v>
      </c>
      <c r="E1795">
        <v>120842</v>
      </c>
      <c r="F1795">
        <v>523176</v>
      </c>
      <c r="G1795" t="s">
        <v>306</v>
      </c>
      <c r="H1795" t="s">
        <v>13</v>
      </c>
      <c r="I1795" t="s">
        <v>2750</v>
      </c>
    </row>
    <row r="1796" spans="1:9" x14ac:dyDescent="0.2">
      <c r="A1796" t="s">
        <v>3332</v>
      </c>
      <c r="D1796" t="str">
        <f>HYPERLINK("http://nlpdeep.cs.uic.edu:8080/proofing/gsii/523176-history-of-present-illness-0-1.pdf","gsii/523176-history-of-present-illness-0-1.pdf")</f>
        <v>gsii/523176-history-of-present-illness-0-1.pdf</v>
      </c>
      <c r="E1796">
        <v>120842</v>
      </c>
      <c r="F1796">
        <v>523176</v>
      </c>
      <c r="G1796" t="s">
        <v>306</v>
      </c>
      <c r="H1796" t="s">
        <v>13</v>
      </c>
      <c r="I1796" t="s">
        <v>2750</v>
      </c>
    </row>
    <row r="1797" spans="1:9" x14ac:dyDescent="0.2">
      <c r="A1797" t="s">
        <v>3333</v>
      </c>
      <c r="D1797" t="str">
        <f>HYPERLINK("http://nlpdeep.cs.uic.edu:8080/proofing/t5/523176-history-of-present-illness-0-2.pdf","t5/523176-history-of-present-illness-0-2.pdf")</f>
        <v>t5/523176-history-of-present-illness-0-2.pdf</v>
      </c>
      <c r="E1797">
        <v>120842</v>
      </c>
      <c r="F1797">
        <v>523176</v>
      </c>
      <c r="G1797" t="s">
        <v>306</v>
      </c>
      <c r="H1797" t="s">
        <v>13</v>
      </c>
      <c r="I1797" t="s">
        <v>2752</v>
      </c>
    </row>
    <row r="1798" spans="1:9" x14ac:dyDescent="0.2">
      <c r="A1798" t="s">
        <v>3333</v>
      </c>
      <c r="D1798" t="str">
        <f>HYPERLINK("http://nlpdeep.cs.uic.edu:8080/proofing/gsii/523176-history-of-present-illness-0-2.pdf","gsii/523176-history-of-present-illness-0-2.pdf")</f>
        <v>gsii/523176-history-of-present-illness-0-2.pdf</v>
      </c>
      <c r="E1798">
        <v>120842</v>
      </c>
      <c r="F1798">
        <v>523176</v>
      </c>
      <c r="G1798" t="s">
        <v>306</v>
      </c>
      <c r="H1798" t="s">
        <v>13</v>
      </c>
      <c r="I1798" t="s">
        <v>2752</v>
      </c>
    </row>
    <row r="1799" spans="1:9" x14ac:dyDescent="0.2">
      <c r="A1799" t="s">
        <v>3334</v>
      </c>
      <c r="D1799" t="str">
        <f>HYPERLINK("http://nlpdeep.cs.uic.edu:8080/proofing/t5/523176-history-of-present-illness-0-3.pdf","t5/523176-history-of-present-illness-0-3.pdf")</f>
        <v>t5/523176-history-of-present-illness-0-3.pdf</v>
      </c>
      <c r="E1799">
        <v>120842</v>
      </c>
      <c r="F1799">
        <v>523176</v>
      </c>
      <c r="G1799" t="s">
        <v>306</v>
      </c>
      <c r="H1799" t="s">
        <v>13</v>
      </c>
      <c r="I1799" t="s">
        <v>2754</v>
      </c>
    </row>
    <row r="1800" spans="1:9" x14ac:dyDescent="0.2">
      <c r="A1800" t="s">
        <v>3334</v>
      </c>
      <c r="D1800" t="str">
        <f>HYPERLINK("http://nlpdeep.cs.uic.edu:8080/proofing/gsii/523176-history-of-present-illness-0-3.pdf","gsii/523176-history-of-present-illness-0-3.pdf")</f>
        <v>gsii/523176-history-of-present-illness-0-3.pdf</v>
      </c>
      <c r="E1800">
        <v>120842</v>
      </c>
      <c r="F1800">
        <v>523176</v>
      </c>
      <c r="G1800" t="s">
        <v>306</v>
      </c>
      <c r="H1800" t="s">
        <v>13</v>
      </c>
      <c r="I1800" t="s">
        <v>2754</v>
      </c>
    </row>
    <row r="1801" spans="1:9" x14ac:dyDescent="0.2">
      <c r="A1801" t="s">
        <v>3335</v>
      </c>
      <c r="D1801" t="str">
        <f>HYPERLINK("http://nlpdeep.cs.uic.edu:8080/proofing/t5/523176-history-of-present-illness-0-4.pdf","t5/523176-history-of-present-illness-0-4.pdf")</f>
        <v>t5/523176-history-of-present-illness-0-4.pdf</v>
      </c>
      <c r="E1801">
        <v>120842</v>
      </c>
      <c r="F1801">
        <v>523176</v>
      </c>
      <c r="G1801" t="s">
        <v>306</v>
      </c>
      <c r="H1801" t="s">
        <v>13</v>
      </c>
      <c r="I1801" t="s">
        <v>2756</v>
      </c>
    </row>
    <row r="1802" spans="1:9" x14ac:dyDescent="0.2">
      <c r="A1802" t="s">
        <v>3335</v>
      </c>
      <c r="D1802" t="str">
        <f>HYPERLINK("http://nlpdeep.cs.uic.edu:8080/proofing/gsii/523176-history-of-present-illness-0-4.pdf","gsii/523176-history-of-present-illness-0-4.pdf")</f>
        <v>gsii/523176-history-of-present-illness-0-4.pdf</v>
      </c>
      <c r="E1802">
        <v>120842</v>
      </c>
      <c r="F1802">
        <v>523176</v>
      </c>
      <c r="G1802" t="s">
        <v>306</v>
      </c>
      <c r="H1802" t="s">
        <v>13</v>
      </c>
      <c r="I1802" t="s">
        <v>2756</v>
      </c>
    </row>
    <row r="1803" spans="1:9" x14ac:dyDescent="0.2">
      <c r="A1803" t="s">
        <v>3336</v>
      </c>
      <c r="D1803" t="str">
        <f>HYPERLINK("http://nlpdeep.cs.uic.edu:8080/proofing/t5/523176-history-of-present-illness-0-5.pdf","t5/523176-history-of-present-illness-0-5.pdf")</f>
        <v>t5/523176-history-of-present-illness-0-5.pdf</v>
      </c>
      <c r="E1803">
        <v>120842</v>
      </c>
      <c r="F1803">
        <v>523176</v>
      </c>
      <c r="G1803" t="s">
        <v>306</v>
      </c>
      <c r="H1803" t="s">
        <v>13</v>
      </c>
      <c r="I1803" t="s">
        <v>2758</v>
      </c>
    </row>
    <row r="1804" spans="1:9" x14ac:dyDescent="0.2">
      <c r="A1804" t="s">
        <v>3336</v>
      </c>
      <c r="D1804" t="str">
        <f>HYPERLINK("http://nlpdeep.cs.uic.edu:8080/proofing/gsii/523176-history-of-present-illness-0-5.pdf","gsii/523176-history-of-present-illness-0-5.pdf")</f>
        <v>gsii/523176-history-of-present-illness-0-5.pdf</v>
      </c>
      <c r="E1804">
        <v>120842</v>
      </c>
      <c r="F1804">
        <v>523176</v>
      </c>
      <c r="G1804" t="s">
        <v>306</v>
      </c>
      <c r="H1804" t="s">
        <v>13</v>
      </c>
      <c r="I1804" t="s">
        <v>2758</v>
      </c>
    </row>
    <row r="1805" spans="1:9" x14ac:dyDescent="0.2">
      <c r="A1805" t="s">
        <v>3337</v>
      </c>
      <c r="D1805" t="str">
        <f>HYPERLINK("http://nlpdeep.cs.uic.edu:8080/proofing/t5/523176-history-of-present-illness-1-0.pdf","t5/523176-history-of-present-illness-1-0.pdf")</f>
        <v>t5/523176-history-of-present-illness-1-0.pdf</v>
      </c>
      <c r="E1805">
        <v>120842</v>
      </c>
      <c r="F1805">
        <v>523176</v>
      </c>
      <c r="G1805" t="s">
        <v>306</v>
      </c>
      <c r="H1805" t="s">
        <v>13</v>
      </c>
      <c r="I1805" t="s">
        <v>2760</v>
      </c>
    </row>
    <row r="1806" spans="1:9" x14ac:dyDescent="0.2">
      <c r="A1806" t="s">
        <v>3337</v>
      </c>
      <c r="D1806" t="str">
        <f>HYPERLINK("http://nlpdeep.cs.uic.edu:8080/proofing/gsii/523176-history-of-present-illness-1-0.pdf","gsii/523176-history-of-present-illness-1-0.pdf")</f>
        <v>gsii/523176-history-of-present-illness-1-0.pdf</v>
      </c>
      <c r="E1806">
        <v>120842</v>
      </c>
      <c r="F1806">
        <v>523176</v>
      </c>
      <c r="G1806" t="s">
        <v>306</v>
      </c>
      <c r="H1806" t="s">
        <v>13</v>
      </c>
      <c r="I1806" t="s">
        <v>2760</v>
      </c>
    </row>
    <row r="1807" spans="1:9" x14ac:dyDescent="0.2">
      <c r="A1807" t="s">
        <v>3338</v>
      </c>
      <c r="D1807" t="str">
        <f>HYPERLINK("http://nlpdeep.cs.uic.edu:8080/proofing/t5/523176-history-of-present-illness-1-1.pdf","t5/523176-history-of-present-illness-1-1.pdf")</f>
        <v>t5/523176-history-of-present-illness-1-1.pdf</v>
      </c>
      <c r="E1807">
        <v>120842</v>
      </c>
      <c r="F1807">
        <v>523176</v>
      </c>
      <c r="G1807" t="s">
        <v>306</v>
      </c>
      <c r="H1807" t="s">
        <v>13</v>
      </c>
      <c r="I1807" t="s">
        <v>2762</v>
      </c>
    </row>
    <row r="1808" spans="1:9" x14ac:dyDescent="0.2">
      <c r="A1808" t="s">
        <v>3338</v>
      </c>
      <c r="D1808" t="str">
        <f>HYPERLINK("http://nlpdeep.cs.uic.edu:8080/proofing/gsii/523176-history-of-present-illness-1-1.pdf","gsii/523176-history-of-present-illness-1-1.pdf")</f>
        <v>gsii/523176-history-of-present-illness-1-1.pdf</v>
      </c>
      <c r="E1808">
        <v>120842</v>
      </c>
      <c r="F1808">
        <v>523176</v>
      </c>
      <c r="G1808" t="s">
        <v>306</v>
      </c>
      <c r="H1808" t="s">
        <v>13</v>
      </c>
      <c r="I1808" t="s">
        <v>2762</v>
      </c>
    </row>
    <row r="1809" spans="1:9" x14ac:dyDescent="0.2">
      <c r="A1809" t="s">
        <v>3339</v>
      </c>
      <c r="D1809" t="str">
        <f>HYPERLINK("http://nlpdeep.cs.uic.edu:8080/proofing/t5/523176-history-of-present-illness-1-2.pdf","t5/523176-history-of-present-illness-1-2.pdf")</f>
        <v>t5/523176-history-of-present-illness-1-2.pdf</v>
      </c>
      <c r="E1809">
        <v>120842</v>
      </c>
      <c r="F1809">
        <v>523176</v>
      </c>
      <c r="G1809" t="s">
        <v>306</v>
      </c>
      <c r="H1809" t="s">
        <v>13</v>
      </c>
      <c r="I1809" t="s">
        <v>2764</v>
      </c>
    </row>
    <row r="1810" spans="1:9" x14ac:dyDescent="0.2">
      <c r="A1810" t="s">
        <v>3339</v>
      </c>
      <c r="D1810" t="str">
        <f>HYPERLINK("http://nlpdeep.cs.uic.edu:8080/proofing/gsii/523176-history-of-present-illness-1-2.pdf","gsii/523176-history-of-present-illness-1-2.pdf")</f>
        <v>gsii/523176-history-of-present-illness-1-2.pdf</v>
      </c>
      <c r="E1810">
        <v>120842</v>
      </c>
      <c r="F1810">
        <v>523176</v>
      </c>
      <c r="G1810" t="s">
        <v>306</v>
      </c>
      <c r="H1810" t="s">
        <v>13</v>
      </c>
      <c r="I1810" t="s">
        <v>2764</v>
      </c>
    </row>
    <row r="1811" spans="1:9" x14ac:dyDescent="0.2">
      <c r="A1811" t="s">
        <v>3340</v>
      </c>
      <c r="D1811" t="str">
        <f>HYPERLINK("http://nlpdeep.cs.uic.edu:8080/proofing/t5/523176-allergies-0-0.pdf","t5/523176-allergies-0-0.pdf")</f>
        <v>t5/523176-allergies-0-0.pdf</v>
      </c>
      <c r="E1811">
        <v>120842</v>
      </c>
      <c r="F1811">
        <v>523176</v>
      </c>
      <c r="G1811" t="s">
        <v>306</v>
      </c>
      <c r="H1811" t="s">
        <v>64</v>
      </c>
      <c r="I1811" t="s">
        <v>2766</v>
      </c>
    </row>
    <row r="1812" spans="1:9" x14ac:dyDescent="0.2">
      <c r="A1812" t="s">
        <v>3340</v>
      </c>
      <c r="D1812" t="str">
        <f>HYPERLINK("http://nlpdeep.cs.uic.edu:8080/proofing/gsii/523176-allergies-0-0.pdf","gsii/523176-allergies-0-0.pdf")</f>
        <v>gsii/523176-allergies-0-0.pdf</v>
      </c>
      <c r="E1812">
        <v>120842</v>
      </c>
      <c r="F1812">
        <v>523176</v>
      </c>
      <c r="G1812" t="s">
        <v>306</v>
      </c>
      <c r="H1812" t="s">
        <v>64</v>
      </c>
      <c r="I1812" t="s">
        <v>2766</v>
      </c>
    </row>
    <row r="1813" spans="1:9" x14ac:dyDescent="0.2">
      <c r="A1813" t="s">
        <v>3341</v>
      </c>
      <c r="D1813" t="str">
        <f>HYPERLINK("http://nlpdeep.cs.uic.edu:8080/proofing/t5/523176-medication-history-0-0.pdf","t5/523176-medication-history-0-0.pdf")</f>
        <v>t5/523176-medication-history-0-0.pdf</v>
      </c>
      <c r="E1813">
        <v>120842</v>
      </c>
      <c r="F1813">
        <v>523176</v>
      </c>
      <c r="G1813" t="s">
        <v>306</v>
      </c>
      <c r="H1813" t="s">
        <v>336</v>
      </c>
      <c r="I1813" t="s">
        <v>2768</v>
      </c>
    </row>
    <row r="1814" spans="1:9" x14ac:dyDescent="0.2">
      <c r="A1814" t="s">
        <v>3341</v>
      </c>
      <c r="D1814" t="str">
        <f>HYPERLINK("http://nlpdeep.cs.uic.edu:8080/proofing/gsii/523176-medication-history-0-0.pdf","gsii/523176-medication-history-0-0.pdf")</f>
        <v>gsii/523176-medication-history-0-0.pdf</v>
      </c>
      <c r="E1814">
        <v>120842</v>
      </c>
      <c r="F1814">
        <v>523176</v>
      </c>
      <c r="G1814" t="s">
        <v>306</v>
      </c>
      <c r="H1814" t="s">
        <v>336</v>
      </c>
      <c r="I1814" t="s">
        <v>2768</v>
      </c>
    </row>
    <row r="1815" spans="1:9" x14ac:dyDescent="0.2">
      <c r="A1815" t="s">
        <v>3342</v>
      </c>
      <c r="D1815" t="str">
        <f>HYPERLINK("http://nlpdeep.cs.uic.edu:8080/proofing/t5/523176-medication-history-0-1.pdf","t5/523176-medication-history-0-1.pdf")</f>
        <v>t5/523176-medication-history-0-1.pdf</v>
      </c>
      <c r="E1815">
        <v>120842</v>
      </c>
      <c r="F1815">
        <v>523176</v>
      </c>
      <c r="G1815" t="s">
        <v>306</v>
      </c>
      <c r="H1815" t="s">
        <v>336</v>
      </c>
      <c r="I1815" t="s">
        <v>2770</v>
      </c>
    </row>
    <row r="1816" spans="1:9" x14ac:dyDescent="0.2">
      <c r="A1816" t="s">
        <v>3342</v>
      </c>
      <c r="D1816" t="str">
        <f>HYPERLINK("http://nlpdeep.cs.uic.edu:8080/proofing/gsii/523176-medication-history-0-1.pdf","gsii/523176-medication-history-0-1.pdf")</f>
        <v>gsii/523176-medication-history-0-1.pdf</v>
      </c>
      <c r="E1816">
        <v>120842</v>
      </c>
      <c r="F1816">
        <v>523176</v>
      </c>
      <c r="G1816" t="s">
        <v>306</v>
      </c>
      <c r="H1816" t="s">
        <v>336</v>
      </c>
      <c r="I1816" t="s">
        <v>2770</v>
      </c>
    </row>
    <row r="1817" spans="1:9" x14ac:dyDescent="0.2">
      <c r="A1817" t="s">
        <v>3343</v>
      </c>
      <c r="D1817" t="str">
        <f>HYPERLINK("http://nlpdeep.cs.uic.edu:8080/proofing/t5/523176-medication-history-0-2.pdf","t5/523176-medication-history-0-2.pdf")</f>
        <v>t5/523176-medication-history-0-2.pdf</v>
      </c>
      <c r="E1817">
        <v>120842</v>
      </c>
      <c r="F1817">
        <v>523176</v>
      </c>
      <c r="G1817" t="s">
        <v>306</v>
      </c>
      <c r="H1817" t="s">
        <v>336</v>
      </c>
      <c r="I1817" t="s">
        <v>2772</v>
      </c>
    </row>
    <row r="1818" spans="1:9" x14ac:dyDescent="0.2">
      <c r="A1818" t="s">
        <v>3343</v>
      </c>
      <c r="D1818" t="str">
        <f>HYPERLINK("http://nlpdeep.cs.uic.edu:8080/proofing/gsii/523176-medication-history-0-2.pdf","gsii/523176-medication-history-0-2.pdf")</f>
        <v>gsii/523176-medication-history-0-2.pdf</v>
      </c>
      <c r="E1818">
        <v>120842</v>
      </c>
      <c r="F1818">
        <v>523176</v>
      </c>
      <c r="G1818" t="s">
        <v>306</v>
      </c>
      <c r="H1818" t="s">
        <v>336</v>
      </c>
      <c r="I1818" t="s">
        <v>2772</v>
      </c>
    </row>
    <row r="1819" spans="1:9" x14ac:dyDescent="0.2">
      <c r="A1819" t="s">
        <v>3344</v>
      </c>
      <c r="D1819" t="str">
        <f>HYPERLINK("http://nlpdeep.cs.uic.edu:8080/proofing/t5/523176-medication-history-0-3.pdf","t5/523176-medication-history-0-3.pdf")</f>
        <v>t5/523176-medication-history-0-3.pdf</v>
      </c>
      <c r="E1819">
        <v>120842</v>
      </c>
      <c r="F1819">
        <v>523176</v>
      </c>
      <c r="G1819" t="s">
        <v>306</v>
      </c>
      <c r="H1819" t="s">
        <v>336</v>
      </c>
      <c r="I1819" t="s">
        <v>2774</v>
      </c>
    </row>
    <row r="1820" spans="1:9" x14ac:dyDescent="0.2">
      <c r="A1820" t="s">
        <v>3344</v>
      </c>
      <c r="D1820" t="str">
        <f>HYPERLINK("http://nlpdeep.cs.uic.edu:8080/proofing/gsii/523176-medication-history-0-3.pdf","gsii/523176-medication-history-0-3.pdf")</f>
        <v>gsii/523176-medication-history-0-3.pdf</v>
      </c>
      <c r="E1820">
        <v>120842</v>
      </c>
      <c r="F1820">
        <v>523176</v>
      </c>
      <c r="G1820" t="s">
        <v>306</v>
      </c>
      <c r="H1820" t="s">
        <v>336</v>
      </c>
      <c r="I1820" t="s">
        <v>2774</v>
      </c>
    </row>
    <row r="1821" spans="1:9" x14ac:dyDescent="0.2">
      <c r="A1821" t="s">
        <v>3345</v>
      </c>
      <c r="D1821" t="str">
        <f>HYPERLINK("http://nlpdeep.cs.uic.edu:8080/proofing/t5/523176-medication-history-0-4.pdf","t5/523176-medication-history-0-4.pdf")</f>
        <v>t5/523176-medication-history-0-4.pdf</v>
      </c>
      <c r="E1821">
        <v>120842</v>
      </c>
      <c r="F1821">
        <v>523176</v>
      </c>
      <c r="G1821" t="s">
        <v>306</v>
      </c>
      <c r="H1821" t="s">
        <v>336</v>
      </c>
      <c r="I1821" t="s">
        <v>2776</v>
      </c>
    </row>
    <row r="1822" spans="1:9" x14ac:dyDescent="0.2">
      <c r="A1822" t="s">
        <v>3345</v>
      </c>
      <c r="D1822" t="str">
        <f>HYPERLINK("http://nlpdeep.cs.uic.edu:8080/proofing/gsii/523176-medication-history-0-4.pdf","gsii/523176-medication-history-0-4.pdf")</f>
        <v>gsii/523176-medication-history-0-4.pdf</v>
      </c>
      <c r="E1822">
        <v>120842</v>
      </c>
      <c r="F1822">
        <v>523176</v>
      </c>
      <c r="G1822" t="s">
        <v>306</v>
      </c>
      <c r="H1822" t="s">
        <v>336</v>
      </c>
      <c r="I1822" t="s">
        <v>2776</v>
      </c>
    </row>
    <row r="1823" spans="1:9" x14ac:dyDescent="0.2">
      <c r="A1823" t="s">
        <v>3346</v>
      </c>
      <c r="D1823" t="str">
        <f>HYPERLINK("http://nlpdeep.cs.uic.edu:8080/proofing/t5/523176-medication-history-0-5.pdf","t5/523176-medication-history-0-5.pdf")</f>
        <v>t5/523176-medication-history-0-5.pdf</v>
      </c>
      <c r="E1823">
        <v>120842</v>
      </c>
      <c r="F1823">
        <v>523176</v>
      </c>
      <c r="G1823" t="s">
        <v>306</v>
      </c>
      <c r="H1823" t="s">
        <v>336</v>
      </c>
      <c r="I1823" t="s">
        <v>2778</v>
      </c>
    </row>
    <row r="1824" spans="1:9" x14ac:dyDescent="0.2">
      <c r="A1824" t="s">
        <v>3346</v>
      </c>
      <c r="D1824" t="str">
        <f>HYPERLINK("http://nlpdeep.cs.uic.edu:8080/proofing/gsii/523176-medication-history-0-5.pdf","gsii/523176-medication-history-0-5.pdf")</f>
        <v>gsii/523176-medication-history-0-5.pdf</v>
      </c>
      <c r="E1824">
        <v>120842</v>
      </c>
      <c r="F1824">
        <v>523176</v>
      </c>
      <c r="G1824" t="s">
        <v>306</v>
      </c>
      <c r="H1824" t="s">
        <v>336</v>
      </c>
      <c r="I1824" t="s">
        <v>2778</v>
      </c>
    </row>
    <row r="1825" spans="1:9" x14ac:dyDescent="0.2">
      <c r="A1825" t="s">
        <v>3347</v>
      </c>
      <c r="D1825" t="str">
        <f>HYPERLINK("http://nlpdeep.cs.uic.edu:8080/proofing/t5/523176-medication-history-0-6.pdf","t5/523176-medication-history-0-6.pdf")</f>
        <v>t5/523176-medication-history-0-6.pdf</v>
      </c>
      <c r="E1825">
        <v>120842</v>
      </c>
      <c r="F1825">
        <v>523176</v>
      </c>
      <c r="G1825" t="s">
        <v>306</v>
      </c>
      <c r="H1825" t="s">
        <v>336</v>
      </c>
      <c r="I1825" t="s">
        <v>2780</v>
      </c>
    </row>
    <row r="1826" spans="1:9" x14ac:dyDescent="0.2">
      <c r="A1826" t="s">
        <v>3347</v>
      </c>
      <c r="D1826" t="str">
        <f>HYPERLINK("http://nlpdeep.cs.uic.edu:8080/proofing/gsii/523176-medication-history-0-6.pdf","gsii/523176-medication-history-0-6.pdf")</f>
        <v>gsii/523176-medication-history-0-6.pdf</v>
      </c>
      <c r="E1826">
        <v>120842</v>
      </c>
      <c r="F1826">
        <v>523176</v>
      </c>
      <c r="G1826" t="s">
        <v>306</v>
      </c>
      <c r="H1826" t="s">
        <v>336</v>
      </c>
      <c r="I1826" t="s">
        <v>2780</v>
      </c>
    </row>
    <row r="1827" spans="1:9" x14ac:dyDescent="0.2">
      <c r="A1827" t="s">
        <v>3348</v>
      </c>
      <c r="D1827" t="str">
        <f>HYPERLINK("http://nlpdeep.cs.uic.edu:8080/proofing/t5/523176-medication-history-0-7.pdf","t5/523176-medication-history-0-7.pdf")</f>
        <v>t5/523176-medication-history-0-7.pdf</v>
      </c>
      <c r="E1827">
        <v>120842</v>
      </c>
      <c r="F1827">
        <v>523176</v>
      </c>
      <c r="G1827" t="s">
        <v>306</v>
      </c>
      <c r="H1827" t="s">
        <v>336</v>
      </c>
      <c r="I1827" t="s">
        <v>2782</v>
      </c>
    </row>
    <row r="1828" spans="1:9" x14ac:dyDescent="0.2">
      <c r="A1828" t="s">
        <v>3348</v>
      </c>
      <c r="D1828" t="str">
        <f>HYPERLINK("http://nlpdeep.cs.uic.edu:8080/proofing/gsii/523176-medication-history-0-7.pdf","gsii/523176-medication-history-0-7.pdf")</f>
        <v>gsii/523176-medication-history-0-7.pdf</v>
      </c>
      <c r="E1828">
        <v>120842</v>
      </c>
      <c r="F1828">
        <v>523176</v>
      </c>
      <c r="G1828" t="s">
        <v>306</v>
      </c>
      <c r="H1828" t="s">
        <v>336</v>
      </c>
      <c r="I1828" t="s">
        <v>2782</v>
      </c>
    </row>
    <row r="1829" spans="1:9" x14ac:dyDescent="0.2">
      <c r="A1829" t="s">
        <v>3349</v>
      </c>
      <c r="D1829" t="str">
        <f>HYPERLINK("http://nlpdeep.cs.uic.edu:8080/proofing/t5/523176-medication-history-0-8.pdf","t5/523176-medication-history-0-8.pdf")</f>
        <v>t5/523176-medication-history-0-8.pdf</v>
      </c>
      <c r="E1829">
        <v>120842</v>
      </c>
      <c r="F1829">
        <v>523176</v>
      </c>
      <c r="G1829" t="s">
        <v>306</v>
      </c>
      <c r="H1829" t="s">
        <v>336</v>
      </c>
      <c r="I1829" t="s">
        <v>2764</v>
      </c>
    </row>
    <row r="1830" spans="1:9" x14ac:dyDescent="0.2">
      <c r="A1830" t="s">
        <v>3349</v>
      </c>
      <c r="D1830" t="str">
        <f>HYPERLINK("http://nlpdeep.cs.uic.edu:8080/proofing/gsii/523176-medication-history-0-8.pdf","gsii/523176-medication-history-0-8.pdf")</f>
        <v>gsii/523176-medication-history-0-8.pdf</v>
      </c>
      <c r="E1830">
        <v>120842</v>
      </c>
      <c r="F1830">
        <v>523176</v>
      </c>
      <c r="G1830" t="s">
        <v>306</v>
      </c>
      <c r="H1830" t="s">
        <v>336</v>
      </c>
      <c r="I1830" t="s">
        <v>2764</v>
      </c>
    </row>
    <row r="1831" spans="1:9" x14ac:dyDescent="0.2">
      <c r="A1831" t="s">
        <v>3350</v>
      </c>
      <c r="D1831" t="str">
        <f>HYPERLINK("http://nlpdeep.cs.uic.edu:8080/proofing/t5/523176-current-medications-0-0.pdf","t5/523176-current-medications-0-0.pdf")</f>
        <v>t5/523176-current-medications-0-0.pdf</v>
      </c>
      <c r="E1831">
        <v>120842</v>
      </c>
      <c r="F1831">
        <v>523176</v>
      </c>
      <c r="G1831" t="s">
        <v>306</v>
      </c>
      <c r="H1831" t="s">
        <v>365</v>
      </c>
      <c r="I1831" t="s">
        <v>2785</v>
      </c>
    </row>
    <row r="1832" spans="1:9" x14ac:dyDescent="0.2">
      <c r="A1832" t="s">
        <v>3350</v>
      </c>
      <c r="D1832" t="str">
        <f>HYPERLINK("http://nlpdeep.cs.uic.edu:8080/proofing/gsii/523176-current-medications-0-0.pdf","gsii/523176-current-medications-0-0.pdf")</f>
        <v>gsii/523176-current-medications-0-0.pdf</v>
      </c>
      <c r="E1832">
        <v>120842</v>
      </c>
      <c r="F1832">
        <v>523176</v>
      </c>
      <c r="G1832" t="s">
        <v>306</v>
      </c>
      <c r="H1832" t="s">
        <v>365</v>
      </c>
      <c r="I1832" t="s">
        <v>2785</v>
      </c>
    </row>
    <row r="1833" spans="1:9" x14ac:dyDescent="0.2">
      <c r="A1833" t="s">
        <v>3351</v>
      </c>
      <c r="D1833" t="str">
        <f>HYPERLINK("http://nlpdeep.cs.uic.edu:8080/proofing/t5/523176-past-medical-history-0-0.pdf","t5/523176-past-medical-history-0-0.pdf")</f>
        <v>t5/523176-past-medical-history-0-0.pdf</v>
      </c>
      <c r="E1833">
        <v>120842</v>
      </c>
      <c r="F1833">
        <v>523176</v>
      </c>
      <c r="G1833" t="s">
        <v>306</v>
      </c>
      <c r="H1833" t="s">
        <v>76</v>
      </c>
      <c r="I1833" t="s">
        <v>2787</v>
      </c>
    </row>
    <row r="1834" spans="1:9" x14ac:dyDescent="0.2">
      <c r="A1834" t="s">
        <v>3351</v>
      </c>
      <c r="D1834" t="str">
        <f>HYPERLINK("http://nlpdeep.cs.uic.edu:8080/proofing/gsii/523176-past-medical-history-0-0.pdf","gsii/523176-past-medical-history-0-0.pdf")</f>
        <v>gsii/523176-past-medical-history-0-0.pdf</v>
      </c>
      <c r="E1834">
        <v>120842</v>
      </c>
      <c r="F1834">
        <v>523176</v>
      </c>
      <c r="G1834" t="s">
        <v>306</v>
      </c>
      <c r="H1834" t="s">
        <v>76</v>
      </c>
      <c r="I1834" t="s">
        <v>2787</v>
      </c>
    </row>
    <row r="1835" spans="1:9" x14ac:dyDescent="0.2">
      <c r="A1835" t="s">
        <v>3352</v>
      </c>
      <c r="D1835" t="str">
        <f>HYPERLINK("http://nlpdeep.cs.uic.edu:8080/proofing/t5/523176-past-medical-history-0-1.pdf","t5/523176-past-medical-history-0-1.pdf")</f>
        <v>t5/523176-past-medical-history-0-1.pdf</v>
      </c>
      <c r="E1835">
        <v>120842</v>
      </c>
      <c r="F1835">
        <v>523176</v>
      </c>
      <c r="G1835" t="s">
        <v>306</v>
      </c>
      <c r="H1835" t="s">
        <v>76</v>
      </c>
      <c r="I1835" t="s">
        <v>2789</v>
      </c>
    </row>
    <row r="1836" spans="1:9" x14ac:dyDescent="0.2">
      <c r="A1836" t="s">
        <v>3352</v>
      </c>
      <c r="D1836" t="str">
        <f>HYPERLINK("http://nlpdeep.cs.uic.edu:8080/proofing/gsii/523176-past-medical-history-0-1.pdf","gsii/523176-past-medical-history-0-1.pdf")</f>
        <v>gsii/523176-past-medical-history-0-1.pdf</v>
      </c>
      <c r="E1836">
        <v>120842</v>
      </c>
      <c r="F1836">
        <v>523176</v>
      </c>
      <c r="G1836" t="s">
        <v>306</v>
      </c>
      <c r="H1836" t="s">
        <v>76</v>
      </c>
      <c r="I1836" t="s">
        <v>2789</v>
      </c>
    </row>
    <row r="1837" spans="1:9" x14ac:dyDescent="0.2">
      <c r="A1837" t="s">
        <v>3353</v>
      </c>
      <c r="D1837" t="str">
        <f>HYPERLINK("http://nlpdeep.cs.uic.edu:8080/proofing/t5/523176-past-medical-history-0-2.pdf","t5/523176-past-medical-history-0-2.pdf")</f>
        <v>t5/523176-past-medical-history-0-2.pdf</v>
      </c>
      <c r="E1837">
        <v>120842</v>
      </c>
      <c r="F1837">
        <v>523176</v>
      </c>
      <c r="G1837" t="s">
        <v>306</v>
      </c>
      <c r="H1837" t="s">
        <v>76</v>
      </c>
      <c r="I1837" t="s">
        <v>2791</v>
      </c>
    </row>
    <row r="1838" spans="1:9" x14ac:dyDescent="0.2">
      <c r="A1838" t="s">
        <v>3353</v>
      </c>
      <c r="D1838" t="str">
        <f>HYPERLINK("http://nlpdeep.cs.uic.edu:8080/proofing/gsii/523176-past-medical-history-0-2.pdf","gsii/523176-past-medical-history-0-2.pdf")</f>
        <v>gsii/523176-past-medical-history-0-2.pdf</v>
      </c>
      <c r="E1838">
        <v>120842</v>
      </c>
      <c r="F1838">
        <v>523176</v>
      </c>
      <c r="G1838" t="s">
        <v>306</v>
      </c>
      <c r="H1838" t="s">
        <v>76</v>
      </c>
      <c r="I1838" t="s">
        <v>2791</v>
      </c>
    </row>
    <row r="1839" spans="1:9" x14ac:dyDescent="0.2">
      <c r="A1839" t="s">
        <v>3354</v>
      </c>
      <c r="D1839" t="str">
        <f>HYPERLINK("http://nlpdeep.cs.uic.edu:8080/proofing/t5/523176-past-medical-history-0-3.pdf","t5/523176-past-medical-history-0-3.pdf")</f>
        <v>t5/523176-past-medical-history-0-3.pdf</v>
      </c>
      <c r="E1839">
        <v>120842</v>
      </c>
      <c r="F1839">
        <v>523176</v>
      </c>
      <c r="G1839" t="s">
        <v>306</v>
      </c>
      <c r="H1839" t="s">
        <v>76</v>
      </c>
      <c r="I1839" t="s">
        <v>2793</v>
      </c>
    </row>
    <row r="1840" spans="1:9" x14ac:dyDescent="0.2">
      <c r="A1840" t="s">
        <v>3354</v>
      </c>
      <c r="D1840" t="str">
        <f>HYPERLINK("http://nlpdeep.cs.uic.edu:8080/proofing/gsii/523176-past-medical-history-0-3.pdf","gsii/523176-past-medical-history-0-3.pdf")</f>
        <v>gsii/523176-past-medical-history-0-3.pdf</v>
      </c>
      <c r="E1840">
        <v>120842</v>
      </c>
      <c r="F1840">
        <v>523176</v>
      </c>
      <c r="G1840" t="s">
        <v>306</v>
      </c>
      <c r="H1840" t="s">
        <v>76</v>
      </c>
      <c r="I1840" t="s">
        <v>2793</v>
      </c>
    </row>
    <row r="1841" spans="1:9" x14ac:dyDescent="0.2">
      <c r="A1841" t="s">
        <v>3355</v>
      </c>
      <c r="D1841" t="str">
        <f>HYPERLINK("http://nlpdeep.cs.uic.edu:8080/proofing/t5/523176-past-medical-history-0-4.pdf","t5/523176-past-medical-history-0-4.pdf")</f>
        <v>t5/523176-past-medical-history-0-4.pdf</v>
      </c>
      <c r="E1841">
        <v>120842</v>
      </c>
      <c r="F1841">
        <v>523176</v>
      </c>
      <c r="G1841" t="s">
        <v>306</v>
      </c>
      <c r="H1841" t="s">
        <v>76</v>
      </c>
      <c r="I1841" t="s">
        <v>2795</v>
      </c>
    </row>
    <row r="1842" spans="1:9" x14ac:dyDescent="0.2">
      <c r="A1842" t="s">
        <v>3355</v>
      </c>
      <c r="D1842" t="str">
        <f>HYPERLINK("http://nlpdeep.cs.uic.edu:8080/proofing/gsii/523176-past-medical-history-0-4.pdf","gsii/523176-past-medical-history-0-4.pdf")</f>
        <v>gsii/523176-past-medical-history-0-4.pdf</v>
      </c>
      <c r="E1842">
        <v>120842</v>
      </c>
      <c r="F1842">
        <v>523176</v>
      </c>
      <c r="G1842" t="s">
        <v>306</v>
      </c>
      <c r="H1842" t="s">
        <v>76</v>
      </c>
      <c r="I1842" t="s">
        <v>2795</v>
      </c>
    </row>
    <row r="1843" spans="1:9" x14ac:dyDescent="0.2">
      <c r="A1843" t="s">
        <v>3356</v>
      </c>
      <c r="D1843" t="str">
        <f>HYPERLINK("http://nlpdeep.cs.uic.edu:8080/proofing/t5/523176-past-medical-history-0-5.pdf","t5/523176-past-medical-history-0-5.pdf")</f>
        <v>t5/523176-past-medical-history-0-5.pdf</v>
      </c>
      <c r="E1843">
        <v>120842</v>
      </c>
      <c r="F1843">
        <v>523176</v>
      </c>
      <c r="G1843" t="s">
        <v>306</v>
      </c>
      <c r="H1843" t="s">
        <v>76</v>
      </c>
      <c r="I1843" t="s">
        <v>2797</v>
      </c>
    </row>
    <row r="1844" spans="1:9" x14ac:dyDescent="0.2">
      <c r="A1844" t="s">
        <v>3356</v>
      </c>
      <c r="D1844" t="str">
        <f>HYPERLINK("http://nlpdeep.cs.uic.edu:8080/proofing/gsii/523176-past-medical-history-0-5.pdf","gsii/523176-past-medical-history-0-5.pdf")</f>
        <v>gsii/523176-past-medical-history-0-5.pdf</v>
      </c>
      <c r="E1844">
        <v>120842</v>
      </c>
      <c r="F1844">
        <v>523176</v>
      </c>
      <c r="G1844" t="s">
        <v>306</v>
      </c>
      <c r="H1844" t="s">
        <v>76</v>
      </c>
      <c r="I1844" t="s">
        <v>2797</v>
      </c>
    </row>
    <row r="1845" spans="1:9" x14ac:dyDescent="0.2">
      <c r="A1845" t="s">
        <v>3357</v>
      </c>
      <c r="D1845" t="str">
        <f>HYPERLINK("http://nlpdeep.cs.uic.edu:8080/proofing/t5/523176-social-and-family-history-0-0.pdf","t5/523176-social-and-family-history-0-0.pdf")</f>
        <v>t5/523176-social-and-family-history-0-0.pdf</v>
      </c>
      <c r="E1845">
        <v>120842</v>
      </c>
      <c r="F1845">
        <v>523176</v>
      </c>
      <c r="G1845" t="s">
        <v>306</v>
      </c>
      <c r="H1845" t="s">
        <v>2799</v>
      </c>
      <c r="I1845" t="s">
        <v>2800</v>
      </c>
    </row>
    <row r="1846" spans="1:9" x14ac:dyDescent="0.2">
      <c r="A1846" t="s">
        <v>3357</v>
      </c>
      <c r="D1846" t="str">
        <f>HYPERLINK("http://nlpdeep.cs.uic.edu:8080/proofing/gsii/523176-social-and-family-history-0-0.pdf","gsii/523176-social-and-family-history-0-0.pdf")</f>
        <v>gsii/523176-social-and-family-history-0-0.pdf</v>
      </c>
      <c r="E1846">
        <v>120842</v>
      </c>
      <c r="F1846">
        <v>523176</v>
      </c>
      <c r="G1846" t="s">
        <v>306</v>
      </c>
      <c r="H1846" t="s">
        <v>2799</v>
      </c>
      <c r="I1846" t="s">
        <v>2800</v>
      </c>
    </row>
    <row r="1847" spans="1:9" x14ac:dyDescent="0.2">
      <c r="A1847" t="s">
        <v>3358</v>
      </c>
      <c r="D1847" t="str">
        <f>HYPERLINK("http://nlpdeep.cs.uic.edu:8080/proofing/t5/523176-social-and-family-history-0-1.pdf","t5/523176-social-and-family-history-0-1.pdf")</f>
        <v>t5/523176-social-and-family-history-0-1.pdf</v>
      </c>
      <c r="E1847">
        <v>120842</v>
      </c>
      <c r="F1847">
        <v>523176</v>
      </c>
      <c r="G1847" t="s">
        <v>306</v>
      </c>
      <c r="H1847" t="s">
        <v>2799</v>
      </c>
      <c r="I1847" t="s">
        <v>2802</v>
      </c>
    </row>
    <row r="1848" spans="1:9" x14ac:dyDescent="0.2">
      <c r="A1848" t="s">
        <v>3358</v>
      </c>
      <c r="D1848" t="str">
        <f>HYPERLINK("http://nlpdeep.cs.uic.edu:8080/proofing/gsii/523176-social-and-family-history-0-1.pdf","gsii/523176-social-and-family-history-0-1.pdf")</f>
        <v>gsii/523176-social-and-family-history-0-1.pdf</v>
      </c>
      <c r="E1848">
        <v>120842</v>
      </c>
      <c r="F1848">
        <v>523176</v>
      </c>
      <c r="G1848" t="s">
        <v>306</v>
      </c>
      <c r="H1848" t="s">
        <v>2799</v>
      </c>
      <c r="I1848" t="s">
        <v>2802</v>
      </c>
    </row>
    <row r="1849" spans="1:9" x14ac:dyDescent="0.2">
      <c r="A1849" t="s">
        <v>3359</v>
      </c>
      <c r="D1849" t="str">
        <f>HYPERLINK("http://nlpdeep.cs.uic.edu:8080/proofing/t5/523176-social-and-family-history-0-2.pdf","t5/523176-social-and-family-history-0-2.pdf")</f>
        <v>t5/523176-social-and-family-history-0-2.pdf</v>
      </c>
      <c r="E1849">
        <v>120842</v>
      </c>
      <c r="F1849">
        <v>523176</v>
      </c>
      <c r="G1849" t="s">
        <v>306</v>
      </c>
      <c r="H1849" t="s">
        <v>2799</v>
      </c>
      <c r="I1849" t="s">
        <v>2804</v>
      </c>
    </row>
    <row r="1850" spans="1:9" x14ac:dyDescent="0.2">
      <c r="A1850" t="s">
        <v>3359</v>
      </c>
      <c r="D1850" t="str">
        <f>HYPERLINK("http://nlpdeep.cs.uic.edu:8080/proofing/gsii/523176-social-and-family-history-0-2.pdf","gsii/523176-social-and-family-history-0-2.pdf")</f>
        <v>gsii/523176-social-and-family-history-0-2.pdf</v>
      </c>
      <c r="E1850">
        <v>120842</v>
      </c>
      <c r="F1850">
        <v>523176</v>
      </c>
      <c r="G1850" t="s">
        <v>306</v>
      </c>
      <c r="H1850" t="s">
        <v>2799</v>
      </c>
      <c r="I1850" t="s">
        <v>2804</v>
      </c>
    </row>
    <row r="1851" spans="1:9" x14ac:dyDescent="0.2">
      <c r="A1851" t="s">
        <v>3360</v>
      </c>
      <c r="D1851" t="str">
        <f>HYPERLINK("http://nlpdeep.cs.uic.edu:8080/proofing/t5/523176-social-and-family-history-0-3.pdf","t5/523176-social-and-family-history-0-3.pdf")</f>
        <v>t5/523176-social-and-family-history-0-3.pdf</v>
      </c>
      <c r="E1851">
        <v>120842</v>
      </c>
      <c r="F1851">
        <v>523176</v>
      </c>
      <c r="G1851" t="s">
        <v>306</v>
      </c>
      <c r="H1851" t="s">
        <v>2799</v>
      </c>
      <c r="I1851" t="s">
        <v>2806</v>
      </c>
    </row>
    <row r="1852" spans="1:9" x14ac:dyDescent="0.2">
      <c r="A1852" t="s">
        <v>3360</v>
      </c>
      <c r="D1852" t="str">
        <f>HYPERLINK("http://nlpdeep.cs.uic.edu:8080/proofing/gsii/523176-social-and-family-history-0-3.pdf","gsii/523176-social-and-family-history-0-3.pdf")</f>
        <v>gsii/523176-social-and-family-history-0-3.pdf</v>
      </c>
      <c r="E1852">
        <v>120842</v>
      </c>
      <c r="F1852">
        <v>523176</v>
      </c>
      <c r="G1852" t="s">
        <v>306</v>
      </c>
      <c r="H1852" t="s">
        <v>2799</v>
      </c>
      <c r="I1852" t="s">
        <v>2806</v>
      </c>
    </row>
    <row r="1853" spans="1:9" x14ac:dyDescent="0.2">
      <c r="A1853" t="s">
        <v>3361</v>
      </c>
      <c r="D1853" t="str">
        <f>HYPERLINK("http://nlpdeep.cs.uic.edu:8080/proofing/t5/523176-social-and-family-history-0-4.pdf","t5/523176-social-and-family-history-0-4.pdf")</f>
        <v>t5/523176-social-and-family-history-0-4.pdf</v>
      </c>
      <c r="E1853">
        <v>120842</v>
      </c>
      <c r="F1853">
        <v>523176</v>
      </c>
      <c r="G1853" t="s">
        <v>306</v>
      </c>
      <c r="H1853" t="s">
        <v>2799</v>
      </c>
      <c r="I1853" t="s">
        <v>2808</v>
      </c>
    </row>
    <row r="1854" spans="1:9" x14ac:dyDescent="0.2">
      <c r="A1854" t="s">
        <v>3361</v>
      </c>
      <c r="D1854" t="str">
        <f>HYPERLINK("http://nlpdeep.cs.uic.edu:8080/proofing/gsii/523176-social-and-family-history-0-4.pdf","gsii/523176-social-and-family-history-0-4.pdf")</f>
        <v>gsii/523176-social-and-family-history-0-4.pdf</v>
      </c>
      <c r="E1854">
        <v>120842</v>
      </c>
      <c r="F1854">
        <v>523176</v>
      </c>
      <c r="G1854" t="s">
        <v>306</v>
      </c>
      <c r="H1854" t="s">
        <v>2799</v>
      </c>
      <c r="I1854" t="s">
        <v>2808</v>
      </c>
    </row>
    <row r="1855" spans="1:9" x14ac:dyDescent="0.2">
      <c r="A1855" t="s">
        <v>3362</v>
      </c>
      <c r="D1855" t="str">
        <f>HYPERLINK("http://nlpdeep.cs.uic.edu:8080/proofing/t5/523176-physical-examination-0-0.pdf","t5/523176-physical-examination-0-0.pdf")</f>
        <v>t5/523176-physical-examination-0-0.pdf</v>
      </c>
      <c r="E1855">
        <v>120842</v>
      </c>
      <c r="F1855">
        <v>523176</v>
      </c>
      <c r="G1855" t="s">
        <v>306</v>
      </c>
      <c r="H1855" t="s">
        <v>138</v>
      </c>
      <c r="I1855" t="s">
        <v>2810</v>
      </c>
    </row>
    <row r="1856" spans="1:9" x14ac:dyDescent="0.2">
      <c r="A1856" t="s">
        <v>3362</v>
      </c>
      <c r="D1856" t="str">
        <f>HYPERLINK("http://nlpdeep.cs.uic.edu:8080/proofing/gsii/523176-physical-examination-0-0.pdf","gsii/523176-physical-examination-0-0.pdf")</f>
        <v>gsii/523176-physical-examination-0-0.pdf</v>
      </c>
      <c r="E1856">
        <v>120842</v>
      </c>
      <c r="F1856">
        <v>523176</v>
      </c>
      <c r="G1856" t="s">
        <v>306</v>
      </c>
      <c r="H1856" t="s">
        <v>138</v>
      </c>
      <c r="I1856" t="s">
        <v>2810</v>
      </c>
    </row>
    <row r="1857" spans="1:9" x14ac:dyDescent="0.2">
      <c r="A1857" t="s">
        <v>3363</v>
      </c>
      <c r="D1857" t="str">
        <f>HYPERLINK("http://nlpdeep.cs.uic.edu:8080/proofing/t5/523176-physical-examination-0-1.pdf","t5/523176-physical-examination-0-1.pdf")</f>
        <v>t5/523176-physical-examination-0-1.pdf</v>
      </c>
      <c r="E1857">
        <v>120842</v>
      </c>
      <c r="F1857">
        <v>523176</v>
      </c>
      <c r="G1857" t="s">
        <v>306</v>
      </c>
      <c r="H1857" t="s">
        <v>138</v>
      </c>
      <c r="I1857" t="s">
        <v>2812</v>
      </c>
    </row>
    <row r="1858" spans="1:9" x14ac:dyDescent="0.2">
      <c r="A1858" t="s">
        <v>3363</v>
      </c>
      <c r="D1858" t="str">
        <f>HYPERLINK("http://nlpdeep.cs.uic.edu:8080/proofing/gsii/523176-physical-examination-0-1.pdf","gsii/523176-physical-examination-0-1.pdf")</f>
        <v>gsii/523176-physical-examination-0-1.pdf</v>
      </c>
      <c r="E1858">
        <v>120842</v>
      </c>
      <c r="F1858">
        <v>523176</v>
      </c>
      <c r="G1858" t="s">
        <v>306</v>
      </c>
      <c r="H1858" t="s">
        <v>138</v>
      </c>
      <c r="I1858" t="s">
        <v>2812</v>
      </c>
    </row>
    <row r="1859" spans="1:9" x14ac:dyDescent="0.2">
      <c r="A1859" t="s">
        <v>3364</v>
      </c>
      <c r="D1859" t="str">
        <f>HYPERLINK("http://nlpdeep.cs.uic.edu:8080/proofing/t5/523176-labs-imaging-0-0.pdf","t5/523176-labs-imaging-0-0.pdf")</f>
        <v>t5/523176-labs-imaging-0-0.pdf</v>
      </c>
      <c r="E1859">
        <v>120842</v>
      </c>
      <c r="F1859">
        <v>523176</v>
      </c>
      <c r="G1859" t="s">
        <v>306</v>
      </c>
      <c r="H1859" t="s">
        <v>147</v>
      </c>
      <c r="I1859" t="s">
        <v>2814</v>
      </c>
    </row>
    <row r="1860" spans="1:9" x14ac:dyDescent="0.2">
      <c r="A1860" t="s">
        <v>3364</v>
      </c>
      <c r="D1860" t="str">
        <f>HYPERLINK("http://nlpdeep.cs.uic.edu:8080/proofing/gsii/523176-labs-imaging-0-0.pdf","gsii/523176-labs-imaging-0-0.pdf")</f>
        <v>gsii/523176-labs-imaging-0-0.pdf</v>
      </c>
      <c r="E1860">
        <v>120842</v>
      </c>
      <c r="F1860">
        <v>523176</v>
      </c>
      <c r="G1860" t="s">
        <v>306</v>
      </c>
      <c r="H1860" t="s">
        <v>147</v>
      </c>
      <c r="I1860" t="s">
        <v>2814</v>
      </c>
    </row>
    <row r="1861" spans="1:9" x14ac:dyDescent="0.2">
      <c r="A1861" t="s">
        <v>3365</v>
      </c>
      <c r="D1861" t="str">
        <f>HYPERLINK("http://nlpdeep.cs.uic.edu:8080/proofing/t5/523176-labs-imaging-0-1.pdf","t5/523176-labs-imaging-0-1.pdf")</f>
        <v>t5/523176-labs-imaging-0-1.pdf</v>
      </c>
      <c r="E1861">
        <v>120842</v>
      </c>
      <c r="F1861">
        <v>523176</v>
      </c>
      <c r="G1861" t="s">
        <v>306</v>
      </c>
      <c r="H1861" t="s">
        <v>147</v>
      </c>
      <c r="I1861" t="s">
        <v>2816</v>
      </c>
    </row>
    <row r="1862" spans="1:9" x14ac:dyDescent="0.2">
      <c r="A1862" t="s">
        <v>3365</v>
      </c>
      <c r="D1862" t="str">
        <f>HYPERLINK("http://nlpdeep.cs.uic.edu:8080/proofing/gsii/523176-labs-imaging-0-1.pdf","gsii/523176-labs-imaging-0-1.pdf")</f>
        <v>gsii/523176-labs-imaging-0-1.pdf</v>
      </c>
      <c r="E1862">
        <v>120842</v>
      </c>
      <c r="F1862">
        <v>523176</v>
      </c>
      <c r="G1862" t="s">
        <v>306</v>
      </c>
      <c r="H1862" t="s">
        <v>147</v>
      </c>
      <c r="I1862" t="s">
        <v>2816</v>
      </c>
    </row>
    <row r="1863" spans="1:9" x14ac:dyDescent="0.2">
      <c r="A1863" t="s">
        <v>3366</v>
      </c>
      <c r="D1863" t="str">
        <f>HYPERLINK("http://nlpdeep.cs.uic.edu:8080/proofing/t5/523176-assessment-and-plan-0-0.pdf","t5/523176-assessment-and-plan-0-0.pdf")</f>
        <v>t5/523176-assessment-and-plan-0-0.pdf</v>
      </c>
      <c r="E1863">
        <v>120842</v>
      </c>
      <c r="F1863">
        <v>523176</v>
      </c>
      <c r="G1863" t="s">
        <v>306</v>
      </c>
      <c r="H1863" t="s">
        <v>195</v>
      </c>
      <c r="I1863" t="s">
        <v>2818</v>
      </c>
    </row>
    <row r="1864" spans="1:9" x14ac:dyDescent="0.2">
      <c r="A1864" t="s">
        <v>3366</v>
      </c>
      <c r="D1864" t="str">
        <f>HYPERLINK("http://nlpdeep.cs.uic.edu:8080/proofing/gsii/523176-assessment-and-plan-0-0.pdf","gsii/523176-assessment-and-plan-0-0.pdf")</f>
        <v>gsii/523176-assessment-and-plan-0-0.pdf</v>
      </c>
      <c r="E1864">
        <v>120842</v>
      </c>
      <c r="F1864">
        <v>523176</v>
      </c>
      <c r="G1864" t="s">
        <v>306</v>
      </c>
      <c r="H1864" t="s">
        <v>195</v>
      </c>
      <c r="I1864" t="s">
        <v>2818</v>
      </c>
    </row>
    <row r="1865" spans="1:9" x14ac:dyDescent="0.2">
      <c r="A1865" t="s">
        <v>3367</v>
      </c>
      <c r="D1865" t="str">
        <f>HYPERLINK("http://nlpdeep.cs.uic.edu:8080/proofing/t5/523176-assessment-and-plan-0-1.pdf","t5/523176-assessment-and-plan-0-1.pdf")</f>
        <v>t5/523176-assessment-and-plan-0-1.pdf</v>
      </c>
      <c r="E1865">
        <v>120842</v>
      </c>
      <c r="F1865">
        <v>523176</v>
      </c>
      <c r="G1865" t="s">
        <v>306</v>
      </c>
      <c r="H1865" t="s">
        <v>195</v>
      </c>
      <c r="I1865" t="s">
        <v>2820</v>
      </c>
    </row>
    <row r="1866" spans="1:9" x14ac:dyDescent="0.2">
      <c r="A1866" t="s">
        <v>3367</v>
      </c>
      <c r="D1866" t="str">
        <f>HYPERLINK("http://nlpdeep.cs.uic.edu:8080/proofing/gsii/523176-assessment-and-plan-0-1.pdf","gsii/523176-assessment-and-plan-0-1.pdf")</f>
        <v>gsii/523176-assessment-and-plan-0-1.pdf</v>
      </c>
      <c r="E1866">
        <v>120842</v>
      </c>
      <c r="F1866">
        <v>523176</v>
      </c>
      <c r="G1866" t="s">
        <v>306</v>
      </c>
      <c r="H1866" t="s">
        <v>195</v>
      </c>
      <c r="I1866" t="s">
        <v>2820</v>
      </c>
    </row>
    <row r="1867" spans="1:9" x14ac:dyDescent="0.2">
      <c r="A1867" t="s">
        <v>3368</v>
      </c>
      <c r="D1867" t="str">
        <f>HYPERLINK("http://nlpdeep.cs.uic.edu:8080/proofing/t5/523176-assessment-and-plan-0-2.pdf","t5/523176-assessment-and-plan-0-2.pdf")</f>
        <v>t5/523176-assessment-and-plan-0-2.pdf</v>
      </c>
      <c r="E1867">
        <v>120842</v>
      </c>
      <c r="F1867">
        <v>523176</v>
      </c>
      <c r="G1867" t="s">
        <v>306</v>
      </c>
      <c r="H1867" t="s">
        <v>195</v>
      </c>
      <c r="I1867" t="s">
        <v>2966</v>
      </c>
    </row>
    <row r="1868" spans="1:9" x14ac:dyDescent="0.2">
      <c r="A1868" t="s">
        <v>3368</v>
      </c>
      <c r="D1868" t="str">
        <f>HYPERLINK("http://nlpdeep.cs.uic.edu:8080/proofing/gsii/523176-assessment-and-plan-0-2.pdf","gsii/523176-assessment-and-plan-0-2.pdf")</f>
        <v>gsii/523176-assessment-and-plan-0-2.pdf</v>
      </c>
      <c r="E1868">
        <v>120842</v>
      </c>
      <c r="F1868">
        <v>523176</v>
      </c>
      <c r="G1868" t="s">
        <v>306</v>
      </c>
      <c r="H1868" t="s">
        <v>195</v>
      </c>
      <c r="I1868" t="s">
        <v>2966</v>
      </c>
    </row>
    <row r="1869" spans="1:9" x14ac:dyDescent="0.2">
      <c r="A1869" t="s">
        <v>3369</v>
      </c>
      <c r="D1869" t="str">
        <f>HYPERLINK("http://nlpdeep.cs.uic.edu:8080/proofing/t5/523176-assessment-and-plan-0-3.pdf","t5/523176-assessment-and-plan-0-3.pdf")</f>
        <v>t5/523176-assessment-and-plan-0-3.pdf</v>
      </c>
      <c r="E1869">
        <v>120842</v>
      </c>
      <c r="F1869">
        <v>523176</v>
      </c>
      <c r="G1869" t="s">
        <v>306</v>
      </c>
      <c r="H1869" t="s">
        <v>195</v>
      </c>
      <c r="I1869" t="s">
        <v>2968</v>
      </c>
    </row>
    <row r="1870" spans="1:9" x14ac:dyDescent="0.2">
      <c r="A1870" t="s">
        <v>3369</v>
      </c>
      <c r="D1870" t="str">
        <f>HYPERLINK("http://nlpdeep.cs.uic.edu:8080/proofing/gsii/523176-assessment-and-plan-0-3.pdf","gsii/523176-assessment-and-plan-0-3.pdf")</f>
        <v>gsii/523176-assessment-and-plan-0-3.pdf</v>
      </c>
      <c r="E1870">
        <v>120842</v>
      </c>
      <c r="F1870">
        <v>523176</v>
      </c>
      <c r="G1870" t="s">
        <v>306</v>
      </c>
      <c r="H1870" t="s">
        <v>195</v>
      </c>
      <c r="I1870" t="s">
        <v>2968</v>
      </c>
    </row>
    <row r="1871" spans="1:9" x14ac:dyDescent="0.2">
      <c r="A1871" t="s">
        <v>3370</v>
      </c>
      <c r="D1871" t="str">
        <f>HYPERLINK("http://nlpdeep.cs.uic.edu:8080/proofing/t5/523176-assessment-and-plan-0-4.pdf","t5/523176-assessment-and-plan-0-4.pdf")</f>
        <v>t5/523176-assessment-and-plan-0-4.pdf</v>
      </c>
      <c r="E1871">
        <v>120842</v>
      </c>
      <c r="F1871">
        <v>523176</v>
      </c>
      <c r="G1871" t="s">
        <v>306</v>
      </c>
      <c r="H1871" t="s">
        <v>195</v>
      </c>
      <c r="I1871" t="s">
        <v>2824</v>
      </c>
    </row>
    <row r="1872" spans="1:9" x14ac:dyDescent="0.2">
      <c r="A1872" t="s">
        <v>3370</v>
      </c>
      <c r="D1872" t="str">
        <f>HYPERLINK("http://nlpdeep.cs.uic.edu:8080/proofing/gsii/523176-assessment-and-plan-0-4.pdf","gsii/523176-assessment-and-plan-0-4.pdf")</f>
        <v>gsii/523176-assessment-and-plan-0-4.pdf</v>
      </c>
      <c r="E1872">
        <v>120842</v>
      </c>
      <c r="F1872">
        <v>523176</v>
      </c>
      <c r="G1872" t="s">
        <v>306</v>
      </c>
      <c r="H1872" t="s">
        <v>195</v>
      </c>
      <c r="I1872" t="s">
        <v>2824</v>
      </c>
    </row>
    <row r="1873" spans="1:9" x14ac:dyDescent="0.2">
      <c r="A1873" t="s">
        <v>3371</v>
      </c>
      <c r="D1873" t="str">
        <f>HYPERLINK("http://nlpdeep.cs.uic.edu:8080/proofing/t5/522620-assessment-and-plan-0-0.pdf","t5/522620-assessment-and-plan-0-0.pdf")</f>
        <v>t5/522620-assessment-and-plan-0-0.pdf</v>
      </c>
      <c r="E1873">
        <v>120842</v>
      </c>
      <c r="F1873">
        <v>522620</v>
      </c>
      <c r="G1873" t="s">
        <v>9</v>
      </c>
      <c r="H1873" t="s">
        <v>195</v>
      </c>
      <c r="I1873" t="s">
        <v>3372</v>
      </c>
    </row>
    <row r="1874" spans="1:9" x14ac:dyDescent="0.2">
      <c r="A1874" t="s">
        <v>3371</v>
      </c>
      <c r="D1874" t="str">
        <f>HYPERLINK("http://nlpdeep.cs.uic.edu:8080/proofing/gsii/522620-assessment-and-plan-0-0.pdf","gsii/522620-assessment-and-plan-0-0.pdf")</f>
        <v>gsii/522620-assessment-and-plan-0-0.pdf</v>
      </c>
      <c r="E1874">
        <v>120842</v>
      </c>
      <c r="F1874">
        <v>522620</v>
      </c>
      <c r="G1874" t="s">
        <v>9</v>
      </c>
      <c r="H1874" t="s">
        <v>195</v>
      </c>
      <c r="I1874" t="s">
        <v>3372</v>
      </c>
    </row>
    <row r="1875" spans="1:9" x14ac:dyDescent="0.2">
      <c r="A1875" t="s">
        <v>3373</v>
      </c>
      <c r="D1875" t="str">
        <f>HYPERLINK("http://nlpdeep.cs.uic.edu:8080/proofing/t5/522620-assessment-and-plan-0-1.pdf","t5/522620-assessment-and-plan-0-1.pdf")</f>
        <v>t5/522620-assessment-and-plan-0-1.pdf</v>
      </c>
      <c r="E1875">
        <v>120842</v>
      </c>
      <c r="F1875">
        <v>522620</v>
      </c>
      <c r="G1875" t="s">
        <v>9</v>
      </c>
      <c r="H1875" t="s">
        <v>195</v>
      </c>
      <c r="I1875" t="s">
        <v>3374</v>
      </c>
    </row>
    <row r="1876" spans="1:9" x14ac:dyDescent="0.2">
      <c r="A1876" t="s">
        <v>3373</v>
      </c>
      <c r="D1876" t="str">
        <f>HYPERLINK("http://nlpdeep.cs.uic.edu:8080/proofing/gsii/522620-assessment-and-plan-0-1.pdf","gsii/522620-assessment-and-plan-0-1.pdf")</f>
        <v>gsii/522620-assessment-and-plan-0-1.pdf</v>
      </c>
      <c r="E1876">
        <v>120842</v>
      </c>
      <c r="F1876">
        <v>522620</v>
      </c>
      <c r="G1876" t="s">
        <v>9</v>
      </c>
      <c r="H1876" t="s">
        <v>195</v>
      </c>
      <c r="I1876" t="s">
        <v>3374</v>
      </c>
    </row>
    <row r="1877" spans="1:9" x14ac:dyDescent="0.2">
      <c r="A1877" t="s">
        <v>3375</v>
      </c>
      <c r="D1877" t="str">
        <f>HYPERLINK("http://nlpdeep.cs.uic.edu:8080/proofing/t5/522622-assessment-and-plan-0-0.pdf","t5/522622-assessment-and-plan-0-0.pdf")</f>
        <v>t5/522622-assessment-and-plan-0-0.pdf</v>
      </c>
      <c r="E1877">
        <v>120842</v>
      </c>
      <c r="F1877">
        <v>522622</v>
      </c>
      <c r="G1877" t="s">
        <v>9</v>
      </c>
      <c r="H1877" t="s">
        <v>195</v>
      </c>
      <c r="I1877" t="s">
        <v>3372</v>
      </c>
    </row>
    <row r="1878" spans="1:9" x14ac:dyDescent="0.2">
      <c r="A1878" t="s">
        <v>3375</v>
      </c>
      <c r="D1878" t="str">
        <f>HYPERLINK("http://nlpdeep.cs.uic.edu:8080/proofing/gsii/522622-assessment-and-plan-0-0.pdf","gsii/522622-assessment-and-plan-0-0.pdf")</f>
        <v>gsii/522622-assessment-and-plan-0-0.pdf</v>
      </c>
      <c r="E1878">
        <v>120842</v>
      </c>
      <c r="F1878">
        <v>522622</v>
      </c>
      <c r="G1878" t="s">
        <v>9</v>
      </c>
      <c r="H1878" t="s">
        <v>195</v>
      </c>
      <c r="I1878" t="s">
        <v>3372</v>
      </c>
    </row>
    <row r="1879" spans="1:9" x14ac:dyDescent="0.2">
      <c r="A1879" t="s">
        <v>3376</v>
      </c>
      <c r="D1879" t="str">
        <f>HYPERLINK("http://nlpdeep.cs.uic.edu:8080/proofing/t5/522622-assessment-and-plan-0-1.pdf","t5/522622-assessment-and-plan-0-1.pdf")</f>
        <v>t5/522622-assessment-and-plan-0-1.pdf</v>
      </c>
      <c r="E1879">
        <v>120842</v>
      </c>
      <c r="F1879">
        <v>522622</v>
      </c>
      <c r="G1879" t="s">
        <v>9</v>
      </c>
      <c r="H1879" t="s">
        <v>195</v>
      </c>
      <c r="I1879" t="s">
        <v>3377</v>
      </c>
    </row>
    <row r="1880" spans="1:9" x14ac:dyDescent="0.2">
      <c r="A1880" t="s">
        <v>3376</v>
      </c>
      <c r="D1880" t="str">
        <f>HYPERLINK("http://nlpdeep.cs.uic.edu:8080/proofing/gsii/522622-assessment-and-plan-0-1.pdf","gsii/522622-assessment-and-plan-0-1.pdf")</f>
        <v>gsii/522622-assessment-and-plan-0-1.pdf</v>
      </c>
      <c r="E1880">
        <v>120842</v>
      </c>
      <c r="F1880">
        <v>522622</v>
      </c>
      <c r="G1880" t="s">
        <v>9</v>
      </c>
      <c r="H1880" t="s">
        <v>195</v>
      </c>
      <c r="I1880" t="s">
        <v>3377</v>
      </c>
    </row>
    <row r="1881" spans="1:9" x14ac:dyDescent="0.2">
      <c r="A1881" t="s">
        <v>3378</v>
      </c>
      <c r="D1881" t="str">
        <f>HYPERLINK("http://nlpdeep.cs.uic.edu:8080/proofing/t5/523148-history-of-present-illness-0-0.pdf","t5/523148-history-of-present-illness-0-0.pdf")</f>
        <v>t5/523148-history-of-present-illness-0-0.pdf</v>
      </c>
      <c r="E1881">
        <v>120842</v>
      </c>
      <c r="F1881">
        <v>523148</v>
      </c>
      <c r="G1881" t="s">
        <v>306</v>
      </c>
      <c r="H1881" t="s">
        <v>13</v>
      </c>
      <c r="I1881" t="s">
        <v>2748</v>
      </c>
    </row>
    <row r="1882" spans="1:9" x14ac:dyDescent="0.2">
      <c r="A1882" t="s">
        <v>3378</v>
      </c>
      <c r="D1882" t="str">
        <f>HYPERLINK("http://nlpdeep.cs.uic.edu:8080/proofing/gsii/523148-history-of-present-illness-0-0.pdf","gsii/523148-history-of-present-illness-0-0.pdf")</f>
        <v>gsii/523148-history-of-present-illness-0-0.pdf</v>
      </c>
      <c r="E1882">
        <v>120842</v>
      </c>
      <c r="F1882">
        <v>523148</v>
      </c>
      <c r="G1882" t="s">
        <v>306</v>
      </c>
      <c r="H1882" t="s">
        <v>13</v>
      </c>
      <c r="I1882" t="s">
        <v>2748</v>
      </c>
    </row>
    <row r="1883" spans="1:9" x14ac:dyDescent="0.2">
      <c r="A1883" t="s">
        <v>3379</v>
      </c>
      <c r="D1883" t="str">
        <f>HYPERLINK("http://nlpdeep.cs.uic.edu:8080/proofing/t5/523148-history-of-present-illness-0-1.pdf","t5/523148-history-of-present-illness-0-1.pdf")</f>
        <v>t5/523148-history-of-present-illness-0-1.pdf</v>
      </c>
      <c r="E1883">
        <v>120842</v>
      </c>
      <c r="F1883">
        <v>523148</v>
      </c>
      <c r="G1883" t="s">
        <v>306</v>
      </c>
      <c r="H1883" t="s">
        <v>13</v>
      </c>
      <c r="I1883" t="s">
        <v>2750</v>
      </c>
    </row>
    <row r="1884" spans="1:9" x14ac:dyDescent="0.2">
      <c r="A1884" t="s">
        <v>3379</v>
      </c>
      <c r="D1884" t="str">
        <f>HYPERLINK("http://nlpdeep.cs.uic.edu:8080/proofing/gsii/523148-history-of-present-illness-0-1.pdf","gsii/523148-history-of-present-illness-0-1.pdf")</f>
        <v>gsii/523148-history-of-present-illness-0-1.pdf</v>
      </c>
      <c r="E1884">
        <v>120842</v>
      </c>
      <c r="F1884">
        <v>523148</v>
      </c>
      <c r="G1884" t="s">
        <v>306</v>
      </c>
      <c r="H1884" t="s">
        <v>13</v>
      </c>
      <c r="I1884" t="s">
        <v>2750</v>
      </c>
    </row>
    <row r="1885" spans="1:9" x14ac:dyDescent="0.2">
      <c r="A1885" t="s">
        <v>3380</v>
      </c>
      <c r="D1885" t="str">
        <f>HYPERLINK("http://nlpdeep.cs.uic.edu:8080/proofing/t5/523148-history-of-present-illness-0-2.pdf","t5/523148-history-of-present-illness-0-2.pdf")</f>
        <v>t5/523148-history-of-present-illness-0-2.pdf</v>
      </c>
      <c r="E1885">
        <v>120842</v>
      </c>
      <c r="F1885">
        <v>523148</v>
      </c>
      <c r="G1885" t="s">
        <v>306</v>
      </c>
      <c r="H1885" t="s">
        <v>13</v>
      </c>
      <c r="I1885" t="s">
        <v>2752</v>
      </c>
    </row>
    <row r="1886" spans="1:9" x14ac:dyDescent="0.2">
      <c r="A1886" t="s">
        <v>3380</v>
      </c>
      <c r="D1886" t="str">
        <f>HYPERLINK("http://nlpdeep.cs.uic.edu:8080/proofing/gsii/523148-history-of-present-illness-0-2.pdf","gsii/523148-history-of-present-illness-0-2.pdf")</f>
        <v>gsii/523148-history-of-present-illness-0-2.pdf</v>
      </c>
      <c r="E1886">
        <v>120842</v>
      </c>
      <c r="F1886">
        <v>523148</v>
      </c>
      <c r="G1886" t="s">
        <v>306</v>
      </c>
      <c r="H1886" t="s">
        <v>13</v>
      </c>
      <c r="I1886" t="s">
        <v>2752</v>
      </c>
    </row>
    <row r="1887" spans="1:9" x14ac:dyDescent="0.2">
      <c r="A1887" t="s">
        <v>3381</v>
      </c>
      <c r="D1887" t="str">
        <f>HYPERLINK("http://nlpdeep.cs.uic.edu:8080/proofing/t5/523148-history-of-present-illness-0-3.pdf","t5/523148-history-of-present-illness-0-3.pdf")</f>
        <v>t5/523148-history-of-present-illness-0-3.pdf</v>
      </c>
      <c r="E1887">
        <v>120842</v>
      </c>
      <c r="F1887">
        <v>523148</v>
      </c>
      <c r="G1887" t="s">
        <v>306</v>
      </c>
      <c r="H1887" t="s">
        <v>13</v>
      </c>
      <c r="I1887" t="s">
        <v>2754</v>
      </c>
    </row>
    <row r="1888" spans="1:9" x14ac:dyDescent="0.2">
      <c r="A1888" t="s">
        <v>3381</v>
      </c>
      <c r="D1888" t="str">
        <f>HYPERLINK("http://nlpdeep.cs.uic.edu:8080/proofing/gsii/523148-history-of-present-illness-0-3.pdf","gsii/523148-history-of-present-illness-0-3.pdf")</f>
        <v>gsii/523148-history-of-present-illness-0-3.pdf</v>
      </c>
      <c r="E1888">
        <v>120842</v>
      </c>
      <c r="F1888">
        <v>523148</v>
      </c>
      <c r="G1888" t="s">
        <v>306</v>
      </c>
      <c r="H1888" t="s">
        <v>13</v>
      </c>
      <c r="I1888" t="s">
        <v>2754</v>
      </c>
    </row>
    <row r="1889" spans="1:9" x14ac:dyDescent="0.2">
      <c r="A1889" t="s">
        <v>3382</v>
      </c>
      <c r="D1889" t="str">
        <f>HYPERLINK("http://nlpdeep.cs.uic.edu:8080/proofing/t5/523148-history-of-present-illness-0-4.pdf","t5/523148-history-of-present-illness-0-4.pdf")</f>
        <v>t5/523148-history-of-present-illness-0-4.pdf</v>
      </c>
      <c r="E1889">
        <v>120842</v>
      </c>
      <c r="F1889">
        <v>523148</v>
      </c>
      <c r="G1889" t="s">
        <v>306</v>
      </c>
      <c r="H1889" t="s">
        <v>13</v>
      </c>
      <c r="I1889" t="s">
        <v>2756</v>
      </c>
    </row>
    <row r="1890" spans="1:9" x14ac:dyDescent="0.2">
      <c r="A1890" t="s">
        <v>3382</v>
      </c>
      <c r="D1890" t="str">
        <f>HYPERLINK("http://nlpdeep.cs.uic.edu:8080/proofing/gsii/523148-history-of-present-illness-0-4.pdf","gsii/523148-history-of-present-illness-0-4.pdf")</f>
        <v>gsii/523148-history-of-present-illness-0-4.pdf</v>
      </c>
      <c r="E1890">
        <v>120842</v>
      </c>
      <c r="F1890">
        <v>523148</v>
      </c>
      <c r="G1890" t="s">
        <v>306</v>
      </c>
      <c r="H1890" t="s">
        <v>13</v>
      </c>
      <c r="I1890" t="s">
        <v>2756</v>
      </c>
    </row>
    <row r="1891" spans="1:9" x14ac:dyDescent="0.2">
      <c r="A1891" t="s">
        <v>3383</v>
      </c>
      <c r="D1891" t="str">
        <f>HYPERLINK("http://nlpdeep.cs.uic.edu:8080/proofing/t5/523148-history-of-present-illness-0-5.pdf","t5/523148-history-of-present-illness-0-5.pdf")</f>
        <v>t5/523148-history-of-present-illness-0-5.pdf</v>
      </c>
      <c r="E1891">
        <v>120842</v>
      </c>
      <c r="F1891">
        <v>523148</v>
      </c>
      <c r="G1891" t="s">
        <v>306</v>
      </c>
      <c r="H1891" t="s">
        <v>13</v>
      </c>
      <c r="I1891" t="s">
        <v>2758</v>
      </c>
    </row>
    <row r="1892" spans="1:9" x14ac:dyDescent="0.2">
      <c r="A1892" t="s">
        <v>3383</v>
      </c>
      <c r="D1892" t="str">
        <f>HYPERLINK("http://nlpdeep.cs.uic.edu:8080/proofing/gsii/523148-history-of-present-illness-0-5.pdf","gsii/523148-history-of-present-illness-0-5.pdf")</f>
        <v>gsii/523148-history-of-present-illness-0-5.pdf</v>
      </c>
      <c r="E1892">
        <v>120842</v>
      </c>
      <c r="F1892">
        <v>523148</v>
      </c>
      <c r="G1892" t="s">
        <v>306</v>
      </c>
      <c r="H1892" t="s">
        <v>13</v>
      </c>
      <c r="I1892" t="s">
        <v>2758</v>
      </c>
    </row>
    <row r="1893" spans="1:9" x14ac:dyDescent="0.2">
      <c r="A1893" t="s">
        <v>3384</v>
      </c>
      <c r="D1893" t="str">
        <f>HYPERLINK("http://nlpdeep.cs.uic.edu:8080/proofing/t5/523148-history-of-present-illness-1-0.pdf","t5/523148-history-of-present-illness-1-0.pdf")</f>
        <v>t5/523148-history-of-present-illness-1-0.pdf</v>
      </c>
      <c r="E1893">
        <v>120842</v>
      </c>
      <c r="F1893">
        <v>523148</v>
      </c>
      <c r="G1893" t="s">
        <v>306</v>
      </c>
      <c r="H1893" t="s">
        <v>13</v>
      </c>
      <c r="I1893" t="s">
        <v>2760</v>
      </c>
    </row>
    <row r="1894" spans="1:9" x14ac:dyDescent="0.2">
      <c r="A1894" t="s">
        <v>3384</v>
      </c>
      <c r="D1894" t="str">
        <f>HYPERLINK("http://nlpdeep.cs.uic.edu:8080/proofing/gsii/523148-history-of-present-illness-1-0.pdf","gsii/523148-history-of-present-illness-1-0.pdf")</f>
        <v>gsii/523148-history-of-present-illness-1-0.pdf</v>
      </c>
      <c r="E1894">
        <v>120842</v>
      </c>
      <c r="F1894">
        <v>523148</v>
      </c>
      <c r="G1894" t="s">
        <v>306</v>
      </c>
      <c r="H1894" t="s">
        <v>13</v>
      </c>
      <c r="I1894" t="s">
        <v>2760</v>
      </c>
    </row>
    <row r="1895" spans="1:9" x14ac:dyDescent="0.2">
      <c r="A1895" t="s">
        <v>3385</v>
      </c>
      <c r="D1895" t="str">
        <f>HYPERLINK("http://nlpdeep.cs.uic.edu:8080/proofing/t5/523148-history-of-present-illness-1-1.pdf","t5/523148-history-of-present-illness-1-1.pdf")</f>
        <v>t5/523148-history-of-present-illness-1-1.pdf</v>
      </c>
      <c r="E1895">
        <v>120842</v>
      </c>
      <c r="F1895">
        <v>523148</v>
      </c>
      <c r="G1895" t="s">
        <v>306</v>
      </c>
      <c r="H1895" t="s">
        <v>13</v>
      </c>
      <c r="I1895" t="s">
        <v>2762</v>
      </c>
    </row>
    <row r="1896" spans="1:9" x14ac:dyDescent="0.2">
      <c r="A1896" t="s">
        <v>3385</v>
      </c>
      <c r="D1896" t="str">
        <f>HYPERLINK("http://nlpdeep.cs.uic.edu:8080/proofing/gsii/523148-history-of-present-illness-1-1.pdf","gsii/523148-history-of-present-illness-1-1.pdf")</f>
        <v>gsii/523148-history-of-present-illness-1-1.pdf</v>
      </c>
      <c r="E1896">
        <v>120842</v>
      </c>
      <c r="F1896">
        <v>523148</v>
      </c>
      <c r="G1896" t="s">
        <v>306</v>
      </c>
      <c r="H1896" t="s">
        <v>13</v>
      </c>
      <c r="I1896" t="s">
        <v>2762</v>
      </c>
    </row>
    <row r="1897" spans="1:9" x14ac:dyDescent="0.2">
      <c r="A1897" t="s">
        <v>3386</v>
      </c>
      <c r="D1897" t="str">
        <f>HYPERLINK("http://nlpdeep.cs.uic.edu:8080/proofing/t5/523148-history-of-present-illness-1-2.pdf","t5/523148-history-of-present-illness-1-2.pdf")</f>
        <v>t5/523148-history-of-present-illness-1-2.pdf</v>
      </c>
      <c r="E1897">
        <v>120842</v>
      </c>
      <c r="F1897">
        <v>523148</v>
      </c>
      <c r="G1897" t="s">
        <v>306</v>
      </c>
      <c r="H1897" t="s">
        <v>13</v>
      </c>
      <c r="I1897" t="s">
        <v>2764</v>
      </c>
    </row>
    <row r="1898" spans="1:9" x14ac:dyDescent="0.2">
      <c r="A1898" t="s">
        <v>3386</v>
      </c>
      <c r="D1898" t="str">
        <f>HYPERLINK("http://nlpdeep.cs.uic.edu:8080/proofing/gsii/523148-history-of-present-illness-1-2.pdf","gsii/523148-history-of-present-illness-1-2.pdf")</f>
        <v>gsii/523148-history-of-present-illness-1-2.pdf</v>
      </c>
      <c r="E1898">
        <v>120842</v>
      </c>
      <c r="F1898">
        <v>523148</v>
      </c>
      <c r="G1898" t="s">
        <v>306</v>
      </c>
      <c r="H1898" t="s">
        <v>13</v>
      </c>
      <c r="I1898" t="s">
        <v>2764</v>
      </c>
    </row>
    <row r="1899" spans="1:9" x14ac:dyDescent="0.2">
      <c r="A1899" t="s">
        <v>3387</v>
      </c>
      <c r="D1899" t="str">
        <f>HYPERLINK("http://nlpdeep.cs.uic.edu:8080/proofing/t5/523148-allergies-0-0.pdf","t5/523148-allergies-0-0.pdf")</f>
        <v>t5/523148-allergies-0-0.pdf</v>
      </c>
      <c r="E1899">
        <v>120842</v>
      </c>
      <c r="F1899">
        <v>523148</v>
      </c>
      <c r="G1899" t="s">
        <v>306</v>
      </c>
      <c r="H1899" t="s">
        <v>64</v>
      </c>
      <c r="I1899" t="s">
        <v>2766</v>
      </c>
    </row>
    <row r="1900" spans="1:9" x14ac:dyDescent="0.2">
      <c r="A1900" t="s">
        <v>3387</v>
      </c>
      <c r="D1900" t="str">
        <f>HYPERLINK("http://nlpdeep.cs.uic.edu:8080/proofing/gsii/523148-allergies-0-0.pdf","gsii/523148-allergies-0-0.pdf")</f>
        <v>gsii/523148-allergies-0-0.pdf</v>
      </c>
      <c r="E1900">
        <v>120842</v>
      </c>
      <c r="F1900">
        <v>523148</v>
      </c>
      <c r="G1900" t="s">
        <v>306</v>
      </c>
      <c r="H1900" t="s">
        <v>64</v>
      </c>
      <c r="I1900" t="s">
        <v>2766</v>
      </c>
    </row>
    <row r="1901" spans="1:9" x14ac:dyDescent="0.2">
      <c r="A1901" t="s">
        <v>3388</v>
      </c>
      <c r="D1901" t="str">
        <f>HYPERLINK("http://nlpdeep.cs.uic.edu:8080/proofing/t5/523148-medication-history-0-0.pdf","t5/523148-medication-history-0-0.pdf")</f>
        <v>t5/523148-medication-history-0-0.pdf</v>
      </c>
      <c r="E1901">
        <v>120842</v>
      </c>
      <c r="F1901">
        <v>523148</v>
      </c>
      <c r="G1901" t="s">
        <v>306</v>
      </c>
      <c r="H1901" t="s">
        <v>336</v>
      </c>
      <c r="I1901" t="s">
        <v>2768</v>
      </c>
    </row>
    <row r="1902" spans="1:9" x14ac:dyDescent="0.2">
      <c r="A1902" t="s">
        <v>3388</v>
      </c>
      <c r="D1902" t="str">
        <f>HYPERLINK("http://nlpdeep.cs.uic.edu:8080/proofing/gsii/523148-medication-history-0-0.pdf","gsii/523148-medication-history-0-0.pdf")</f>
        <v>gsii/523148-medication-history-0-0.pdf</v>
      </c>
      <c r="E1902">
        <v>120842</v>
      </c>
      <c r="F1902">
        <v>523148</v>
      </c>
      <c r="G1902" t="s">
        <v>306</v>
      </c>
      <c r="H1902" t="s">
        <v>336</v>
      </c>
      <c r="I1902" t="s">
        <v>2768</v>
      </c>
    </row>
    <row r="1903" spans="1:9" x14ac:dyDescent="0.2">
      <c r="A1903" t="s">
        <v>3389</v>
      </c>
      <c r="D1903" t="str">
        <f>HYPERLINK("http://nlpdeep.cs.uic.edu:8080/proofing/t5/523148-medication-history-0-1.pdf","t5/523148-medication-history-0-1.pdf")</f>
        <v>t5/523148-medication-history-0-1.pdf</v>
      </c>
      <c r="E1903">
        <v>120842</v>
      </c>
      <c r="F1903">
        <v>523148</v>
      </c>
      <c r="G1903" t="s">
        <v>306</v>
      </c>
      <c r="H1903" t="s">
        <v>336</v>
      </c>
      <c r="I1903" t="s">
        <v>2770</v>
      </c>
    </row>
    <row r="1904" spans="1:9" x14ac:dyDescent="0.2">
      <c r="A1904" t="s">
        <v>3389</v>
      </c>
      <c r="D1904" t="str">
        <f>HYPERLINK("http://nlpdeep.cs.uic.edu:8080/proofing/gsii/523148-medication-history-0-1.pdf","gsii/523148-medication-history-0-1.pdf")</f>
        <v>gsii/523148-medication-history-0-1.pdf</v>
      </c>
      <c r="E1904">
        <v>120842</v>
      </c>
      <c r="F1904">
        <v>523148</v>
      </c>
      <c r="G1904" t="s">
        <v>306</v>
      </c>
      <c r="H1904" t="s">
        <v>336</v>
      </c>
      <c r="I1904" t="s">
        <v>2770</v>
      </c>
    </row>
    <row r="1905" spans="1:9" x14ac:dyDescent="0.2">
      <c r="A1905" t="s">
        <v>3390</v>
      </c>
      <c r="D1905" t="str">
        <f>HYPERLINK("http://nlpdeep.cs.uic.edu:8080/proofing/t5/523148-medication-history-0-2.pdf","t5/523148-medication-history-0-2.pdf")</f>
        <v>t5/523148-medication-history-0-2.pdf</v>
      </c>
      <c r="E1905">
        <v>120842</v>
      </c>
      <c r="F1905">
        <v>523148</v>
      </c>
      <c r="G1905" t="s">
        <v>306</v>
      </c>
      <c r="H1905" t="s">
        <v>336</v>
      </c>
      <c r="I1905" t="s">
        <v>2772</v>
      </c>
    </row>
    <row r="1906" spans="1:9" x14ac:dyDescent="0.2">
      <c r="A1906" t="s">
        <v>3390</v>
      </c>
      <c r="D1906" t="str">
        <f>HYPERLINK("http://nlpdeep.cs.uic.edu:8080/proofing/gsii/523148-medication-history-0-2.pdf","gsii/523148-medication-history-0-2.pdf")</f>
        <v>gsii/523148-medication-history-0-2.pdf</v>
      </c>
      <c r="E1906">
        <v>120842</v>
      </c>
      <c r="F1906">
        <v>523148</v>
      </c>
      <c r="G1906" t="s">
        <v>306</v>
      </c>
      <c r="H1906" t="s">
        <v>336</v>
      </c>
      <c r="I1906" t="s">
        <v>2772</v>
      </c>
    </row>
    <row r="1907" spans="1:9" x14ac:dyDescent="0.2">
      <c r="A1907" t="s">
        <v>3391</v>
      </c>
      <c r="D1907" t="str">
        <f>HYPERLINK("http://nlpdeep.cs.uic.edu:8080/proofing/t5/523148-medication-history-0-3.pdf","t5/523148-medication-history-0-3.pdf")</f>
        <v>t5/523148-medication-history-0-3.pdf</v>
      </c>
      <c r="E1907">
        <v>120842</v>
      </c>
      <c r="F1907">
        <v>523148</v>
      </c>
      <c r="G1907" t="s">
        <v>306</v>
      </c>
      <c r="H1907" t="s">
        <v>336</v>
      </c>
      <c r="I1907" t="s">
        <v>2774</v>
      </c>
    </row>
    <row r="1908" spans="1:9" x14ac:dyDescent="0.2">
      <c r="A1908" t="s">
        <v>3391</v>
      </c>
      <c r="D1908" t="str">
        <f>HYPERLINK("http://nlpdeep.cs.uic.edu:8080/proofing/gsii/523148-medication-history-0-3.pdf","gsii/523148-medication-history-0-3.pdf")</f>
        <v>gsii/523148-medication-history-0-3.pdf</v>
      </c>
      <c r="E1908">
        <v>120842</v>
      </c>
      <c r="F1908">
        <v>523148</v>
      </c>
      <c r="G1908" t="s">
        <v>306</v>
      </c>
      <c r="H1908" t="s">
        <v>336</v>
      </c>
      <c r="I1908" t="s">
        <v>2774</v>
      </c>
    </row>
    <row r="1909" spans="1:9" x14ac:dyDescent="0.2">
      <c r="A1909" t="s">
        <v>3392</v>
      </c>
      <c r="D1909" t="str">
        <f>HYPERLINK("http://nlpdeep.cs.uic.edu:8080/proofing/t5/523148-medication-history-0-4.pdf","t5/523148-medication-history-0-4.pdf")</f>
        <v>t5/523148-medication-history-0-4.pdf</v>
      </c>
      <c r="E1909">
        <v>120842</v>
      </c>
      <c r="F1909">
        <v>523148</v>
      </c>
      <c r="G1909" t="s">
        <v>306</v>
      </c>
      <c r="H1909" t="s">
        <v>336</v>
      </c>
      <c r="I1909" t="s">
        <v>2776</v>
      </c>
    </row>
    <row r="1910" spans="1:9" x14ac:dyDescent="0.2">
      <c r="A1910" t="s">
        <v>3392</v>
      </c>
      <c r="D1910" t="str">
        <f>HYPERLINK("http://nlpdeep.cs.uic.edu:8080/proofing/gsii/523148-medication-history-0-4.pdf","gsii/523148-medication-history-0-4.pdf")</f>
        <v>gsii/523148-medication-history-0-4.pdf</v>
      </c>
      <c r="E1910">
        <v>120842</v>
      </c>
      <c r="F1910">
        <v>523148</v>
      </c>
      <c r="G1910" t="s">
        <v>306</v>
      </c>
      <c r="H1910" t="s">
        <v>336</v>
      </c>
      <c r="I1910" t="s">
        <v>2776</v>
      </c>
    </row>
    <row r="1911" spans="1:9" x14ac:dyDescent="0.2">
      <c r="A1911" t="s">
        <v>3393</v>
      </c>
      <c r="D1911" t="str">
        <f>HYPERLINK("http://nlpdeep.cs.uic.edu:8080/proofing/t5/523148-medication-history-0-5.pdf","t5/523148-medication-history-0-5.pdf")</f>
        <v>t5/523148-medication-history-0-5.pdf</v>
      </c>
      <c r="E1911">
        <v>120842</v>
      </c>
      <c r="F1911">
        <v>523148</v>
      </c>
      <c r="G1911" t="s">
        <v>306</v>
      </c>
      <c r="H1911" t="s">
        <v>336</v>
      </c>
      <c r="I1911" t="s">
        <v>2778</v>
      </c>
    </row>
    <row r="1912" spans="1:9" x14ac:dyDescent="0.2">
      <c r="A1912" t="s">
        <v>3393</v>
      </c>
      <c r="D1912" t="str">
        <f>HYPERLINK("http://nlpdeep.cs.uic.edu:8080/proofing/gsii/523148-medication-history-0-5.pdf","gsii/523148-medication-history-0-5.pdf")</f>
        <v>gsii/523148-medication-history-0-5.pdf</v>
      </c>
      <c r="E1912">
        <v>120842</v>
      </c>
      <c r="F1912">
        <v>523148</v>
      </c>
      <c r="G1912" t="s">
        <v>306</v>
      </c>
      <c r="H1912" t="s">
        <v>336</v>
      </c>
      <c r="I1912" t="s">
        <v>2778</v>
      </c>
    </row>
    <row r="1913" spans="1:9" x14ac:dyDescent="0.2">
      <c r="A1913" t="s">
        <v>3394</v>
      </c>
      <c r="D1913" t="str">
        <f>HYPERLINK("http://nlpdeep.cs.uic.edu:8080/proofing/t5/523148-medication-history-0-6.pdf","t5/523148-medication-history-0-6.pdf")</f>
        <v>t5/523148-medication-history-0-6.pdf</v>
      </c>
      <c r="E1913">
        <v>120842</v>
      </c>
      <c r="F1913">
        <v>523148</v>
      </c>
      <c r="G1913" t="s">
        <v>306</v>
      </c>
      <c r="H1913" t="s">
        <v>336</v>
      </c>
      <c r="I1913" t="s">
        <v>2780</v>
      </c>
    </row>
    <row r="1914" spans="1:9" x14ac:dyDescent="0.2">
      <c r="A1914" t="s">
        <v>3394</v>
      </c>
      <c r="D1914" t="str">
        <f>HYPERLINK("http://nlpdeep.cs.uic.edu:8080/proofing/gsii/523148-medication-history-0-6.pdf","gsii/523148-medication-history-0-6.pdf")</f>
        <v>gsii/523148-medication-history-0-6.pdf</v>
      </c>
      <c r="E1914">
        <v>120842</v>
      </c>
      <c r="F1914">
        <v>523148</v>
      </c>
      <c r="G1914" t="s">
        <v>306</v>
      </c>
      <c r="H1914" t="s">
        <v>336</v>
      </c>
      <c r="I1914" t="s">
        <v>2780</v>
      </c>
    </row>
    <row r="1915" spans="1:9" x14ac:dyDescent="0.2">
      <c r="A1915" t="s">
        <v>3395</v>
      </c>
      <c r="D1915" t="str">
        <f>HYPERLINK("http://nlpdeep.cs.uic.edu:8080/proofing/t5/523148-medication-history-0-7.pdf","t5/523148-medication-history-0-7.pdf")</f>
        <v>t5/523148-medication-history-0-7.pdf</v>
      </c>
      <c r="E1915">
        <v>120842</v>
      </c>
      <c r="F1915">
        <v>523148</v>
      </c>
      <c r="G1915" t="s">
        <v>306</v>
      </c>
      <c r="H1915" t="s">
        <v>336</v>
      </c>
      <c r="I1915" t="s">
        <v>2782</v>
      </c>
    </row>
    <row r="1916" spans="1:9" x14ac:dyDescent="0.2">
      <c r="A1916" t="s">
        <v>3395</v>
      </c>
      <c r="D1916" t="str">
        <f>HYPERLINK("http://nlpdeep.cs.uic.edu:8080/proofing/gsii/523148-medication-history-0-7.pdf","gsii/523148-medication-history-0-7.pdf")</f>
        <v>gsii/523148-medication-history-0-7.pdf</v>
      </c>
      <c r="E1916">
        <v>120842</v>
      </c>
      <c r="F1916">
        <v>523148</v>
      </c>
      <c r="G1916" t="s">
        <v>306</v>
      </c>
      <c r="H1916" t="s">
        <v>336</v>
      </c>
      <c r="I1916" t="s">
        <v>2782</v>
      </c>
    </row>
    <row r="1917" spans="1:9" x14ac:dyDescent="0.2">
      <c r="A1917" t="s">
        <v>3396</v>
      </c>
      <c r="D1917" t="str">
        <f>HYPERLINK("http://nlpdeep.cs.uic.edu:8080/proofing/t5/523148-medication-history-0-8.pdf","t5/523148-medication-history-0-8.pdf")</f>
        <v>t5/523148-medication-history-0-8.pdf</v>
      </c>
      <c r="E1917">
        <v>120842</v>
      </c>
      <c r="F1917">
        <v>523148</v>
      </c>
      <c r="G1917" t="s">
        <v>306</v>
      </c>
      <c r="H1917" t="s">
        <v>336</v>
      </c>
      <c r="I1917" t="s">
        <v>2764</v>
      </c>
    </row>
    <row r="1918" spans="1:9" x14ac:dyDescent="0.2">
      <c r="A1918" t="s">
        <v>3396</v>
      </c>
      <c r="D1918" t="str">
        <f>HYPERLINK("http://nlpdeep.cs.uic.edu:8080/proofing/gsii/523148-medication-history-0-8.pdf","gsii/523148-medication-history-0-8.pdf")</f>
        <v>gsii/523148-medication-history-0-8.pdf</v>
      </c>
      <c r="E1918">
        <v>120842</v>
      </c>
      <c r="F1918">
        <v>523148</v>
      </c>
      <c r="G1918" t="s">
        <v>306</v>
      </c>
      <c r="H1918" t="s">
        <v>336</v>
      </c>
      <c r="I1918" t="s">
        <v>2764</v>
      </c>
    </row>
    <row r="1919" spans="1:9" x14ac:dyDescent="0.2">
      <c r="A1919" t="s">
        <v>3397</v>
      </c>
      <c r="D1919" t="str">
        <f>HYPERLINK("http://nlpdeep.cs.uic.edu:8080/proofing/t5/523148-current-medications-0-0.pdf","t5/523148-current-medications-0-0.pdf")</f>
        <v>t5/523148-current-medications-0-0.pdf</v>
      </c>
      <c r="E1919">
        <v>120842</v>
      </c>
      <c r="F1919">
        <v>523148</v>
      </c>
      <c r="G1919" t="s">
        <v>306</v>
      </c>
      <c r="H1919" t="s">
        <v>365</v>
      </c>
      <c r="I1919" t="s">
        <v>2785</v>
      </c>
    </row>
    <row r="1920" spans="1:9" x14ac:dyDescent="0.2">
      <c r="A1920" t="s">
        <v>3397</v>
      </c>
      <c r="D1920" t="str">
        <f>HYPERLINK("http://nlpdeep.cs.uic.edu:8080/proofing/gsii/523148-current-medications-0-0.pdf","gsii/523148-current-medications-0-0.pdf")</f>
        <v>gsii/523148-current-medications-0-0.pdf</v>
      </c>
      <c r="E1920">
        <v>120842</v>
      </c>
      <c r="F1920">
        <v>523148</v>
      </c>
      <c r="G1920" t="s">
        <v>306</v>
      </c>
      <c r="H1920" t="s">
        <v>365</v>
      </c>
      <c r="I1920" t="s">
        <v>2785</v>
      </c>
    </row>
    <row r="1921" spans="1:9" x14ac:dyDescent="0.2">
      <c r="A1921" t="s">
        <v>3398</v>
      </c>
      <c r="D1921" t="str">
        <f>HYPERLINK("http://nlpdeep.cs.uic.edu:8080/proofing/t5/523148-past-medical-history-0-0.pdf","t5/523148-past-medical-history-0-0.pdf")</f>
        <v>t5/523148-past-medical-history-0-0.pdf</v>
      </c>
      <c r="E1921">
        <v>120842</v>
      </c>
      <c r="F1921">
        <v>523148</v>
      </c>
      <c r="G1921" t="s">
        <v>306</v>
      </c>
      <c r="H1921" t="s">
        <v>76</v>
      </c>
      <c r="I1921" t="s">
        <v>2787</v>
      </c>
    </row>
    <row r="1922" spans="1:9" x14ac:dyDescent="0.2">
      <c r="A1922" t="s">
        <v>3398</v>
      </c>
      <c r="D1922" t="str">
        <f>HYPERLINK("http://nlpdeep.cs.uic.edu:8080/proofing/gsii/523148-past-medical-history-0-0.pdf","gsii/523148-past-medical-history-0-0.pdf")</f>
        <v>gsii/523148-past-medical-history-0-0.pdf</v>
      </c>
      <c r="E1922">
        <v>120842</v>
      </c>
      <c r="F1922">
        <v>523148</v>
      </c>
      <c r="G1922" t="s">
        <v>306</v>
      </c>
      <c r="H1922" t="s">
        <v>76</v>
      </c>
      <c r="I1922" t="s">
        <v>2787</v>
      </c>
    </row>
    <row r="1923" spans="1:9" x14ac:dyDescent="0.2">
      <c r="A1923" t="s">
        <v>3399</v>
      </c>
      <c r="D1923" t="str">
        <f>HYPERLINK("http://nlpdeep.cs.uic.edu:8080/proofing/t5/523148-past-medical-history-0-1.pdf","t5/523148-past-medical-history-0-1.pdf")</f>
        <v>t5/523148-past-medical-history-0-1.pdf</v>
      </c>
      <c r="E1923">
        <v>120842</v>
      </c>
      <c r="F1923">
        <v>523148</v>
      </c>
      <c r="G1923" t="s">
        <v>306</v>
      </c>
      <c r="H1923" t="s">
        <v>76</v>
      </c>
      <c r="I1923" t="s">
        <v>2789</v>
      </c>
    </row>
    <row r="1924" spans="1:9" x14ac:dyDescent="0.2">
      <c r="A1924" t="s">
        <v>3399</v>
      </c>
      <c r="D1924" t="str">
        <f>HYPERLINK("http://nlpdeep.cs.uic.edu:8080/proofing/gsii/523148-past-medical-history-0-1.pdf","gsii/523148-past-medical-history-0-1.pdf")</f>
        <v>gsii/523148-past-medical-history-0-1.pdf</v>
      </c>
      <c r="E1924">
        <v>120842</v>
      </c>
      <c r="F1924">
        <v>523148</v>
      </c>
      <c r="G1924" t="s">
        <v>306</v>
      </c>
      <c r="H1924" t="s">
        <v>76</v>
      </c>
      <c r="I1924" t="s">
        <v>2789</v>
      </c>
    </row>
    <row r="1925" spans="1:9" x14ac:dyDescent="0.2">
      <c r="A1925" t="s">
        <v>3400</v>
      </c>
      <c r="D1925" t="str">
        <f>HYPERLINK("http://nlpdeep.cs.uic.edu:8080/proofing/t5/523148-past-medical-history-0-2.pdf","t5/523148-past-medical-history-0-2.pdf")</f>
        <v>t5/523148-past-medical-history-0-2.pdf</v>
      </c>
      <c r="E1925">
        <v>120842</v>
      </c>
      <c r="F1925">
        <v>523148</v>
      </c>
      <c r="G1925" t="s">
        <v>306</v>
      </c>
      <c r="H1925" t="s">
        <v>76</v>
      </c>
      <c r="I1925" t="s">
        <v>2791</v>
      </c>
    </row>
    <row r="1926" spans="1:9" x14ac:dyDescent="0.2">
      <c r="A1926" t="s">
        <v>3400</v>
      </c>
      <c r="D1926" t="str">
        <f>HYPERLINK("http://nlpdeep.cs.uic.edu:8080/proofing/gsii/523148-past-medical-history-0-2.pdf","gsii/523148-past-medical-history-0-2.pdf")</f>
        <v>gsii/523148-past-medical-history-0-2.pdf</v>
      </c>
      <c r="E1926">
        <v>120842</v>
      </c>
      <c r="F1926">
        <v>523148</v>
      </c>
      <c r="G1926" t="s">
        <v>306</v>
      </c>
      <c r="H1926" t="s">
        <v>76</v>
      </c>
      <c r="I1926" t="s">
        <v>2791</v>
      </c>
    </row>
    <row r="1927" spans="1:9" x14ac:dyDescent="0.2">
      <c r="A1927" t="s">
        <v>3401</v>
      </c>
      <c r="D1927" t="str">
        <f>HYPERLINK("http://nlpdeep.cs.uic.edu:8080/proofing/t5/523148-past-medical-history-0-3.pdf","t5/523148-past-medical-history-0-3.pdf")</f>
        <v>t5/523148-past-medical-history-0-3.pdf</v>
      </c>
      <c r="E1927">
        <v>120842</v>
      </c>
      <c r="F1927">
        <v>523148</v>
      </c>
      <c r="G1927" t="s">
        <v>306</v>
      </c>
      <c r="H1927" t="s">
        <v>76</v>
      </c>
      <c r="I1927" t="s">
        <v>2793</v>
      </c>
    </row>
    <row r="1928" spans="1:9" x14ac:dyDescent="0.2">
      <c r="A1928" t="s">
        <v>3401</v>
      </c>
      <c r="D1928" t="str">
        <f>HYPERLINK("http://nlpdeep.cs.uic.edu:8080/proofing/gsii/523148-past-medical-history-0-3.pdf","gsii/523148-past-medical-history-0-3.pdf")</f>
        <v>gsii/523148-past-medical-history-0-3.pdf</v>
      </c>
      <c r="E1928">
        <v>120842</v>
      </c>
      <c r="F1928">
        <v>523148</v>
      </c>
      <c r="G1928" t="s">
        <v>306</v>
      </c>
      <c r="H1928" t="s">
        <v>76</v>
      </c>
      <c r="I1928" t="s">
        <v>2793</v>
      </c>
    </row>
    <row r="1929" spans="1:9" x14ac:dyDescent="0.2">
      <c r="A1929" t="s">
        <v>3402</v>
      </c>
      <c r="D1929" t="str">
        <f>HYPERLINK("http://nlpdeep.cs.uic.edu:8080/proofing/t5/523148-past-medical-history-0-4.pdf","t5/523148-past-medical-history-0-4.pdf")</f>
        <v>t5/523148-past-medical-history-0-4.pdf</v>
      </c>
      <c r="E1929">
        <v>120842</v>
      </c>
      <c r="F1929">
        <v>523148</v>
      </c>
      <c r="G1929" t="s">
        <v>306</v>
      </c>
      <c r="H1929" t="s">
        <v>76</v>
      </c>
      <c r="I1929" t="s">
        <v>2795</v>
      </c>
    </row>
    <row r="1930" spans="1:9" x14ac:dyDescent="0.2">
      <c r="A1930" t="s">
        <v>3402</v>
      </c>
      <c r="D1930" t="str">
        <f>HYPERLINK("http://nlpdeep.cs.uic.edu:8080/proofing/gsii/523148-past-medical-history-0-4.pdf","gsii/523148-past-medical-history-0-4.pdf")</f>
        <v>gsii/523148-past-medical-history-0-4.pdf</v>
      </c>
      <c r="E1930">
        <v>120842</v>
      </c>
      <c r="F1930">
        <v>523148</v>
      </c>
      <c r="G1930" t="s">
        <v>306</v>
      </c>
      <c r="H1930" t="s">
        <v>76</v>
      </c>
      <c r="I1930" t="s">
        <v>2795</v>
      </c>
    </row>
    <row r="1931" spans="1:9" x14ac:dyDescent="0.2">
      <c r="A1931" t="s">
        <v>3403</v>
      </c>
      <c r="D1931" t="str">
        <f>HYPERLINK("http://nlpdeep.cs.uic.edu:8080/proofing/t5/523148-past-medical-history-0-5.pdf","t5/523148-past-medical-history-0-5.pdf")</f>
        <v>t5/523148-past-medical-history-0-5.pdf</v>
      </c>
      <c r="E1931">
        <v>120842</v>
      </c>
      <c r="F1931">
        <v>523148</v>
      </c>
      <c r="G1931" t="s">
        <v>306</v>
      </c>
      <c r="H1931" t="s">
        <v>76</v>
      </c>
      <c r="I1931" t="s">
        <v>2797</v>
      </c>
    </row>
    <row r="1932" spans="1:9" x14ac:dyDescent="0.2">
      <c r="A1932" t="s">
        <v>3403</v>
      </c>
      <c r="D1932" t="str">
        <f>HYPERLINK("http://nlpdeep.cs.uic.edu:8080/proofing/gsii/523148-past-medical-history-0-5.pdf","gsii/523148-past-medical-history-0-5.pdf")</f>
        <v>gsii/523148-past-medical-history-0-5.pdf</v>
      </c>
      <c r="E1932">
        <v>120842</v>
      </c>
      <c r="F1932">
        <v>523148</v>
      </c>
      <c r="G1932" t="s">
        <v>306</v>
      </c>
      <c r="H1932" t="s">
        <v>76</v>
      </c>
      <c r="I1932" t="s">
        <v>2797</v>
      </c>
    </row>
    <row r="1933" spans="1:9" x14ac:dyDescent="0.2">
      <c r="A1933" t="s">
        <v>3404</v>
      </c>
      <c r="D1933" t="str">
        <f>HYPERLINK("http://nlpdeep.cs.uic.edu:8080/proofing/t5/523148-social-and-family-history-0-0.pdf","t5/523148-social-and-family-history-0-0.pdf")</f>
        <v>t5/523148-social-and-family-history-0-0.pdf</v>
      </c>
      <c r="E1933">
        <v>120842</v>
      </c>
      <c r="F1933">
        <v>523148</v>
      </c>
      <c r="G1933" t="s">
        <v>306</v>
      </c>
      <c r="H1933" t="s">
        <v>2799</v>
      </c>
      <c r="I1933" t="s">
        <v>2800</v>
      </c>
    </row>
    <row r="1934" spans="1:9" x14ac:dyDescent="0.2">
      <c r="A1934" t="s">
        <v>3404</v>
      </c>
      <c r="D1934" t="str">
        <f>HYPERLINK("http://nlpdeep.cs.uic.edu:8080/proofing/gsii/523148-social-and-family-history-0-0.pdf","gsii/523148-social-and-family-history-0-0.pdf")</f>
        <v>gsii/523148-social-and-family-history-0-0.pdf</v>
      </c>
      <c r="E1934">
        <v>120842</v>
      </c>
      <c r="F1934">
        <v>523148</v>
      </c>
      <c r="G1934" t="s">
        <v>306</v>
      </c>
      <c r="H1934" t="s">
        <v>2799</v>
      </c>
      <c r="I1934" t="s">
        <v>2800</v>
      </c>
    </row>
    <row r="1935" spans="1:9" x14ac:dyDescent="0.2">
      <c r="A1935" t="s">
        <v>3405</v>
      </c>
      <c r="D1935" t="str">
        <f>HYPERLINK("http://nlpdeep.cs.uic.edu:8080/proofing/t5/523148-social-and-family-history-0-1.pdf","t5/523148-social-and-family-history-0-1.pdf")</f>
        <v>t5/523148-social-and-family-history-0-1.pdf</v>
      </c>
      <c r="E1935">
        <v>120842</v>
      </c>
      <c r="F1935">
        <v>523148</v>
      </c>
      <c r="G1935" t="s">
        <v>306</v>
      </c>
      <c r="H1935" t="s">
        <v>2799</v>
      </c>
      <c r="I1935" t="s">
        <v>2802</v>
      </c>
    </row>
    <row r="1936" spans="1:9" x14ac:dyDescent="0.2">
      <c r="A1936" t="s">
        <v>3405</v>
      </c>
      <c r="D1936" t="str">
        <f>HYPERLINK("http://nlpdeep.cs.uic.edu:8080/proofing/gsii/523148-social-and-family-history-0-1.pdf","gsii/523148-social-and-family-history-0-1.pdf")</f>
        <v>gsii/523148-social-and-family-history-0-1.pdf</v>
      </c>
      <c r="E1936">
        <v>120842</v>
      </c>
      <c r="F1936">
        <v>523148</v>
      </c>
      <c r="G1936" t="s">
        <v>306</v>
      </c>
      <c r="H1936" t="s">
        <v>2799</v>
      </c>
      <c r="I1936" t="s">
        <v>2802</v>
      </c>
    </row>
    <row r="1937" spans="1:9" x14ac:dyDescent="0.2">
      <c r="A1937" t="s">
        <v>3406</v>
      </c>
      <c r="D1937" t="str">
        <f>HYPERLINK("http://nlpdeep.cs.uic.edu:8080/proofing/t5/523148-social-and-family-history-0-2.pdf","t5/523148-social-and-family-history-0-2.pdf")</f>
        <v>t5/523148-social-and-family-history-0-2.pdf</v>
      </c>
      <c r="E1937">
        <v>120842</v>
      </c>
      <c r="F1937">
        <v>523148</v>
      </c>
      <c r="G1937" t="s">
        <v>306</v>
      </c>
      <c r="H1937" t="s">
        <v>2799</v>
      </c>
      <c r="I1937" t="s">
        <v>2804</v>
      </c>
    </row>
    <row r="1938" spans="1:9" x14ac:dyDescent="0.2">
      <c r="A1938" t="s">
        <v>3406</v>
      </c>
      <c r="D1938" t="str">
        <f>HYPERLINK("http://nlpdeep.cs.uic.edu:8080/proofing/gsii/523148-social-and-family-history-0-2.pdf","gsii/523148-social-and-family-history-0-2.pdf")</f>
        <v>gsii/523148-social-and-family-history-0-2.pdf</v>
      </c>
      <c r="E1938">
        <v>120842</v>
      </c>
      <c r="F1938">
        <v>523148</v>
      </c>
      <c r="G1938" t="s">
        <v>306</v>
      </c>
      <c r="H1938" t="s">
        <v>2799</v>
      </c>
      <c r="I1938" t="s">
        <v>2804</v>
      </c>
    </row>
    <row r="1939" spans="1:9" x14ac:dyDescent="0.2">
      <c r="A1939" t="s">
        <v>3407</v>
      </c>
      <c r="D1939" t="str">
        <f>HYPERLINK("http://nlpdeep.cs.uic.edu:8080/proofing/t5/523148-social-and-family-history-0-3.pdf","t5/523148-social-and-family-history-0-3.pdf")</f>
        <v>t5/523148-social-and-family-history-0-3.pdf</v>
      </c>
      <c r="E1939">
        <v>120842</v>
      </c>
      <c r="F1939">
        <v>523148</v>
      </c>
      <c r="G1939" t="s">
        <v>306</v>
      </c>
      <c r="H1939" t="s">
        <v>2799</v>
      </c>
      <c r="I1939" t="s">
        <v>2806</v>
      </c>
    </row>
    <row r="1940" spans="1:9" x14ac:dyDescent="0.2">
      <c r="A1940" t="s">
        <v>3407</v>
      </c>
      <c r="D1940" t="str">
        <f>HYPERLINK("http://nlpdeep.cs.uic.edu:8080/proofing/gsii/523148-social-and-family-history-0-3.pdf","gsii/523148-social-and-family-history-0-3.pdf")</f>
        <v>gsii/523148-social-and-family-history-0-3.pdf</v>
      </c>
      <c r="E1940">
        <v>120842</v>
      </c>
      <c r="F1940">
        <v>523148</v>
      </c>
      <c r="G1940" t="s">
        <v>306</v>
      </c>
      <c r="H1940" t="s">
        <v>2799</v>
      </c>
      <c r="I1940" t="s">
        <v>2806</v>
      </c>
    </row>
    <row r="1941" spans="1:9" x14ac:dyDescent="0.2">
      <c r="A1941" t="s">
        <v>3408</v>
      </c>
      <c r="D1941" t="str">
        <f>HYPERLINK("http://nlpdeep.cs.uic.edu:8080/proofing/t5/523148-social-and-family-history-0-4.pdf","t5/523148-social-and-family-history-0-4.pdf")</f>
        <v>t5/523148-social-and-family-history-0-4.pdf</v>
      </c>
      <c r="E1941">
        <v>120842</v>
      </c>
      <c r="F1941">
        <v>523148</v>
      </c>
      <c r="G1941" t="s">
        <v>306</v>
      </c>
      <c r="H1941" t="s">
        <v>2799</v>
      </c>
      <c r="I1941" t="s">
        <v>2808</v>
      </c>
    </row>
    <row r="1942" spans="1:9" x14ac:dyDescent="0.2">
      <c r="A1942" t="s">
        <v>3408</v>
      </c>
      <c r="D1942" t="str">
        <f>HYPERLINK("http://nlpdeep.cs.uic.edu:8080/proofing/gsii/523148-social-and-family-history-0-4.pdf","gsii/523148-social-and-family-history-0-4.pdf")</f>
        <v>gsii/523148-social-and-family-history-0-4.pdf</v>
      </c>
      <c r="E1942">
        <v>120842</v>
      </c>
      <c r="F1942">
        <v>523148</v>
      </c>
      <c r="G1942" t="s">
        <v>306</v>
      </c>
      <c r="H1942" t="s">
        <v>2799</v>
      </c>
      <c r="I1942" t="s">
        <v>2808</v>
      </c>
    </row>
    <row r="1943" spans="1:9" x14ac:dyDescent="0.2">
      <c r="A1943" t="s">
        <v>3409</v>
      </c>
      <c r="D1943" t="str">
        <f>HYPERLINK("http://nlpdeep.cs.uic.edu:8080/proofing/t5/523148-physical-examination-0-0.pdf","t5/523148-physical-examination-0-0.pdf")</f>
        <v>t5/523148-physical-examination-0-0.pdf</v>
      </c>
      <c r="E1943">
        <v>120842</v>
      </c>
      <c r="F1943">
        <v>523148</v>
      </c>
      <c r="G1943" t="s">
        <v>306</v>
      </c>
      <c r="H1943" t="s">
        <v>138</v>
      </c>
      <c r="I1943" t="s">
        <v>2810</v>
      </c>
    </row>
    <row r="1944" spans="1:9" x14ac:dyDescent="0.2">
      <c r="A1944" t="s">
        <v>3409</v>
      </c>
      <c r="D1944" t="str">
        <f>HYPERLINK("http://nlpdeep.cs.uic.edu:8080/proofing/gsii/523148-physical-examination-0-0.pdf","gsii/523148-physical-examination-0-0.pdf")</f>
        <v>gsii/523148-physical-examination-0-0.pdf</v>
      </c>
      <c r="E1944">
        <v>120842</v>
      </c>
      <c r="F1944">
        <v>523148</v>
      </c>
      <c r="G1944" t="s">
        <v>306</v>
      </c>
      <c r="H1944" t="s">
        <v>138</v>
      </c>
      <c r="I1944" t="s">
        <v>2810</v>
      </c>
    </row>
    <row r="1945" spans="1:9" x14ac:dyDescent="0.2">
      <c r="A1945" t="s">
        <v>3410</v>
      </c>
      <c r="D1945" t="str">
        <f>HYPERLINK("http://nlpdeep.cs.uic.edu:8080/proofing/t5/523148-physical-examination-0-1.pdf","t5/523148-physical-examination-0-1.pdf")</f>
        <v>t5/523148-physical-examination-0-1.pdf</v>
      </c>
      <c r="E1945">
        <v>120842</v>
      </c>
      <c r="F1945">
        <v>523148</v>
      </c>
      <c r="G1945" t="s">
        <v>306</v>
      </c>
      <c r="H1945" t="s">
        <v>138</v>
      </c>
      <c r="I1945" t="s">
        <v>2812</v>
      </c>
    </row>
    <row r="1946" spans="1:9" x14ac:dyDescent="0.2">
      <c r="A1946" t="s">
        <v>3410</v>
      </c>
      <c r="D1946" t="str">
        <f>HYPERLINK("http://nlpdeep.cs.uic.edu:8080/proofing/gsii/523148-physical-examination-0-1.pdf","gsii/523148-physical-examination-0-1.pdf")</f>
        <v>gsii/523148-physical-examination-0-1.pdf</v>
      </c>
      <c r="E1946">
        <v>120842</v>
      </c>
      <c r="F1946">
        <v>523148</v>
      </c>
      <c r="G1946" t="s">
        <v>306</v>
      </c>
      <c r="H1946" t="s">
        <v>138</v>
      </c>
      <c r="I1946" t="s">
        <v>2812</v>
      </c>
    </row>
    <row r="1947" spans="1:9" x14ac:dyDescent="0.2">
      <c r="A1947" t="s">
        <v>3411</v>
      </c>
      <c r="D1947" t="str">
        <f>HYPERLINK("http://nlpdeep.cs.uic.edu:8080/proofing/t5/523148-labs-imaging-0-0.pdf","t5/523148-labs-imaging-0-0.pdf")</f>
        <v>t5/523148-labs-imaging-0-0.pdf</v>
      </c>
      <c r="E1947">
        <v>120842</v>
      </c>
      <c r="F1947">
        <v>523148</v>
      </c>
      <c r="G1947" t="s">
        <v>306</v>
      </c>
      <c r="H1947" t="s">
        <v>147</v>
      </c>
      <c r="I1947" t="s">
        <v>2814</v>
      </c>
    </row>
    <row r="1948" spans="1:9" x14ac:dyDescent="0.2">
      <c r="A1948" t="s">
        <v>3411</v>
      </c>
      <c r="D1948" t="str">
        <f>HYPERLINK("http://nlpdeep.cs.uic.edu:8080/proofing/gsii/523148-labs-imaging-0-0.pdf","gsii/523148-labs-imaging-0-0.pdf")</f>
        <v>gsii/523148-labs-imaging-0-0.pdf</v>
      </c>
      <c r="E1948">
        <v>120842</v>
      </c>
      <c r="F1948">
        <v>523148</v>
      </c>
      <c r="G1948" t="s">
        <v>306</v>
      </c>
      <c r="H1948" t="s">
        <v>147</v>
      </c>
      <c r="I1948" t="s">
        <v>2814</v>
      </c>
    </row>
    <row r="1949" spans="1:9" x14ac:dyDescent="0.2">
      <c r="A1949" t="s">
        <v>3412</v>
      </c>
      <c r="D1949" t="str">
        <f>HYPERLINK("http://nlpdeep.cs.uic.edu:8080/proofing/t5/523148-labs-imaging-0-1.pdf","t5/523148-labs-imaging-0-1.pdf")</f>
        <v>t5/523148-labs-imaging-0-1.pdf</v>
      </c>
      <c r="E1949">
        <v>120842</v>
      </c>
      <c r="F1949">
        <v>523148</v>
      </c>
      <c r="G1949" t="s">
        <v>306</v>
      </c>
      <c r="H1949" t="s">
        <v>147</v>
      </c>
      <c r="I1949" t="s">
        <v>2816</v>
      </c>
    </row>
    <row r="1950" spans="1:9" x14ac:dyDescent="0.2">
      <c r="A1950" t="s">
        <v>3412</v>
      </c>
      <c r="D1950" t="str">
        <f>HYPERLINK("http://nlpdeep.cs.uic.edu:8080/proofing/gsii/523148-labs-imaging-0-1.pdf","gsii/523148-labs-imaging-0-1.pdf")</f>
        <v>gsii/523148-labs-imaging-0-1.pdf</v>
      </c>
      <c r="E1950">
        <v>120842</v>
      </c>
      <c r="F1950">
        <v>523148</v>
      </c>
      <c r="G1950" t="s">
        <v>306</v>
      </c>
      <c r="H1950" t="s">
        <v>147</v>
      </c>
      <c r="I1950" t="s">
        <v>2816</v>
      </c>
    </row>
    <row r="1951" spans="1:9" x14ac:dyDescent="0.2">
      <c r="A1951" t="s">
        <v>3413</v>
      </c>
      <c r="D1951" t="str">
        <f>HYPERLINK("http://nlpdeep.cs.uic.edu:8080/proofing/t5/523148-assessment-and-plan-0-0.pdf","t5/523148-assessment-and-plan-0-0.pdf")</f>
        <v>t5/523148-assessment-and-plan-0-0.pdf</v>
      </c>
      <c r="E1951">
        <v>120842</v>
      </c>
      <c r="F1951">
        <v>523148</v>
      </c>
      <c r="G1951" t="s">
        <v>306</v>
      </c>
      <c r="H1951" t="s">
        <v>195</v>
      </c>
      <c r="I1951" t="s">
        <v>3414</v>
      </c>
    </row>
    <row r="1952" spans="1:9" x14ac:dyDescent="0.2">
      <c r="A1952" t="s">
        <v>3413</v>
      </c>
      <c r="D1952" t="str">
        <f>HYPERLINK("http://nlpdeep.cs.uic.edu:8080/proofing/gsii/523148-assessment-and-plan-0-0.pdf","gsii/523148-assessment-and-plan-0-0.pdf")</f>
        <v>gsii/523148-assessment-and-plan-0-0.pdf</v>
      </c>
      <c r="E1952">
        <v>120842</v>
      </c>
      <c r="F1952">
        <v>523148</v>
      </c>
      <c r="G1952" t="s">
        <v>306</v>
      </c>
      <c r="H1952" t="s">
        <v>195</v>
      </c>
      <c r="I1952" t="s">
        <v>3414</v>
      </c>
    </row>
    <row r="1953" spans="1:9" x14ac:dyDescent="0.2">
      <c r="A1953" t="s">
        <v>3415</v>
      </c>
      <c r="D1953" t="str">
        <f>HYPERLINK("http://nlpdeep.cs.uic.edu:8080/proofing/t5/523149-reason-0-0.pdf","t5/523149-reason-0-0.pdf")</f>
        <v>t5/523149-reason-0-0.pdf</v>
      </c>
      <c r="E1953">
        <v>120842</v>
      </c>
      <c r="F1953">
        <v>523149</v>
      </c>
      <c r="G1953" t="s">
        <v>306</v>
      </c>
      <c r="H1953" t="s">
        <v>1823</v>
      </c>
      <c r="I1953" t="s">
        <v>2826</v>
      </c>
    </row>
    <row r="1954" spans="1:9" x14ac:dyDescent="0.2">
      <c r="A1954" t="s">
        <v>3415</v>
      </c>
      <c r="D1954" t="str">
        <f>HYPERLINK("http://nlpdeep.cs.uic.edu:8080/proofing/gsii/523149-reason-0-0.pdf","gsii/523149-reason-0-0.pdf")</f>
        <v>gsii/523149-reason-0-0.pdf</v>
      </c>
      <c r="E1954">
        <v>120842</v>
      </c>
      <c r="F1954">
        <v>523149</v>
      </c>
      <c r="G1954" t="s">
        <v>306</v>
      </c>
      <c r="H1954" t="s">
        <v>1823</v>
      </c>
      <c r="I1954" t="s">
        <v>2826</v>
      </c>
    </row>
    <row r="1955" spans="1:9" x14ac:dyDescent="0.2">
      <c r="A1955" t="s">
        <v>3416</v>
      </c>
      <c r="D1955" t="str">
        <f>HYPERLINK("http://nlpdeep.cs.uic.edu:8080/proofing/t5/523149-history-of-present-illness-0-0.pdf","t5/523149-history-of-present-illness-0-0.pdf")</f>
        <v>t5/523149-history-of-present-illness-0-0.pdf</v>
      </c>
      <c r="E1955">
        <v>120842</v>
      </c>
      <c r="F1955">
        <v>523149</v>
      </c>
      <c r="G1955" t="s">
        <v>306</v>
      </c>
      <c r="H1955" t="s">
        <v>13</v>
      </c>
      <c r="I1955" t="s">
        <v>2748</v>
      </c>
    </row>
    <row r="1956" spans="1:9" x14ac:dyDescent="0.2">
      <c r="A1956" t="s">
        <v>3416</v>
      </c>
      <c r="D1956" t="str">
        <f>HYPERLINK("http://nlpdeep.cs.uic.edu:8080/proofing/gsii/523149-history-of-present-illness-0-0.pdf","gsii/523149-history-of-present-illness-0-0.pdf")</f>
        <v>gsii/523149-history-of-present-illness-0-0.pdf</v>
      </c>
      <c r="E1956">
        <v>120842</v>
      </c>
      <c r="F1956">
        <v>523149</v>
      </c>
      <c r="G1956" t="s">
        <v>306</v>
      </c>
      <c r="H1956" t="s">
        <v>13</v>
      </c>
      <c r="I1956" t="s">
        <v>2748</v>
      </c>
    </row>
    <row r="1957" spans="1:9" x14ac:dyDescent="0.2">
      <c r="A1957" t="s">
        <v>3417</v>
      </c>
      <c r="D1957" t="str">
        <f>HYPERLINK("http://nlpdeep.cs.uic.edu:8080/proofing/t5/523149-history-of-present-illness-0-1.pdf","t5/523149-history-of-present-illness-0-1.pdf")</f>
        <v>t5/523149-history-of-present-illness-0-1.pdf</v>
      </c>
      <c r="E1957">
        <v>120842</v>
      </c>
      <c r="F1957">
        <v>523149</v>
      </c>
      <c r="G1957" t="s">
        <v>306</v>
      </c>
      <c r="H1957" t="s">
        <v>13</v>
      </c>
      <c r="I1957" t="s">
        <v>2750</v>
      </c>
    </row>
    <row r="1958" spans="1:9" x14ac:dyDescent="0.2">
      <c r="A1958" t="s">
        <v>3417</v>
      </c>
      <c r="D1958" t="str">
        <f>HYPERLINK("http://nlpdeep.cs.uic.edu:8080/proofing/gsii/523149-history-of-present-illness-0-1.pdf","gsii/523149-history-of-present-illness-0-1.pdf")</f>
        <v>gsii/523149-history-of-present-illness-0-1.pdf</v>
      </c>
      <c r="E1958">
        <v>120842</v>
      </c>
      <c r="F1958">
        <v>523149</v>
      </c>
      <c r="G1958" t="s">
        <v>306</v>
      </c>
      <c r="H1958" t="s">
        <v>13</v>
      </c>
      <c r="I1958" t="s">
        <v>2750</v>
      </c>
    </row>
    <row r="1959" spans="1:9" x14ac:dyDescent="0.2">
      <c r="A1959" t="s">
        <v>3418</v>
      </c>
      <c r="D1959" t="str">
        <f>HYPERLINK("http://nlpdeep.cs.uic.edu:8080/proofing/t5/523149-history-of-present-illness-0-2.pdf","t5/523149-history-of-present-illness-0-2.pdf")</f>
        <v>t5/523149-history-of-present-illness-0-2.pdf</v>
      </c>
      <c r="E1959">
        <v>120842</v>
      </c>
      <c r="F1959">
        <v>523149</v>
      </c>
      <c r="G1959" t="s">
        <v>306</v>
      </c>
      <c r="H1959" t="s">
        <v>13</v>
      </c>
      <c r="I1959" t="s">
        <v>2752</v>
      </c>
    </row>
    <row r="1960" spans="1:9" x14ac:dyDescent="0.2">
      <c r="A1960" t="s">
        <v>3418</v>
      </c>
      <c r="D1960" t="str">
        <f>HYPERLINK("http://nlpdeep.cs.uic.edu:8080/proofing/gsii/523149-history-of-present-illness-0-2.pdf","gsii/523149-history-of-present-illness-0-2.pdf")</f>
        <v>gsii/523149-history-of-present-illness-0-2.pdf</v>
      </c>
      <c r="E1960">
        <v>120842</v>
      </c>
      <c r="F1960">
        <v>523149</v>
      </c>
      <c r="G1960" t="s">
        <v>306</v>
      </c>
      <c r="H1960" t="s">
        <v>13</v>
      </c>
      <c r="I1960" t="s">
        <v>2752</v>
      </c>
    </row>
    <row r="1961" spans="1:9" x14ac:dyDescent="0.2">
      <c r="A1961" t="s">
        <v>3419</v>
      </c>
      <c r="D1961" t="str">
        <f>HYPERLINK("http://nlpdeep.cs.uic.edu:8080/proofing/t5/523149-history-of-present-illness-0-3.pdf","t5/523149-history-of-present-illness-0-3.pdf")</f>
        <v>t5/523149-history-of-present-illness-0-3.pdf</v>
      </c>
      <c r="E1961">
        <v>120842</v>
      </c>
      <c r="F1961">
        <v>523149</v>
      </c>
      <c r="G1961" t="s">
        <v>306</v>
      </c>
      <c r="H1961" t="s">
        <v>13</v>
      </c>
      <c r="I1961" t="s">
        <v>2754</v>
      </c>
    </row>
    <row r="1962" spans="1:9" x14ac:dyDescent="0.2">
      <c r="A1962" t="s">
        <v>3419</v>
      </c>
      <c r="D1962" t="str">
        <f>HYPERLINK("http://nlpdeep.cs.uic.edu:8080/proofing/gsii/523149-history-of-present-illness-0-3.pdf","gsii/523149-history-of-present-illness-0-3.pdf")</f>
        <v>gsii/523149-history-of-present-illness-0-3.pdf</v>
      </c>
      <c r="E1962">
        <v>120842</v>
      </c>
      <c r="F1962">
        <v>523149</v>
      </c>
      <c r="G1962" t="s">
        <v>306</v>
      </c>
      <c r="H1962" t="s">
        <v>13</v>
      </c>
      <c r="I1962" t="s">
        <v>2754</v>
      </c>
    </row>
    <row r="1963" spans="1:9" x14ac:dyDescent="0.2">
      <c r="A1963" t="s">
        <v>3420</v>
      </c>
      <c r="D1963" t="str">
        <f>HYPERLINK("http://nlpdeep.cs.uic.edu:8080/proofing/t5/523149-history-of-present-illness-0-4.pdf","t5/523149-history-of-present-illness-0-4.pdf")</f>
        <v>t5/523149-history-of-present-illness-0-4.pdf</v>
      </c>
      <c r="E1963">
        <v>120842</v>
      </c>
      <c r="F1963">
        <v>523149</v>
      </c>
      <c r="G1963" t="s">
        <v>306</v>
      </c>
      <c r="H1963" t="s">
        <v>13</v>
      </c>
      <c r="I1963" t="s">
        <v>2756</v>
      </c>
    </row>
    <row r="1964" spans="1:9" x14ac:dyDescent="0.2">
      <c r="A1964" t="s">
        <v>3420</v>
      </c>
      <c r="D1964" t="str">
        <f>HYPERLINK("http://nlpdeep.cs.uic.edu:8080/proofing/gsii/523149-history-of-present-illness-0-4.pdf","gsii/523149-history-of-present-illness-0-4.pdf")</f>
        <v>gsii/523149-history-of-present-illness-0-4.pdf</v>
      </c>
      <c r="E1964">
        <v>120842</v>
      </c>
      <c r="F1964">
        <v>523149</v>
      </c>
      <c r="G1964" t="s">
        <v>306</v>
      </c>
      <c r="H1964" t="s">
        <v>13</v>
      </c>
      <c r="I1964" t="s">
        <v>2756</v>
      </c>
    </row>
    <row r="1965" spans="1:9" x14ac:dyDescent="0.2">
      <c r="A1965" t="s">
        <v>3421</v>
      </c>
      <c r="D1965" t="str">
        <f>HYPERLINK("http://nlpdeep.cs.uic.edu:8080/proofing/t5/523149-history-of-present-illness-0-5.pdf","t5/523149-history-of-present-illness-0-5.pdf")</f>
        <v>t5/523149-history-of-present-illness-0-5.pdf</v>
      </c>
      <c r="E1965">
        <v>120842</v>
      </c>
      <c r="F1965">
        <v>523149</v>
      </c>
      <c r="G1965" t="s">
        <v>306</v>
      </c>
      <c r="H1965" t="s">
        <v>13</v>
      </c>
      <c r="I1965" t="s">
        <v>2758</v>
      </c>
    </row>
    <row r="1966" spans="1:9" x14ac:dyDescent="0.2">
      <c r="A1966" t="s">
        <v>3421</v>
      </c>
      <c r="D1966" t="str">
        <f>HYPERLINK("http://nlpdeep.cs.uic.edu:8080/proofing/gsii/523149-history-of-present-illness-0-5.pdf","gsii/523149-history-of-present-illness-0-5.pdf")</f>
        <v>gsii/523149-history-of-present-illness-0-5.pdf</v>
      </c>
      <c r="E1966">
        <v>120842</v>
      </c>
      <c r="F1966">
        <v>523149</v>
      </c>
      <c r="G1966" t="s">
        <v>306</v>
      </c>
      <c r="H1966" t="s">
        <v>13</v>
      </c>
      <c r="I1966" t="s">
        <v>2758</v>
      </c>
    </row>
    <row r="1967" spans="1:9" x14ac:dyDescent="0.2">
      <c r="A1967" t="s">
        <v>3422</v>
      </c>
      <c r="D1967" t="str">
        <f>HYPERLINK("http://nlpdeep.cs.uic.edu:8080/proofing/t5/523149-history-of-present-illness-1-0.pdf","t5/523149-history-of-present-illness-1-0.pdf")</f>
        <v>t5/523149-history-of-present-illness-1-0.pdf</v>
      </c>
      <c r="E1967">
        <v>120842</v>
      </c>
      <c r="F1967">
        <v>523149</v>
      </c>
      <c r="G1967" t="s">
        <v>306</v>
      </c>
      <c r="H1967" t="s">
        <v>13</v>
      </c>
      <c r="I1967" t="s">
        <v>2760</v>
      </c>
    </row>
    <row r="1968" spans="1:9" x14ac:dyDescent="0.2">
      <c r="A1968" t="s">
        <v>3422</v>
      </c>
      <c r="D1968" t="str">
        <f>HYPERLINK("http://nlpdeep.cs.uic.edu:8080/proofing/gsii/523149-history-of-present-illness-1-0.pdf","gsii/523149-history-of-present-illness-1-0.pdf")</f>
        <v>gsii/523149-history-of-present-illness-1-0.pdf</v>
      </c>
      <c r="E1968">
        <v>120842</v>
      </c>
      <c r="F1968">
        <v>523149</v>
      </c>
      <c r="G1968" t="s">
        <v>306</v>
      </c>
      <c r="H1968" t="s">
        <v>13</v>
      </c>
      <c r="I1968" t="s">
        <v>2760</v>
      </c>
    </row>
    <row r="1969" spans="1:9" x14ac:dyDescent="0.2">
      <c r="A1969" t="s">
        <v>3423</v>
      </c>
      <c r="D1969" t="str">
        <f>HYPERLINK("http://nlpdeep.cs.uic.edu:8080/proofing/t5/523149-history-of-present-illness-1-1.pdf","t5/523149-history-of-present-illness-1-1.pdf")</f>
        <v>t5/523149-history-of-present-illness-1-1.pdf</v>
      </c>
      <c r="E1969">
        <v>120842</v>
      </c>
      <c r="F1969">
        <v>523149</v>
      </c>
      <c r="G1969" t="s">
        <v>306</v>
      </c>
      <c r="H1969" t="s">
        <v>13</v>
      </c>
      <c r="I1969" t="s">
        <v>2762</v>
      </c>
    </row>
    <row r="1970" spans="1:9" x14ac:dyDescent="0.2">
      <c r="A1970" t="s">
        <v>3423</v>
      </c>
      <c r="D1970" t="str">
        <f>HYPERLINK("http://nlpdeep.cs.uic.edu:8080/proofing/gsii/523149-history-of-present-illness-1-1.pdf","gsii/523149-history-of-present-illness-1-1.pdf")</f>
        <v>gsii/523149-history-of-present-illness-1-1.pdf</v>
      </c>
      <c r="E1970">
        <v>120842</v>
      </c>
      <c r="F1970">
        <v>523149</v>
      </c>
      <c r="G1970" t="s">
        <v>306</v>
      </c>
      <c r="H1970" t="s">
        <v>13</v>
      </c>
      <c r="I1970" t="s">
        <v>2762</v>
      </c>
    </row>
    <row r="1971" spans="1:9" x14ac:dyDescent="0.2">
      <c r="A1971" t="s">
        <v>3424</v>
      </c>
      <c r="D1971" t="str">
        <f>HYPERLINK("http://nlpdeep.cs.uic.edu:8080/proofing/t5/523149-history-of-present-illness-1-2.pdf","t5/523149-history-of-present-illness-1-2.pdf")</f>
        <v>t5/523149-history-of-present-illness-1-2.pdf</v>
      </c>
      <c r="E1971">
        <v>120842</v>
      </c>
      <c r="F1971">
        <v>523149</v>
      </c>
      <c r="G1971" t="s">
        <v>306</v>
      </c>
      <c r="H1971" t="s">
        <v>13</v>
      </c>
      <c r="I1971" t="s">
        <v>2764</v>
      </c>
    </row>
    <row r="1972" spans="1:9" x14ac:dyDescent="0.2">
      <c r="A1972" t="s">
        <v>3424</v>
      </c>
      <c r="D1972" t="str">
        <f>HYPERLINK("http://nlpdeep.cs.uic.edu:8080/proofing/gsii/523149-history-of-present-illness-1-2.pdf","gsii/523149-history-of-present-illness-1-2.pdf")</f>
        <v>gsii/523149-history-of-present-illness-1-2.pdf</v>
      </c>
      <c r="E1972">
        <v>120842</v>
      </c>
      <c r="F1972">
        <v>523149</v>
      </c>
      <c r="G1972" t="s">
        <v>306</v>
      </c>
      <c r="H1972" t="s">
        <v>13</v>
      </c>
      <c r="I1972" t="s">
        <v>2764</v>
      </c>
    </row>
    <row r="1973" spans="1:9" x14ac:dyDescent="0.2">
      <c r="A1973" t="s">
        <v>3425</v>
      </c>
      <c r="D1973" t="str">
        <f>HYPERLINK("http://nlpdeep.cs.uic.edu:8080/proofing/t5/523149-allergies-0-0.pdf","t5/523149-allergies-0-0.pdf")</f>
        <v>t5/523149-allergies-0-0.pdf</v>
      </c>
      <c r="E1973">
        <v>120842</v>
      </c>
      <c r="F1973">
        <v>523149</v>
      </c>
      <c r="G1973" t="s">
        <v>306</v>
      </c>
      <c r="H1973" t="s">
        <v>64</v>
      </c>
      <c r="I1973" t="s">
        <v>2766</v>
      </c>
    </row>
    <row r="1974" spans="1:9" x14ac:dyDescent="0.2">
      <c r="A1974" t="s">
        <v>3425</v>
      </c>
      <c r="D1974" t="str">
        <f>HYPERLINK("http://nlpdeep.cs.uic.edu:8080/proofing/gsii/523149-allergies-0-0.pdf","gsii/523149-allergies-0-0.pdf")</f>
        <v>gsii/523149-allergies-0-0.pdf</v>
      </c>
      <c r="E1974">
        <v>120842</v>
      </c>
      <c r="F1974">
        <v>523149</v>
      </c>
      <c r="G1974" t="s">
        <v>306</v>
      </c>
      <c r="H1974" t="s">
        <v>64</v>
      </c>
      <c r="I1974" t="s">
        <v>2766</v>
      </c>
    </row>
    <row r="1975" spans="1:9" x14ac:dyDescent="0.2">
      <c r="A1975" t="s">
        <v>3426</v>
      </c>
      <c r="D1975" t="str">
        <f>HYPERLINK("http://nlpdeep.cs.uic.edu:8080/proofing/t5/523149-medication-history-0-0.pdf","t5/523149-medication-history-0-0.pdf")</f>
        <v>t5/523149-medication-history-0-0.pdf</v>
      </c>
      <c r="E1975">
        <v>120842</v>
      </c>
      <c r="F1975">
        <v>523149</v>
      </c>
      <c r="G1975" t="s">
        <v>306</v>
      </c>
      <c r="H1975" t="s">
        <v>336</v>
      </c>
      <c r="I1975" t="s">
        <v>2768</v>
      </c>
    </row>
    <row r="1976" spans="1:9" x14ac:dyDescent="0.2">
      <c r="A1976" t="s">
        <v>3426</v>
      </c>
      <c r="D1976" t="str">
        <f>HYPERLINK("http://nlpdeep.cs.uic.edu:8080/proofing/gsii/523149-medication-history-0-0.pdf","gsii/523149-medication-history-0-0.pdf")</f>
        <v>gsii/523149-medication-history-0-0.pdf</v>
      </c>
      <c r="E1976">
        <v>120842</v>
      </c>
      <c r="F1976">
        <v>523149</v>
      </c>
      <c r="G1976" t="s">
        <v>306</v>
      </c>
      <c r="H1976" t="s">
        <v>336</v>
      </c>
      <c r="I1976" t="s">
        <v>2768</v>
      </c>
    </row>
    <row r="1977" spans="1:9" x14ac:dyDescent="0.2">
      <c r="A1977" t="s">
        <v>3427</v>
      </c>
      <c r="D1977" t="str">
        <f>HYPERLINK("http://nlpdeep.cs.uic.edu:8080/proofing/t5/523149-medication-history-0-1.pdf","t5/523149-medication-history-0-1.pdf")</f>
        <v>t5/523149-medication-history-0-1.pdf</v>
      </c>
      <c r="E1977">
        <v>120842</v>
      </c>
      <c r="F1977">
        <v>523149</v>
      </c>
      <c r="G1977" t="s">
        <v>306</v>
      </c>
      <c r="H1977" t="s">
        <v>336</v>
      </c>
      <c r="I1977" t="s">
        <v>2770</v>
      </c>
    </row>
    <row r="1978" spans="1:9" x14ac:dyDescent="0.2">
      <c r="A1978" t="s">
        <v>3427</v>
      </c>
      <c r="D1978" t="str">
        <f>HYPERLINK("http://nlpdeep.cs.uic.edu:8080/proofing/gsii/523149-medication-history-0-1.pdf","gsii/523149-medication-history-0-1.pdf")</f>
        <v>gsii/523149-medication-history-0-1.pdf</v>
      </c>
      <c r="E1978">
        <v>120842</v>
      </c>
      <c r="F1978">
        <v>523149</v>
      </c>
      <c r="G1978" t="s">
        <v>306</v>
      </c>
      <c r="H1978" t="s">
        <v>336</v>
      </c>
      <c r="I1978" t="s">
        <v>2770</v>
      </c>
    </row>
    <row r="1979" spans="1:9" x14ac:dyDescent="0.2">
      <c r="A1979" t="s">
        <v>3428</v>
      </c>
      <c r="D1979" t="str">
        <f>HYPERLINK("http://nlpdeep.cs.uic.edu:8080/proofing/t5/523149-medication-history-0-2.pdf","t5/523149-medication-history-0-2.pdf")</f>
        <v>t5/523149-medication-history-0-2.pdf</v>
      </c>
      <c r="E1979">
        <v>120842</v>
      </c>
      <c r="F1979">
        <v>523149</v>
      </c>
      <c r="G1979" t="s">
        <v>306</v>
      </c>
      <c r="H1979" t="s">
        <v>336</v>
      </c>
      <c r="I1979" t="s">
        <v>2772</v>
      </c>
    </row>
    <row r="1980" spans="1:9" x14ac:dyDescent="0.2">
      <c r="A1980" t="s">
        <v>3428</v>
      </c>
      <c r="D1980" t="str">
        <f>HYPERLINK("http://nlpdeep.cs.uic.edu:8080/proofing/gsii/523149-medication-history-0-2.pdf","gsii/523149-medication-history-0-2.pdf")</f>
        <v>gsii/523149-medication-history-0-2.pdf</v>
      </c>
      <c r="E1980">
        <v>120842</v>
      </c>
      <c r="F1980">
        <v>523149</v>
      </c>
      <c r="G1980" t="s">
        <v>306</v>
      </c>
      <c r="H1980" t="s">
        <v>336</v>
      </c>
      <c r="I1980" t="s">
        <v>2772</v>
      </c>
    </row>
    <row r="1981" spans="1:9" x14ac:dyDescent="0.2">
      <c r="A1981" t="s">
        <v>3429</v>
      </c>
      <c r="D1981" t="str">
        <f>HYPERLINK("http://nlpdeep.cs.uic.edu:8080/proofing/t5/523149-medication-history-0-3.pdf","t5/523149-medication-history-0-3.pdf")</f>
        <v>t5/523149-medication-history-0-3.pdf</v>
      </c>
      <c r="E1981">
        <v>120842</v>
      </c>
      <c r="F1981">
        <v>523149</v>
      </c>
      <c r="G1981" t="s">
        <v>306</v>
      </c>
      <c r="H1981" t="s">
        <v>336</v>
      </c>
      <c r="I1981" t="s">
        <v>2774</v>
      </c>
    </row>
    <row r="1982" spans="1:9" x14ac:dyDescent="0.2">
      <c r="A1982" t="s">
        <v>3429</v>
      </c>
      <c r="D1982" t="str">
        <f>HYPERLINK("http://nlpdeep.cs.uic.edu:8080/proofing/gsii/523149-medication-history-0-3.pdf","gsii/523149-medication-history-0-3.pdf")</f>
        <v>gsii/523149-medication-history-0-3.pdf</v>
      </c>
      <c r="E1982">
        <v>120842</v>
      </c>
      <c r="F1982">
        <v>523149</v>
      </c>
      <c r="G1982" t="s">
        <v>306</v>
      </c>
      <c r="H1982" t="s">
        <v>336</v>
      </c>
      <c r="I1982" t="s">
        <v>2774</v>
      </c>
    </row>
    <row r="1983" spans="1:9" x14ac:dyDescent="0.2">
      <c r="A1983" t="s">
        <v>3430</v>
      </c>
      <c r="D1983" t="str">
        <f>HYPERLINK("http://nlpdeep.cs.uic.edu:8080/proofing/t5/523149-medication-history-0-4.pdf","t5/523149-medication-history-0-4.pdf")</f>
        <v>t5/523149-medication-history-0-4.pdf</v>
      </c>
      <c r="E1983">
        <v>120842</v>
      </c>
      <c r="F1983">
        <v>523149</v>
      </c>
      <c r="G1983" t="s">
        <v>306</v>
      </c>
      <c r="H1983" t="s">
        <v>336</v>
      </c>
      <c r="I1983" t="s">
        <v>2776</v>
      </c>
    </row>
    <row r="1984" spans="1:9" x14ac:dyDescent="0.2">
      <c r="A1984" t="s">
        <v>3430</v>
      </c>
      <c r="D1984" t="str">
        <f>HYPERLINK("http://nlpdeep.cs.uic.edu:8080/proofing/gsii/523149-medication-history-0-4.pdf","gsii/523149-medication-history-0-4.pdf")</f>
        <v>gsii/523149-medication-history-0-4.pdf</v>
      </c>
      <c r="E1984">
        <v>120842</v>
      </c>
      <c r="F1984">
        <v>523149</v>
      </c>
      <c r="G1984" t="s">
        <v>306</v>
      </c>
      <c r="H1984" t="s">
        <v>336</v>
      </c>
      <c r="I1984" t="s">
        <v>2776</v>
      </c>
    </row>
    <row r="1985" spans="1:9" x14ac:dyDescent="0.2">
      <c r="A1985" t="s">
        <v>3431</v>
      </c>
      <c r="D1985" t="str">
        <f>HYPERLINK("http://nlpdeep.cs.uic.edu:8080/proofing/t5/523149-medication-history-0-5.pdf","t5/523149-medication-history-0-5.pdf")</f>
        <v>t5/523149-medication-history-0-5.pdf</v>
      </c>
      <c r="E1985">
        <v>120842</v>
      </c>
      <c r="F1985">
        <v>523149</v>
      </c>
      <c r="G1985" t="s">
        <v>306</v>
      </c>
      <c r="H1985" t="s">
        <v>336</v>
      </c>
      <c r="I1985" t="s">
        <v>2778</v>
      </c>
    </row>
    <row r="1986" spans="1:9" x14ac:dyDescent="0.2">
      <c r="A1986" t="s">
        <v>3431</v>
      </c>
      <c r="D1986" t="str">
        <f>HYPERLINK("http://nlpdeep.cs.uic.edu:8080/proofing/gsii/523149-medication-history-0-5.pdf","gsii/523149-medication-history-0-5.pdf")</f>
        <v>gsii/523149-medication-history-0-5.pdf</v>
      </c>
      <c r="E1986">
        <v>120842</v>
      </c>
      <c r="F1986">
        <v>523149</v>
      </c>
      <c r="G1986" t="s">
        <v>306</v>
      </c>
      <c r="H1986" t="s">
        <v>336</v>
      </c>
      <c r="I1986" t="s">
        <v>2778</v>
      </c>
    </row>
    <row r="1987" spans="1:9" x14ac:dyDescent="0.2">
      <c r="A1987" t="s">
        <v>3432</v>
      </c>
      <c r="D1987" t="str">
        <f>HYPERLINK("http://nlpdeep.cs.uic.edu:8080/proofing/t5/523149-medication-history-0-6.pdf","t5/523149-medication-history-0-6.pdf")</f>
        <v>t5/523149-medication-history-0-6.pdf</v>
      </c>
      <c r="E1987">
        <v>120842</v>
      </c>
      <c r="F1987">
        <v>523149</v>
      </c>
      <c r="G1987" t="s">
        <v>306</v>
      </c>
      <c r="H1987" t="s">
        <v>336</v>
      </c>
      <c r="I1987" t="s">
        <v>2780</v>
      </c>
    </row>
    <row r="1988" spans="1:9" x14ac:dyDescent="0.2">
      <c r="A1988" t="s">
        <v>3432</v>
      </c>
      <c r="D1988" t="str">
        <f>HYPERLINK("http://nlpdeep.cs.uic.edu:8080/proofing/gsii/523149-medication-history-0-6.pdf","gsii/523149-medication-history-0-6.pdf")</f>
        <v>gsii/523149-medication-history-0-6.pdf</v>
      </c>
      <c r="E1988">
        <v>120842</v>
      </c>
      <c r="F1988">
        <v>523149</v>
      </c>
      <c r="G1988" t="s">
        <v>306</v>
      </c>
      <c r="H1988" t="s">
        <v>336</v>
      </c>
      <c r="I1988" t="s">
        <v>2780</v>
      </c>
    </row>
    <row r="1989" spans="1:9" x14ac:dyDescent="0.2">
      <c r="A1989" t="s">
        <v>3433</v>
      </c>
      <c r="D1989" t="str">
        <f>HYPERLINK("http://nlpdeep.cs.uic.edu:8080/proofing/t5/523149-medication-history-0-7.pdf","t5/523149-medication-history-0-7.pdf")</f>
        <v>t5/523149-medication-history-0-7.pdf</v>
      </c>
      <c r="E1989">
        <v>120842</v>
      </c>
      <c r="F1989">
        <v>523149</v>
      </c>
      <c r="G1989" t="s">
        <v>306</v>
      </c>
      <c r="H1989" t="s">
        <v>336</v>
      </c>
      <c r="I1989" t="s">
        <v>2782</v>
      </c>
    </row>
    <row r="1990" spans="1:9" x14ac:dyDescent="0.2">
      <c r="A1990" t="s">
        <v>3433</v>
      </c>
      <c r="D1990" t="str">
        <f>HYPERLINK("http://nlpdeep.cs.uic.edu:8080/proofing/gsii/523149-medication-history-0-7.pdf","gsii/523149-medication-history-0-7.pdf")</f>
        <v>gsii/523149-medication-history-0-7.pdf</v>
      </c>
      <c r="E1990">
        <v>120842</v>
      </c>
      <c r="F1990">
        <v>523149</v>
      </c>
      <c r="G1990" t="s">
        <v>306</v>
      </c>
      <c r="H1990" t="s">
        <v>336</v>
      </c>
      <c r="I1990" t="s">
        <v>2782</v>
      </c>
    </row>
    <row r="1991" spans="1:9" x14ac:dyDescent="0.2">
      <c r="A1991" t="s">
        <v>3434</v>
      </c>
      <c r="D1991" t="str">
        <f>HYPERLINK("http://nlpdeep.cs.uic.edu:8080/proofing/t5/523149-medication-history-0-8.pdf","t5/523149-medication-history-0-8.pdf")</f>
        <v>t5/523149-medication-history-0-8.pdf</v>
      </c>
      <c r="E1991">
        <v>120842</v>
      </c>
      <c r="F1991">
        <v>523149</v>
      </c>
      <c r="G1991" t="s">
        <v>306</v>
      </c>
      <c r="H1991" t="s">
        <v>336</v>
      </c>
      <c r="I1991" t="s">
        <v>2764</v>
      </c>
    </row>
    <row r="1992" spans="1:9" x14ac:dyDescent="0.2">
      <c r="A1992" t="s">
        <v>3434</v>
      </c>
      <c r="D1992" t="str">
        <f>HYPERLINK("http://nlpdeep.cs.uic.edu:8080/proofing/gsii/523149-medication-history-0-8.pdf","gsii/523149-medication-history-0-8.pdf")</f>
        <v>gsii/523149-medication-history-0-8.pdf</v>
      </c>
      <c r="E1992">
        <v>120842</v>
      </c>
      <c r="F1992">
        <v>523149</v>
      </c>
      <c r="G1992" t="s">
        <v>306</v>
      </c>
      <c r="H1992" t="s">
        <v>336</v>
      </c>
      <c r="I1992" t="s">
        <v>2764</v>
      </c>
    </row>
    <row r="1993" spans="1:9" x14ac:dyDescent="0.2">
      <c r="A1993" t="s">
        <v>3435</v>
      </c>
      <c r="D1993" t="str">
        <f>HYPERLINK("http://nlpdeep.cs.uic.edu:8080/proofing/t5/523149-current-medications-0-0.pdf","t5/523149-current-medications-0-0.pdf")</f>
        <v>t5/523149-current-medications-0-0.pdf</v>
      </c>
      <c r="E1993">
        <v>120842</v>
      </c>
      <c r="F1993">
        <v>523149</v>
      </c>
      <c r="G1993" t="s">
        <v>306</v>
      </c>
      <c r="H1993" t="s">
        <v>365</v>
      </c>
      <c r="I1993" t="s">
        <v>2785</v>
      </c>
    </row>
    <row r="1994" spans="1:9" x14ac:dyDescent="0.2">
      <c r="A1994" t="s">
        <v>3435</v>
      </c>
      <c r="D1994" t="str">
        <f>HYPERLINK("http://nlpdeep.cs.uic.edu:8080/proofing/gsii/523149-current-medications-0-0.pdf","gsii/523149-current-medications-0-0.pdf")</f>
        <v>gsii/523149-current-medications-0-0.pdf</v>
      </c>
      <c r="E1994">
        <v>120842</v>
      </c>
      <c r="F1994">
        <v>523149</v>
      </c>
      <c r="G1994" t="s">
        <v>306</v>
      </c>
      <c r="H1994" t="s">
        <v>365</v>
      </c>
      <c r="I1994" t="s">
        <v>2785</v>
      </c>
    </row>
    <row r="1995" spans="1:9" x14ac:dyDescent="0.2">
      <c r="A1995" t="s">
        <v>3436</v>
      </c>
      <c r="D1995" t="str">
        <f>HYPERLINK("http://nlpdeep.cs.uic.edu:8080/proofing/t5/523149-past-medical-history-0-0.pdf","t5/523149-past-medical-history-0-0.pdf")</f>
        <v>t5/523149-past-medical-history-0-0.pdf</v>
      </c>
      <c r="E1995">
        <v>120842</v>
      </c>
      <c r="F1995">
        <v>523149</v>
      </c>
      <c r="G1995" t="s">
        <v>306</v>
      </c>
      <c r="H1995" t="s">
        <v>76</v>
      </c>
      <c r="I1995" t="s">
        <v>2787</v>
      </c>
    </row>
    <row r="1996" spans="1:9" x14ac:dyDescent="0.2">
      <c r="A1996" t="s">
        <v>3436</v>
      </c>
      <c r="D1996" t="str">
        <f>HYPERLINK("http://nlpdeep.cs.uic.edu:8080/proofing/gsii/523149-past-medical-history-0-0.pdf","gsii/523149-past-medical-history-0-0.pdf")</f>
        <v>gsii/523149-past-medical-history-0-0.pdf</v>
      </c>
      <c r="E1996">
        <v>120842</v>
      </c>
      <c r="F1996">
        <v>523149</v>
      </c>
      <c r="G1996" t="s">
        <v>306</v>
      </c>
      <c r="H1996" t="s">
        <v>76</v>
      </c>
      <c r="I1996" t="s">
        <v>2787</v>
      </c>
    </row>
    <row r="1997" spans="1:9" x14ac:dyDescent="0.2">
      <c r="A1997" t="s">
        <v>3437</v>
      </c>
      <c r="D1997" t="str">
        <f>HYPERLINK("http://nlpdeep.cs.uic.edu:8080/proofing/t5/523149-past-medical-history-0-1.pdf","t5/523149-past-medical-history-0-1.pdf")</f>
        <v>t5/523149-past-medical-history-0-1.pdf</v>
      </c>
      <c r="E1997">
        <v>120842</v>
      </c>
      <c r="F1997">
        <v>523149</v>
      </c>
      <c r="G1997" t="s">
        <v>306</v>
      </c>
      <c r="H1997" t="s">
        <v>76</v>
      </c>
      <c r="I1997" t="s">
        <v>2789</v>
      </c>
    </row>
    <row r="1998" spans="1:9" x14ac:dyDescent="0.2">
      <c r="A1998" t="s">
        <v>3437</v>
      </c>
      <c r="D1998" t="str">
        <f>HYPERLINK("http://nlpdeep.cs.uic.edu:8080/proofing/gsii/523149-past-medical-history-0-1.pdf","gsii/523149-past-medical-history-0-1.pdf")</f>
        <v>gsii/523149-past-medical-history-0-1.pdf</v>
      </c>
      <c r="E1998">
        <v>120842</v>
      </c>
      <c r="F1998">
        <v>523149</v>
      </c>
      <c r="G1998" t="s">
        <v>306</v>
      </c>
      <c r="H1998" t="s">
        <v>76</v>
      </c>
      <c r="I1998" t="s">
        <v>2789</v>
      </c>
    </row>
    <row r="1999" spans="1:9" x14ac:dyDescent="0.2">
      <c r="A1999" t="s">
        <v>3438</v>
      </c>
      <c r="D1999" t="str">
        <f>HYPERLINK("http://nlpdeep.cs.uic.edu:8080/proofing/t5/523149-past-medical-history-0-2.pdf","t5/523149-past-medical-history-0-2.pdf")</f>
        <v>t5/523149-past-medical-history-0-2.pdf</v>
      </c>
      <c r="E1999">
        <v>120842</v>
      </c>
      <c r="F1999">
        <v>523149</v>
      </c>
      <c r="G1999" t="s">
        <v>306</v>
      </c>
      <c r="H1999" t="s">
        <v>76</v>
      </c>
      <c r="I1999" t="s">
        <v>2791</v>
      </c>
    </row>
    <row r="2000" spans="1:9" x14ac:dyDescent="0.2">
      <c r="A2000" t="s">
        <v>3438</v>
      </c>
      <c r="D2000" t="str">
        <f>HYPERLINK("http://nlpdeep.cs.uic.edu:8080/proofing/gsii/523149-past-medical-history-0-2.pdf","gsii/523149-past-medical-history-0-2.pdf")</f>
        <v>gsii/523149-past-medical-history-0-2.pdf</v>
      </c>
      <c r="E2000">
        <v>120842</v>
      </c>
      <c r="F2000">
        <v>523149</v>
      </c>
      <c r="G2000" t="s">
        <v>306</v>
      </c>
      <c r="H2000" t="s">
        <v>76</v>
      </c>
      <c r="I2000" t="s">
        <v>2791</v>
      </c>
    </row>
    <row r="2001" spans="1:9" x14ac:dyDescent="0.2">
      <c r="A2001" t="s">
        <v>3439</v>
      </c>
      <c r="D2001" t="str">
        <f>HYPERLINK("http://nlpdeep.cs.uic.edu:8080/proofing/t5/523149-past-medical-history-0-3.pdf","t5/523149-past-medical-history-0-3.pdf")</f>
        <v>t5/523149-past-medical-history-0-3.pdf</v>
      </c>
      <c r="E2001">
        <v>120842</v>
      </c>
      <c r="F2001">
        <v>523149</v>
      </c>
      <c r="G2001" t="s">
        <v>306</v>
      </c>
      <c r="H2001" t="s">
        <v>76</v>
      </c>
      <c r="I2001" t="s">
        <v>2793</v>
      </c>
    </row>
    <row r="2002" spans="1:9" x14ac:dyDescent="0.2">
      <c r="A2002" t="s">
        <v>3439</v>
      </c>
      <c r="D2002" t="str">
        <f>HYPERLINK("http://nlpdeep.cs.uic.edu:8080/proofing/gsii/523149-past-medical-history-0-3.pdf","gsii/523149-past-medical-history-0-3.pdf")</f>
        <v>gsii/523149-past-medical-history-0-3.pdf</v>
      </c>
      <c r="E2002">
        <v>120842</v>
      </c>
      <c r="F2002">
        <v>523149</v>
      </c>
      <c r="G2002" t="s">
        <v>306</v>
      </c>
      <c r="H2002" t="s">
        <v>76</v>
      </c>
      <c r="I2002" t="s">
        <v>2793</v>
      </c>
    </row>
    <row r="2003" spans="1:9" x14ac:dyDescent="0.2">
      <c r="A2003" t="s">
        <v>3440</v>
      </c>
      <c r="D2003" t="str">
        <f>HYPERLINK("http://nlpdeep.cs.uic.edu:8080/proofing/t5/523149-past-medical-history-0-4.pdf","t5/523149-past-medical-history-0-4.pdf")</f>
        <v>t5/523149-past-medical-history-0-4.pdf</v>
      </c>
      <c r="E2003">
        <v>120842</v>
      </c>
      <c r="F2003">
        <v>523149</v>
      </c>
      <c r="G2003" t="s">
        <v>306</v>
      </c>
      <c r="H2003" t="s">
        <v>76</v>
      </c>
      <c r="I2003" t="s">
        <v>2795</v>
      </c>
    </row>
    <row r="2004" spans="1:9" x14ac:dyDescent="0.2">
      <c r="A2004" t="s">
        <v>3440</v>
      </c>
      <c r="D2004" t="str">
        <f>HYPERLINK("http://nlpdeep.cs.uic.edu:8080/proofing/gsii/523149-past-medical-history-0-4.pdf","gsii/523149-past-medical-history-0-4.pdf")</f>
        <v>gsii/523149-past-medical-history-0-4.pdf</v>
      </c>
      <c r="E2004">
        <v>120842</v>
      </c>
      <c r="F2004">
        <v>523149</v>
      </c>
      <c r="G2004" t="s">
        <v>306</v>
      </c>
      <c r="H2004" t="s">
        <v>76</v>
      </c>
      <c r="I2004" t="s">
        <v>2795</v>
      </c>
    </row>
    <row r="2005" spans="1:9" x14ac:dyDescent="0.2">
      <c r="A2005" t="s">
        <v>3441</v>
      </c>
      <c r="D2005" t="str">
        <f>HYPERLINK("http://nlpdeep.cs.uic.edu:8080/proofing/t5/523149-past-medical-history-0-5.pdf","t5/523149-past-medical-history-0-5.pdf")</f>
        <v>t5/523149-past-medical-history-0-5.pdf</v>
      </c>
      <c r="E2005">
        <v>120842</v>
      </c>
      <c r="F2005">
        <v>523149</v>
      </c>
      <c r="G2005" t="s">
        <v>306</v>
      </c>
      <c r="H2005" t="s">
        <v>76</v>
      </c>
      <c r="I2005" t="s">
        <v>2797</v>
      </c>
    </row>
    <row r="2006" spans="1:9" x14ac:dyDescent="0.2">
      <c r="A2006" t="s">
        <v>3441</v>
      </c>
      <c r="D2006" t="str">
        <f>HYPERLINK("http://nlpdeep.cs.uic.edu:8080/proofing/gsii/523149-past-medical-history-0-5.pdf","gsii/523149-past-medical-history-0-5.pdf")</f>
        <v>gsii/523149-past-medical-history-0-5.pdf</v>
      </c>
      <c r="E2006">
        <v>120842</v>
      </c>
      <c r="F2006">
        <v>523149</v>
      </c>
      <c r="G2006" t="s">
        <v>306</v>
      </c>
      <c r="H2006" t="s">
        <v>76</v>
      </c>
      <c r="I2006" t="s">
        <v>2797</v>
      </c>
    </row>
    <row r="2007" spans="1:9" x14ac:dyDescent="0.2">
      <c r="A2007" t="s">
        <v>3442</v>
      </c>
      <c r="D2007" t="str">
        <f>HYPERLINK("http://nlpdeep.cs.uic.edu:8080/proofing/t5/523149-social-and-family-history-0-0.pdf","t5/523149-social-and-family-history-0-0.pdf")</f>
        <v>t5/523149-social-and-family-history-0-0.pdf</v>
      </c>
      <c r="E2007">
        <v>120842</v>
      </c>
      <c r="F2007">
        <v>523149</v>
      </c>
      <c r="G2007" t="s">
        <v>306</v>
      </c>
      <c r="H2007" t="s">
        <v>2799</v>
      </c>
      <c r="I2007" t="s">
        <v>2800</v>
      </c>
    </row>
    <row r="2008" spans="1:9" x14ac:dyDescent="0.2">
      <c r="A2008" t="s">
        <v>3442</v>
      </c>
      <c r="D2008" t="str">
        <f>HYPERLINK("http://nlpdeep.cs.uic.edu:8080/proofing/gsii/523149-social-and-family-history-0-0.pdf","gsii/523149-social-and-family-history-0-0.pdf")</f>
        <v>gsii/523149-social-and-family-history-0-0.pdf</v>
      </c>
      <c r="E2008">
        <v>120842</v>
      </c>
      <c r="F2008">
        <v>523149</v>
      </c>
      <c r="G2008" t="s">
        <v>306</v>
      </c>
      <c r="H2008" t="s">
        <v>2799</v>
      </c>
      <c r="I2008" t="s">
        <v>2800</v>
      </c>
    </row>
    <row r="2009" spans="1:9" x14ac:dyDescent="0.2">
      <c r="A2009" t="s">
        <v>3443</v>
      </c>
      <c r="D2009" t="str">
        <f>HYPERLINK("http://nlpdeep.cs.uic.edu:8080/proofing/t5/523149-social-and-family-history-0-1.pdf","t5/523149-social-and-family-history-0-1.pdf")</f>
        <v>t5/523149-social-and-family-history-0-1.pdf</v>
      </c>
      <c r="E2009">
        <v>120842</v>
      </c>
      <c r="F2009">
        <v>523149</v>
      </c>
      <c r="G2009" t="s">
        <v>306</v>
      </c>
      <c r="H2009" t="s">
        <v>2799</v>
      </c>
      <c r="I2009" t="s">
        <v>2802</v>
      </c>
    </row>
    <row r="2010" spans="1:9" x14ac:dyDescent="0.2">
      <c r="A2010" t="s">
        <v>3443</v>
      </c>
      <c r="D2010" t="str">
        <f>HYPERLINK("http://nlpdeep.cs.uic.edu:8080/proofing/gsii/523149-social-and-family-history-0-1.pdf","gsii/523149-social-and-family-history-0-1.pdf")</f>
        <v>gsii/523149-social-and-family-history-0-1.pdf</v>
      </c>
      <c r="E2010">
        <v>120842</v>
      </c>
      <c r="F2010">
        <v>523149</v>
      </c>
      <c r="G2010" t="s">
        <v>306</v>
      </c>
      <c r="H2010" t="s">
        <v>2799</v>
      </c>
      <c r="I2010" t="s">
        <v>2802</v>
      </c>
    </row>
    <row r="2011" spans="1:9" x14ac:dyDescent="0.2">
      <c r="A2011" t="s">
        <v>3444</v>
      </c>
      <c r="D2011" t="str">
        <f>HYPERLINK("http://nlpdeep.cs.uic.edu:8080/proofing/t5/523149-social-and-family-history-0-2.pdf","t5/523149-social-and-family-history-0-2.pdf")</f>
        <v>t5/523149-social-and-family-history-0-2.pdf</v>
      </c>
      <c r="E2011">
        <v>120842</v>
      </c>
      <c r="F2011">
        <v>523149</v>
      </c>
      <c r="G2011" t="s">
        <v>306</v>
      </c>
      <c r="H2011" t="s">
        <v>2799</v>
      </c>
      <c r="I2011" t="s">
        <v>2804</v>
      </c>
    </row>
    <row r="2012" spans="1:9" x14ac:dyDescent="0.2">
      <c r="A2012" t="s">
        <v>3444</v>
      </c>
      <c r="D2012" t="str">
        <f>HYPERLINK("http://nlpdeep.cs.uic.edu:8080/proofing/gsii/523149-social-and-family-history-0-2.pdf","gsii/523149-social-and-family-history-0-2.pdf")</f>
        <v>gsii/523149-social-and-family-history-0-2.pdf</v>
      </c>
      <c r="E2012">
        <v>120842</v>
      </c>
      <c r="F2012">
        <v>523149</v>
      </c>
      <c r="G2012" t="s">
        <v>306</v>
      </c>
      <c r="H2012" t="s">
        <v>2799</v>
      </c>
      <c r="I2012" t="s">
        <v>2804</v>
      </c>
    </row>
    <row r="2013" spans="1:9" x14ac:dyDescent="0.2">
      <c r="A2013" t="s">
        <v>3445</v>
      </c>
      <c r="D2013" t="str">
        <f>HYPERLINK("http://nlpdeep.cs.uic.edu:8080/proofing/t5/523149-social-and-family-history-0-3.pdf","t5/523149-social-and-family-history-0-3.pdf")</f>
        <v>t5/523149-social-and-family-history-0-3.pdf</v>
      </c>
      <c r="E2013">
        <v>120842</v>
      </c>
      <c r="F2013">
        <v>523149</v>
      </c>
      <c r="G2013" t="s">
        <v>306</v>
      </c>
      <c r="H2013" t="s">
        <v>2799</v>
      </c>
      <c r="I2013" t="s">
        <v>2806</v>
      </c>
    </row>
    <row r="2014" spans="1:9" x14ac:dyDescent="0.2">
      <c r="A2014" t="s">
        <v>3445</v>
      </c>
      <c r="D2014" t="str">
        <f>HYPERLINK("http://nlpdeep.cs.uic.edu:8080/proofing/gsii/523149-social-and-family-history-0-3.pdf","gsii/523149-social-and-family-history-0-3.pdf")</f>
        <v>gsii/523149-social-and-family-history-0-3.pdf</v>
      </c>
      <c r="E2014">
        <v>120842</v>
      </c>
      <c r="F2014">
        <v>523149</v>
      </c>
      <c r="G2014" t="s">
        <v>306</v>
      </c>
      <c r="H2014" t="s">
        <v>2799</v>
      </c>
      <c r="I2014" t="s">
        <v>2806</v>
      </c>
    </row>
    <row r="2015" spans="1:9" x14ac:dyDescent="0.2">
      <c r="A2015" t="s">
        <v>3446</v>
      </c>
      <c r="D2015" t="str">
        <f>HYPERLINK("http://nlpdeep.cs.uic.edu:8080/proofing/t5/523149-social-and-family-history-0-4.pdf","t5/523149-social-and-family-history-0-4.pdf")</f>
        <v>t5/523149-social-and-family-history-0-4.pdf</v>
      </c>
      <c r="E2015">
        <v>120842</v>
      </c>
      <c r="F2015">
        <v>523149</v>
      </c>
      <c r="G2015" t="s">
        <v>306</v>
      </c>
      <c r="H2015" t="s">
        <v>2799</v>
      </c>
      <c r="I2015" t="s">
        <v>2808</v>
      </c>
    </row>
    <row r="2016" spans="1:9" x14ac:dyDescent="0.2">
      <c r="A2016" t="s">
        <v>3446</v>
      </c>
      <c r="D2016" t="str">
        <f>HYPERLINK("http://nlpdeep.cs.uic.edu:8080/proofing/gsii/523149-social-and-family-history-0-4.pdf","gsii/523149-social-and-family-history-0-4.pdf")</f>
        <v>gsii/523149-social-and-family-history-0-4.pdf</v>
      </c>
      <c r="E2016">
        <v>120842</v>
      </c>
      <c r="F2016">
        <v>523149</v>
      </c>
      <c r="G2016" t="s">
        <v>306</v>
      </c>
      <c r="H2016" t="s">
        <v>2799</v>
      </c>
      <c r="I2016" t="s">
        <v>2808</v>
      </c>
    </row>
    <row r="2017" spans="1:9" x14ac:dyDescent="0.2">
      <c r="A2017" t="s">
        <v>3447</v>
      </c>
      <c r="D2017" t="str">
        <f>HYPERLINK("http://nlpdeep.cs.uic.edu:8080/proofing/t5/523149-physical-examination-0-0.pdf","t5/523149-physical-examination-0-0.pdf")</f>
        <v>t5/523149-physical-examination-0-0.pdf</v>
      </c>
      <c r="E2017">
        <v>120842</v>
      </c>
      <c r="F2017">
        <v>523149</v>
      </c>
      <c r="G2017" t="s">
        <v>306</v>
      </c>
      <c r="H2017" t="s">
        <v>138</v>
      </c>
      <c r="I2017" t="s">
        <v>2810</v>
      </c>
    </row>
    <row r="2018" spans="1:9" x14ac:dyDescent="0.2">
      <c r="A2018" t="s">
        <v>3447</v>
      </c>
      <c r="D2018" t="str">
        <f>HYPERLINK("http://nlpdeep.cs.uic.edu:8080/proofing/gsii/523149-physical-examination-0-0.pdf","gsii/523149-physical-examination-0-0.pdf")</f>
        <v>gsii/523149-physical-examination-0-0.pdf</v>
      </c>
      <c r="E2018">
        <v>120842</v>
      </c>
      <c r="F2018">
        <v>523149</v>
      </c>
      <c r="G2018" t="s">
        <v>306</v>
      </c>
      <c r="H2018" t="s">
        <v>138</v>
      </c>
      <c r="I2018" t="s">
        <v>2810</v>
      </c>
    </row>
    <row r="2019" spans="1:9" x14ac:dyDescent="0.2">
      <c r="A2019" t="s">
        <v>3448</v>
      </c>
      <c r="D2019" t="str">
        <f>HYPERLINK("http://nlpdeep.cs.uic.edu:8080/proofing/t5/523149-physical-examination-0-1.pdf","t5/523149-physical-examination-0-1.pdf")</f>
        <v>t5/523149-physical-examination-0-1.pdf</v>
      </c>
      <c r="E2019">
        <v>120842</v>
      </c>
      <c r="F2019">
        <v>523149</v>
      </c>
      <c r="G2019" t="s">
        <v>306</v>
      </c>
      <c r="H2019" t="s">
        <v>138</v>
      </c>
      <c r="I2019" t="s">
        <v>2812</v>
      </c>
    </row>
    <row r="2020" spans="1:9" x14ac:dyDescent="0.2">
      <c r="A2020" t="s">
        <v>3448</v>
      </c>
      <c r="D2020" t="str">
        <f>HYPERLINK("http://nlpdeep.cs.uic.edu:8080/proofing/gsii/523149-physical-examination-0-1.pdf","gsii/523149-physical-examination-0-1.pdf")</f>
        <v>gsii/523149-physical-examination-0-1.pdf</v>
      </c>
      <c r="E2020">
        <v>120842</v>
      </c>
      <c r="F2020">
        <v>523149</v>
      </c>
      <c r="G2020" t="s">
        <v>306</v>
      </c>
      <c r="H2020" t="s">
        <v>138</v>
      </c>
      <c r="I2020" t="s">
        <v>2812</v>
      </c>
    </row>
    <row r="2021" spans="1:9" x14ac:dyDescent="0.2">
      <c r="A2021" t="s">
        <v>3449</v>
      </c>
      <c r="D2021" t="str">
        <f>HYPERLINK("http://nlpdeep.cs.uic.edu:8080/proofing/t5/523149-labs-imaging-0-0.pdf","t5/523149-labs-imaging-0-0.pdf")</f>
        <v>t5/523149-labs-imaging-0-0.pdf</v>
      </c>
      <c r="E2021">
        <v>120842</v>
      </c>
      <c r="F2021">
        <v>523149</v>
      </c>
      <c r="G2021" t="s">
        <v>306</v>
      </c>
      <c r="H2021" t="s">
        <v>147</v>
      </c>
      <c r="I2021" t="s">
        <v>2814</v>
      </c>
    </row>
    <row r="2022" spans="1:9" x14ac:dyDescent="0.2">
      <c r="A2022" t="s">
        <v>3449</v>
      </c>
      <c r="D2022" t="str">
        <f>HYPERLINK("http://nlpdeep.cs.uic.edu:8080/proofing/gsii/523149-labs-imaging-0-0.pdf","gsii/523149-labs-imaging-0-0.pdf")</f>
        <v>gsii/523149-labs-imaging-0-0.pdf</v>
      </c>
      <c r="E2022">
        <v>120842</v>
      </c>
      <c r="F2022">
        <v>523149</v>
      </c>
      <c r="G2022" t="s">
        <v>306</v>
      </c>
      <c r="H2022" t="s">
        <v>147</v>
      </c>
      <c r="I2022" t="s">
        <v>2814</v>
      </c>
    </row>
    <row r="2023" spans="1:9" x14ac:dyDescent="0.2">
      <c r="A2023" t="s">
        <v>3450</v>
      </c>
      <c r="D2023" t="str">
        <f>HYPERLINK("http://nlpdeep.cs.uic.edu:8080/proofing/t5/523149-labs-imaging-0-1.pdf","t5/523149-labs-imaging-0-1.pdf")</f>
        <v>t5/523149-labs-imaging-0-1.pdf</v>
      </c>
      <c r="E2023">
        <v>120842</v>
      </c>
      <c r="F2023">
        <v>523149</v>
      </c>
      <c r="G2023" t="s">
        <v>306</v>
      </c>
      <c r="H2023" t="s">
        <v>147</v>
      </c>
      <c r="I2023" t="s">
        <v>2816</v>
      </c>
    </row>
    <row r="2024" spans="1:9" x14ac:dyDescent="0.2">
      <c r="A2024" t="s">
        <v>3450</v>
      </c>
      <c r="D2024" t="str">
        <f>HYPERLINK("http://nlpdeep.cs.uic.edu:8080/proofing/gsii/523149-labs-imaging-0-1.pdf","gsii/523149-labs-imaging-0-1.pdf")</f>
        <v>gsii/523149-labs-imaging-0-1.pdf</v>
      </c>
      <c r="E2024">
        <v>120842</v>
      </c>
      <c r="F2024">
        <v>523149</v>
      </c>
      <c r="G2024" t="s">
        <v>306</v>
      </c>
      <c r="H2024" t="s">
        <v>147</v>
      </c>
      <c r="I2024" t="s">
        <v>2816</v>
      </c>
    </row>
    <row r="2025" spans="1:9" x14ac:dyDescent="0.2">
      <c r="A2025" t="s">
        <v>3451</v>
      </c>
      <c r="D2025" t="str">
        <f>HYPERLINK("http://nlpdeep.cs.uic.edu:8080/proofing/t5/523149-assessment-and-plan-0-0.pdf","t5/523149-assessment-and-plan-0-0.pdf")</f>
        <v>t5/523149-assessment-and-plan-0-0.pdf</v>
      </c>
      <c r="E2025">
        <v>120842</v>
      </c>
      <c r="F2025">
        <v>523149</v>
      </c>
      <c r="G2025" t="s">
        <v>306</v>
      </c>
      <c r="H2025" t="s">
        <v>195</v>
      </c>
      <c r="I2025" t="s">
        <v>2863</v>
      </c>
    </row>
    <row r="2026" spans="1:9" x14ac:dyDescent="0.2">
      <c r="A2026" t="s">
        <v>3451</v>
      </c>
      <c r="D2026" t="str">
        <f>HYPERLINK("http://nlpdeep.cs.uic.edu:8080/proofing/gsii/523149-assessment-and-plan-0-0.pdf","gsii/523149-assessment-and-plan-0-0.pdf")</f>
        <v>gsii/523149-assessment-and-plan-0-0.pdf</v>
      </c>
      <c r="E2026">
        <v>120842</v>
      </c>
      <c r="F2026">
        <v>523149</v>
      </c>
      <c r="G2026" t="s">
        <v>306</v>
      </c>
      <c r="H2026" t="s">
        <v>195</v>
      </c>
      <c r="I2026" t="s">
        <v>2863</v>
      </c>
    </row>
    <row r="2027" spans="1:9" x14ac:dyDescent="0.2">
      <c r="A2027" t="s">
        <v>3452</v>
      </c>
      <c r="D2027" t="str">
        <f>HYPERLINK("http://nlpdeep.cs.uic.edu:8080/proofing/t5/523149-assessment-and-plan-0-1.pdf","t5/523149-assessment-and-plan-0-1.pdf")</f>
        <v>t5/523149-assessment-and-plan-0-1.pdf</v>
      </c>
      <c r="E2027">
        <v>120842</v>
      </c>
      <c r="F2027">
        <v>523149</v>
      </c>
      <c r="G2027" t="s">
        <v>306</v>
      </c>
      <c r="H2027" t="s">
        <v>195</v>
      </c>
      <c r="I2027" t="s">
        <v>2865</v>
      </c>
    </row>
    <row r="2028" spans="1:9" x14ac:dyDescent="0.2">
      <c r="A2028" t="s">
        <v>3452</v>
      </c>
      <c r="D2028" t="str">
        <f>HYPERLINK("http://nlpdeep.cs.uic.edu:8080/proofing/gsii/523149-assessment-and-plan-0-1.pdf","gsii/523149-assessment-and-plan-0-1.pdf")</f>
        <v>gsii/523149-assessment-and-plan-0-1.pdf</v>
      </c>
      <c r="E2028">
        <v>120842</v>
      </c>
      <c r="F2028">
        <v>523149</v>
      </c>
      <c r="G2028" t="s">
        <v>306</v>
      </c>
      <c r="H2028" t="s">
        <v>195</v>
      </c>
      <c r="I2028" t="s">
        <v>2865</v>
      </c>
    </row>
    <row r="2029" spans="1:9" x14ac:dyDescent="0.2">
      <c r="A2029" t="s">
        <v>3453</v>
      </c>
      <c r="D2029" t="str">
        <f>HYPERLINK("http://nlpdeep.cs.uic.edu:8080/proofing/t5/522531-24-hour-events-0-0.pdf","t5/522531-24-hour-events-0-0.pdf")</f>
        <v>t5/522531-24-hour-events-0-0.pdf</v>
      </c>
      <c r="E2029">
        <v>120842</v>
      </c>
      <c r="F2029">
        <v>522531</v>
      </c>
      <c r="G2029" t="s">
        <v>9</v>
      </c>
      <c r="H2029" t="s">
        <v>538</v>
      </c>
      <c r="I2029" t="s">
        <v>3454</v>
      </c>
    </row>
    <row r="2030" spans="1:9" x14ac:dyDescent="0.2">
      <c r="A2030" t="s">
        <v>3453</v>
      </c>
      <c r="D2030" t="str">
        <f>HYPERLINK("http://nlpdeep.cs.uic.edu:8080/proofing/gsii/522531-24-hour-events-0-0.pdf","gsii/522531-24-hour-events-0-0.pdf")</f>
        <v>gsii/522531-24-hour-events-0-0.pdf</v>
      </c>
      <c r="E2030">
        <v>120842</v>
      </c>
      <c r="F2030">
        <v>522531</v>
      </c>
      <c r="G2030" t="s">
        <v>9</v>
      </c>
      <c r="H2030" t="s">
        <v>538</v>
      </c>
      <c r="I2030" t="s">
        <v>3454</v>
      </c>
    </row>
    <row r="2031" spans="1:9" x14ac:dyDescent="0.2">
      <c r="A2031" t="s">
        <v>3455</v>
      </c>
      <c r="D2031" t="str">
        <f>HYPERLINK("http://nlpdeep.cs.uic.edu:8080/proofing/t5/522531-24-hour-events-0-1.pdf","t5/522531-24-hour-events-0-1.pdf")</f>
        <v>t5/522531-24-hour-events-0-1.pdf</v>
      </c>
      <c r="E2031">
        <v>120842</v>
      </c>
      <c r="F2031">
        <v>522531</v>
      </c>
      <c r="G2031" t="s">
        <v>9</v>
      </c>
      <c r="H2031" t="s">
        <v>538</v>
      </c>
      <c r="I2031" t="s">
        <v>3456</v>
      </c>
    </row>
    <row r="2032" spans="1:9" x14ac:dyDescent="0.2">
      <c r="A2032" t="s">
        <v>3455</v>
      </c>
      <c r="D2032" t="str">
        <f>HYPERLINK("http://nlpdeep.cs.uic.edu:8080/proofing/gsii/522531-24-hour-events-0-1.pdf","gsii/522531-24-hour-events-0-1.pdf")</f>
        <v>gsii/522531-24-hour-events-0-1.pdf</v>
      </c>
      <c r="E2032">
        <v>120842</v>
      </c>
      <c r="F2032">
        <v>522531</v>
      </c>
      <c r="G2032" t="s">
        <v>9</v>
      </c>
      <c r="H2032" t="s">
        <v>538</v>
      </c>
      <c r="I2032" t="s">
        <v>3456</v>
      </c>
    </row>
    <row r="2033" spans="1:9" x14ac:dyDescent="0.2">
      <c r="A2033" t="s">
        <v>3457</v>
      </c>
      <c r="D2033" t="str">
        <f>HYPERLINK("http://nlpdeep.cs.uic.edu:8080/proofing/t5/522531-allergies-0-0.pdf","t5/522531-allergies-0-0.pdf")</f>
        <v>t5/522531-allergies-0-0.pdf</v>
      </c>
      <c r="E2033">
        <v>120842</v>
      </c>
      <c r="F2033">
        <v>522531</v>
      </c>
      <c r="G2033" t="s">
        <v>9</v>
      </c>
      <c r="H2033" t="s">
        <v>64</v>
      </c>
      <c r="I2033" t="s">
        <v>3458</v>
      </c>
    </row>
    <row r="2034" spans="1:9" x14ac:dyDescent="0.2">
      <c r="A2034" t="s">
        <v>3457</v>
      </c>
      <c r="D2034" t="str">
        <f>HYPERLINK("http://nlpdeep.cs.uic.edu:8080/proofing/gsii/522531-allergies-0-0.pdf","gsii/522531-allergies-0-0.pdf")</f>
        <v>gsii/522531-allergies-0-0.pdf</v>
      </c>
      <c r="E2034">
        <v>120842</v>
      </c>
      <c r="F2034">
        <v>522531</v>
      </c>
      <c r="G2034" t="s">
        <v>9</v>
      </c>
      <c r="H2034" t="s">
        <v>64</v>
      </c>
      <c r="I2034" t="s">
        <v>3458</v>
      </c>
    </row>
    <row r="2035" spans="1:9" x14ac:dyDescent="0.2">
      <c r="A2035" t="s">
        <v>3459</v>
      </c>
      <c r="D2035" t="str">
        <f>HYPERLINK("http://nlpdeep.cs.uic.edu:8080/proofing/t5/522531-other-medications-0-0.pdf","t5/522531-other-medications-0-0.pdf")</f>
        <v>t5/522531-other-medications-0-0.pdf</v>
      </c>
      <c r="E2035">
        <v>120842</v>
      </c>
      <c r="F2035">
        <v>522531</v>
      </c>
      <c r="G2035" t="s">
        <v>9</v>
      </c>
      <c r="H2035" t="s">
        <v>67</v>
      </c>
      <c r="I2035" t="s">
        <v>3460</v>
      </c>
    </row>
    <row r="2036" spans="1:9" x14ac:dyDescent="0.2">
      <c r="A2036" t="s">
        <v>3459</v>
      </c>
      <c r="D2036" t="str">
        <f>HYPERLINK("http://nlpdeep.cs.uic.edu:8080/proofing/gsii/522531-other-medications-0-0.pdf","gsii/522531-other-medications-0-0.pdf")</f>
        <v>gsii/522531-other-medications-0-0.pdf</v>
      </c>
      <c r="E2036">
        <v>120842</v>
      </c>
      <c r="F2036">
        <v>522531</v>
      </c>
      <c r="G2036" t="s">
        <v>9</v>
      </c>
      <c r="H2036" t="s">
        <v>67</v>
      </c>
      <c r="I2036" t="s">
        <v>3460</v>
      </c>
    </row>
    <row r="2037" spans="1:9" x14ac:dyDescent="0.2">
      <c r="A2037" t="s">
        <v>3461</v>
      </c>
      <c r="D2037" t="str">
        <f>HYPERLINK("http://nlpdeep.cs.uic.edu:8080/proofing/t5/522531-past-medical-history-0-0.pdf","t5/522531-past-medical-history-0-0.pdf")</f>
        <v>t5/522531-past-medical-history-0-0.pdf</v>
      </c>
      <c r="E2037">
        <v>120842</v>
      </c>
      <c r="F2037">
        <v>522531</v>
      </c>
      <c r="G2037" t="s">
        <v>9</v>
      </c>
      <c r="H2037" t="s">
        <v>76</v>
      </c>
      <c r="I2037" t="s">
        <v>3462</v>
      </c>
    </row>
    <row r="2038" spans="1:9" x14ac:dyDescent="0.2">
      <c r="A2038" t="s">
        <v>3461</v>
      </c>
      <c r="D2038" t="str">
        <f>HYPERLINK("http://nlpdeep.cs.uic.edu:8080/proofing/gsii/522531-past-medical-history-0-0.pdf","gsii/522531-past-medical-history-0-0.pdf")</f>
        <v>gsii/522531-past-medical-history-0-0.pdf</v>
      </c>
      <c r="E2038">
        <v>120842</v>
      </c>
      <c r="F2038">
        <v>522531</v>
      </c>
      <c r="G2038" t="s">
        <v>9</v>
      </c>
      <c r="H2038" t="s">
        <v>76</v>
      </c>
      <c r="I2038" t="s">
        <v>3462</v>
      </c>
    </row>
    <row r="2039" spans="1:9" x14ac:dyDescent="0.2">
      <c r="A2039" t="s">
        <v>3463</v>
      </c>
      <c r="D2039" t="str">
        <f>HYPERLINK("http://nlpdeep.cs.uic.edu:8080/proofing/t5/522531-review-of-systems-0-0.pdf","t5/522531-review-of-systems-0-0.pdf")</f>
        <v>t5/522531-review-of-systems-0-0.pdf</v>
      </c>
      <c r="E2039">
        <v>120842</v>
      </c>
      <c r="F2039">
        <v>522531</v>
      </c>
      <c r="G2039" t="s">
        <v>9</v>
      </c>
      <c r="H2039" t="s">
        <v>393</v>
      </c>
      <c r="I2039" t="s">
        <v>3464</v>
      </c>
    </row>
    <row r="2040" spans="1:9" x14ac:dyDescent="0.2">
      <c r="A2040" t="s">
        <v>3463</v>
      </c>
      <c r="D2040" t="str">
        <f>HYPERLINK("http://nlpdeep.cs.uic.edu:8080/proofing/gsii/522531-review-of-systems-0-0.pdf","gsii/522531-review-of-systems-0-0.pdf")</f>
        <v>gsii/522531-review-of-systems-0-0.pdf</v>
      </c>
      <c r="E2040">
        <v>120842</v>
      </c>
      <c r="F2040">
        <v>522531</v>
      </c>
      <c r="G2040" t="s">
        <v>9</v>
      </c>
      <c r="H2040" t="s">
        <v>393</v>
      </c>
      <c r="I2040" t="s">
        <v>3464</v>
      </c>
    </row>
    <row r="2041" spans="1:9" x14ac:dyDescent="0.2">
      <c r="A2041" t="s">
        <v>3465</v>
      </c>
      <c r="D2041" t="str">
        <f>HYPERLINK("http://nlpdeep.cs.uic.edu:8080/proofing/t5/522531-flowsheet-data-vitals-0-0.pdf","t5/522531-flowsheet-data-vitals-0-0.pdf")</f>
        <v>t5/522531-flowsheet-data-vitals-0-0.pdf</v>
      </c>
      <c r="E2041">
        <v>120842</v>
      </c>
      <c r="F2041">
        <v>522531</v>
      </c>
      <c r="G2041" t="s">
        <v>9</v>
      </c>
      <c r="H2041" t="s">
        <v>135</v>
      </c>
      <c r="I2041" t="s">
        <v>3466</v>
      </c>
    </row>
    <row r="2042" spans="1:9" x14ac:dyDescent="0.2">
      <c r="A2042" t="s">
        <v>3465</v>
      </c>
      <c r="D2042" t="str">
        <f>HYPERLINK("http://nlpdeep.cs.uic.edu:8080/proofing/gsii/522531-flowsheet-data-vitals-0-0.pdf","gsii/522531-flowsheet-data-vitals-0-0.pdf")</f>
        <v>gsii/522531-flowsheet-data-vitals-0-0.pdf</v>
      </c>
      <c r="E2042">
        <v>120842</v>
      </c>
      <c r="F2042">
        <v>522531</v>
      </c>
      <c r="G2042" t="s">
        <v>9</v>
      </c>
      <c r="H2042" t="s">
        <v>135</v>
      </c>
      <c r="I2042" t="s">
        <v>3466</v>
      </c>
    </row>
    <row r="2043" spans="1:9" x14ac:dyDescent="0.2">
      <c r="A2043" t="s">
        <v>3467</v>
      </c>
      <c r="D2043" t="str">
        <f>HYPERLINK("http://nlpdeep.cs.uic.edu:8080/proofing/t5/522531-physical-examination-0-0.pdf","t5/522531-physical-examination-0-0.pdf")</f>
        <v>t5/522531-physical-examination-0-0.pdf</v>
      </c>
      <c r="E2043">
        <v>120842</v>
      </c>
      <c r="F2043">
        <v>522531</v>
      </c>
      <c r="G2043" t="s">
        <v>9</v>
      </c>
      <c r="H2043" t="s">
        <v>138</v>
      </c>
      <c r="I2043" t="s">
        <v>3468</v>
      </c>
    </row>
    <row r="2044" spans="1:9" x14ac:dyDescent="0.2">
      <c r="A2044" t="s">
        <v>3467</v>
      </c>
      <c r="D2044" t="str">
        <f>HYPERLINK("http://nlpdeep.cs.uic.edu:8080/proofing/gsii/522531-physical-examination-0-0.pdf","gsii/522531-physical-examination-0-0.pdf")</f>
        <v>gsii/522531-physical-examination-0-0.pdf</v>
      </c>
      <c r="E2044">
        <v>120842</v>
      </c>
      <c r="F2044">
        <v>522531</v>
      </c>
      <c r="G2044" t="s">
        <v>9</v>
      </c>
      <c r="H2044" t="s">
        <v>138</v>
      </c>
      <c r="I2044" t="s">
        <v>3468</v>
      </c>
    </row>
    <row r="2045" spans="1:9" x14ac:dyDescent="0.2">
      <c r="A2045" t="s">
        <v>3469</v>
      </c>
      <c r="D2045" t="str">
        <f>HYPERLINK("http://nlpdeep.cs.uic.edu:8080/proofing/t5/522531-labs-imaging-0-0.pdf","t5/522531-labs-imaging-0-0.pdf")</f>
        <v>t5/522531-labs-imaging-0-0.pdf</v>
      </c>
      <c r="E2045">
        <v>120842</v>
      </c>
      <c r="F2045">
        <v>522531</v>
      </c>
      <c r="G2045" t="s">
        <v>9</v>
      </c>
      <c r="H2045" t="s">
        <v>147</v>
      </c>
      <c r="I2045" t="s">
        <v>3470</v>
      </c>
    </row>
    <row r="2046" spans="1:9" x14ac:dyDescent="0.2">
      <c r="A2046" t="s">
        <v>3469</v>
      </c>
      <c r="D2046" t="str">
        <f>HYPERLINK("http://nlpdeep.cs.uic.edu:8080/proofing/gsii/522531-labs-imaging-0-0.pdf","gsii/522531-labs-imaging-0-0.pdf")</f>
        <v>gsii/522531-labs-imaging-0-0.pdf</v>
      </c>
      <c r="E2046">
        <v>120842</v>
      </c>
      <c r="F2046">
        <v>522531</v>
      </c>
      <c r="G2046" t="s">
        <v>9</v>
      </c>
      <c r="H2046" t="s">
        <v>147</v>
      </c>
      <c r="I2046" t="s">
        <v>3470</v>
      </c>
    </row>
    <row r="2047" spans="1:9" x14ac:dyDescent="0.2">
      <c r="A2047" t="s">
        <v>3471</v>
      </c>
      <c r="D2047" t="str">
        <f>HYPERLINK("http://nlpdeep.cs.uic.edu:8080/proofing/t5/522531-labs-imaging-0-1.pdf","t5/522531-labs-imaging-0-1.pdf")</f>
        <v>t5/522531-labs-imaging-0-1.pdf</v>
      </c>
      <c r="E2047">
        <v>120842</v>
      </c>
      <c r="F2047">
        <v>522531</v>
      </c>
      <c r="G2047" t="s">
        <v>9</v>
      </c>
      <c r="H2047" t="s">
        <v>147</v>
      </c>
      <c r="I2047" t="s">
        <v>3472</v>
      </c>
    </row>
    <row r="2048" spans="1:9" x14ac:dyDescent="0.2">
      <c r="A2048" t="s">
        <v>3471</v>
      </c>
      <c r="D2048" t="str">
        <f>HYPERLINK("http://nlpdeep.cs.uic.edu:8080/proofing/gsii/522531-labs-imaging-0-1.pdf","gsii/522531-labs-imaging-0-1.pdf")</f>
        <v>gsii/522531-labs-imaging-0-1.pdf</v>
      </c>
      <c r="E2048">
        <v>120842</v>
      </c>
      <c r="F2048">
        <v>522531</v>
      </c>
      <c r="G2048" t="s">
        <v>9</v>
      </c>
      <c r="H2048" t="s">
        <v>147</v>
      </c>
      <c r="I2048" t="s">
        <v>3472</v>
      </c>
    </row>
    <row r="2049" spans="1:9" x14ac:dyDescent="0.2">
      <c r="A2049" t="s">
        <v>3473</v>
      </c>
      <c r="D2049" t="str">
        <f>HYPERLINK("http://nlpdeep.cs.uic.edu:8080/proofing/t5/522531-labs-imaging-0-2.pdf","t5/522531-labs-imaging-0-2.pdf")</f>
        <v>t5/522531-labs-imaging-0-2.pdf</v>
      </c>
      <c r="E2049">
        <v>120842</v>
      </c>
      <c r="F2049">
        <v>522531</v>
      </c>
      <c r="G2049" t="s">
        <v>9</v>
      </c>
      <c r="H2049" t="s">
        <v>147</v>
      </c>
      <c r="I2049" t="s">
        <v>3474</v>
      </c>
    </row>
    <row r="2050" spans="1:9" x14ac:dyDescent="0.2">
      <c r="A2050" t="s">
        <v>3473</v>
      </c>
      <c r="D2050" t="str">
        <f>HYPERLINK("http://nlpdeep.cs.uic.edu:8080/proofing/gsii/522531-labs-imaging-0-2.pdf","gsii/522531-labs-imaging-0-2.pdf")</f>
        <v>gsii/522531-labs-imaging-0-2.pdf</v>
      </c>
      <c r="E2050">
        <v>120842</v>
      </c>
      <c r="F2050">
        <v>522531</v>
      </c>
      <c r="G2050" t="s">
        <v>9</v>
      </c>
      <c r="H2050" t="s">
        <v>147</v>
      </c>
      <c r="I2050" t="s">
        <v>3474</v>
      </c>
    </row>
    <row r="2051" spans="1:9" x14ac:dyDescent="0.2">
      <c r="A2051" t="s">
        <v>3475</v>
      </c>
      <c r="D2051" t="str">
        <f>HYPERLINK("http://nlpdeep.cs.uic.edu:8080/proofing/t5/522531-labs-imaging-0-3.pdf","t5/522531-labs-imaging-0-3.pdf")</f>
        <v>t5/522531-labs-imaging-0-3.pdf</v>
      </c>
      <c r="E2051">
        <v>120842</v>
      </c>
      <c r="F2051">
        <v>522531</v>
      </c>
      <c r="G2051" t="s">
        <v>9</v>
      </c>
      <c r="H2051" t="s">
        <v>147</v>
      </c>
      <c r="I2051" t="s">
        <v>3476</v>
      </c>
    </row>
    <row r="2052" spans="1:9" x14ac:dyDescent="0.2">
      <c r="A2052" t="s">
        <v>3475</v>
      </c>
      <c r="D2052" t="str">
        <f>HYPERLINK("http://nlpdeep.cs.uic.edu:8080/proofing/gsii/522531-labs-imaging-0-3.pdf","gsii/522531-labs-imaging-0-3.pdf")</f>
        <v>gsii/522531-labs-imaging-0-3.pdf</v>
      </c>
      <c r="E2052">
        <v>120842</v>
      </c>
      <c r="F2052">
        <v>522531</v>
      </c>
      <c r="G2052" t="s">
        <v>9</v>
      </c>
      <c r="H2052" t="s">
        <v>147</v>
      </c>
      <c r="I2052" t="s">
        <v>3476</v>
      </c>
    </row>
    <row r="2053" spans="1:9" x14ac:dyDescent="0.2">
      <c r="A2053" t="s">
        <v>3477</v>
      </c>
      <c r="D2053" t="str">
        <f>HYPERLINK("http://nlpdeep.cs.uic.edu:8080/proofing/t5/522531-labs-imaging-0-4.pdf","t5/522531-labs-imaging-0-4.pdf")</f>
        <v>t5/522531-labs-imaging-0-4.pdf</v>
      </c>
      <c r="E2053">
        <v>120842</v>
      </c>
      <c r="F2053">
        <v>522531</v>
      </c>
      <c r="G2053" t="s">
        <v>9</v>
      </c>
      <c r="H2053" t="s">
        <v>147</v>
      </c>
      <c r="I2053" t="s">
        <v>3478</v>
      </c>
    </row>
    <row r="2054" spans="1:9" x14ac:dyDescent="0.2">
      <c r="A2054" t="s">
        <v>3477</v>
      </c>
      <c r="D2054" t="str">
        <f>HYPERLINK("http://nlpdeep.cs.uic.edu:8080/proofing/gsii/522531-labs-imaging-0-4.pdf","gsii/522531-labs-imaging-0-4.pdf")</f>
        <v>gsii/522531-labs-imaging-0-4.pdf</v>
      </c>
      <c r="E2054">
        <v>120842</v>
      </c>
      <c r="F2054">
        <v>522531</v>
      </c>
      <c r="G2054" t="s">
        <v>9</v>
      </c>
      <c r="H2054" t="s">
        <v>147</v>
      </c>
      <c r="I2054" t="s">
        <v>3478</v>
      </c>
    </row>
    <row r="2055" spans="1:9" x14ac:dyDescent="0.2">
      <c r="A2055" t="s">
        <v>3479</v>
      </c>
      <c r="D2055" t="str">
        <f>HYPERLINK("http://nlpdeep.cs.uic.edu:8080/proofing/t5/522531-assessment-and-plan-0-0.pdf","t5/522531-assessment-and-plan-0-0.pdf")</f>
        <v>t5/522531-assessment-and-plan-0-0.pdf</v>
      </c>
      <c r="E2055">
        <v>120842</v>
      </c>
      <c r="F2055">
        <v>522531</v>
      </c>
      <c r="G2055" t="s">
        <v>9</v>
      </c>
      <c r="H2055" t="s">
        <v>195</v>
      </c>
      <c r="I2055" t="s">
        <v>3480</v>
      </c>
    </row>
    <row r="2056" spans="1:9" x14ac:dyDescent="0.2">
      <c r="A2056" t="s">
        <v>3479</v>
      </c>
      <c r="D2056" t="str">
        <f>HYPERLINK("http://nlpdeep.cs.uic.edu:8080/proofing/gsii/522531-assessment-and-plan-0-0.pdf","gsii/522531-assessment-and-plan-0-0.pdf")</f>
        <v>gsii/522531-assessment-and-plan-0-0.pdf</v>
      </c>
      <c r="E2056">
        <v>120842</v>
      </c>
      <c r="F2056">
        <v>522531</v>
      </c>
      <c r="G2056" t="s">
        <v>9</v>
      </c>
      <c r="H2056" t="s">
        <v>195</v>
      </c>
      <c r="I2056" t="s">
        <v>3480</v>
      </c>
    </row>
    <row r="2057" spans="1:9" x14ac:dyDescent="0.2">
      <c r="A2057" t="s">
        <v>3481</v>
      </c>
      <c r="D2057" t="str">
        <f>HYPERLINK("http://nlpdeep.cs.uic.edu:8080/proofing/t5/522531-assessment-and-plan-1-0.pdf","t5/522531-assessment-and-plan-1-0.pdf")</f>
        <v>t5/522531-assessment-and-plan-1-0.pdf</v>
      </c>
      <c r="E2057">
        <v>120842</v>
      </c>
      <c r="F2057">
        <v>522531</v>
      </c>
      <c r="G2057" t="s">
        <v>9</v>
      </c>
      <c r="H2057" t="s">
        <v>195</v>
      </c>
      <c r="I2057" t="s">
        <v>3482</v>
      </c>
    </row>
    <row r="2058" spans="1:9" x14ac:dyDescent="0.2">
      <c r="A2058" t="s">
        <v>3481</v>
      </c>
      <c r="D2058" t="str">
        <f>HYPERLINK("http://nlpdeep.cs.uic.edu:8080/proofing/gsii/522531-assessment-and-plan-1-0.pdf","gsii/522531-assessment-and-plan-1-0.pdf")</f>
        <v>gsii/522531-assessment-and-plan-1-0.pdf</v>
      </c>
      <c r="E2058">
        <v>120842</v>
      </c>
      <c r="F2058">
        <v>522531</v>
      </c>
      <c r="G2058" t="s">
        <v>9</v>
      </c>
      <c r="H2058" t="s">
        <v>195</v>
      </c>
      <c r="I2058" t="s">
        <v>3482</v>
      </c>
    </row>
    <row r="2059" spans="1:9" x14ac:dyDescent="0.2">
      <c r="A2059" t="s">
        <v>3483</v>
      </c>
      <c r="D2059" t="str">
        <f>HYPERLINK("http://nlpdeep.cs.uic.edu:8080/proofing/t5/522531-assessment-and-plan-1-1.pdf","t5/522531-assessment-and-plan-1-1.pdf")</f>
        <v>t5/522531-assessment-and-plan-1-1.pdf</v>
      </c>
      <c r="E2059">
        <v>120842</v>
      </c>
      <c r="F2059">
        <v>522531</v>
      </c>
      <c r="G2059" t="s">
        <v>9</v>
      </c>
      <c r="H2059" t="s">
        <v>195</v>
      </c>
      <c r="I2059" t="s">
        <v>3484</v>
      </c>
    </row>
    <row r="2060" spans="1:9" x14ac:dyDescent="0.2">
      <c r="A2060" t="s">
        <v>3483</v>
      </c>
      <c r="D2060" t="str">
        <f>HYPERLINK("http://nlpdeep.cs.uic.edu:8080/proofing/gsii/522531-assessment-and-plan-1-1.pdf","gsii/522531-assessment-and-plan-1-1.pdf")</f>
        <v>gsii/522531-assessment-and-plan-1-1.pdf</v>
      </c>
      <c r="E2060">
        <v>120842</v>
      </c>
      <c r="F2060">
        <v>522531</v>
      </c>
      <c r="G2060" t="s">
        <v>9</v>
      </c>
      <c r="H2060" t="s">
        <v>195</v>
      </c>
      <c r="I2060" t="s">
        <v>3484</v>
      </c>
    </row>
    <row r="2061" spans="1:9" x14ac:dyDescent="0.2">
      <c r="A2061" t="s">
        <v>3485</v>
      </c>
      <c r="D2061" t="str">
        <f>HYPERLINK("http://nlpdeep.cs.uic.edu:8080/proofing/t5/522531-assessment-and-plan-1-2.pdf","t5/522531-assessment-and-plan-1-2.pdf")</f>
        <v>t5/522531-assessment-and-plan-1-2.pdf</v>
      </c>
      <c r="E2061">
        <v>120842</v>
      </c>
      <c r="F2061">
        <v>522531</v>
      </c>
      <c r="G2061" t="s">
        <v>9</v>
      </c>
      <c r="H2061" t="s">
        <v>195</v>
      </c>
      <c r="I2061" t="s">
        <v>3486</v>
      </c>
    </row>
    <row r="2062" spans="1:9" x14ac:dyDescent="0.2">
      <c r="A2062" t="s">
        <v>3485</v>
      </c>
      <c r="D2062" t="str">
        <f>HYPERLINK("http://nlpdeep.cs.uic.edu:8080/proofing/gsii/522531-assessment-and-plan-1-2.pdf","gsii/522531-assessment-and-plan-1-2.pdf")</f>
        <v>gsii/522531-assessment-and-plan-1-2.pdf</v>
      </c>
      <c r="E2062">
        <v>120842</v>
      </c>
      <c r="F2062">
        <v>522531</v>
      </c>
      <c r="G2062" t="s">
        <v>9</v>
      </c>
      <c r="H2062" t="s">
        <v>195</v>
      </c>
      <c r="I2062" t="s">
        <v>3486</v>
      </c>
    </row>
    <row r="2063" spans="1:9" x14ac:dyDescent="0.2">
      <c r="A2063" t="s">
        <v>3487</v>
      </c>
      <c r="D2063" t="str">
        <f>HYPERLINK("http://nlpdeep.cs.uic.edu:8080/proofing/t5/522531-assessment-and-plan-1-3.pdf","t5/522531-assessment-and-plan-1-3.pdf")</f>
        <v>t5/522531-assessment-and-plan-1-3.pdf</v>
      </c>
      <c r="E2063">
        <v>120842</v>
      </c>
      <c r="F2063">
        <v>522531</v>
      </c>
      <c r="G2063" t="s">
        <v>9</v>
      </c>
      <c r="H2063" t="s">
        <v>195</v>
      </c>
      <c r="I2063" t="s">
        <v>3488</v>
      </c>
    </row>
    <row r="2064" spans="1:9" x14ac:dyDescent="0.2">
      <c r="A2064" t="s">
        <v>3487</v>
      </c>
      <c r="D2064" t="str">
        <f>HYPERLINK("http://nlpdeep.cs.uic.edu:8080/proofing/gsii/522531-assessment-and-plan-1-3.pdf","gsii/522531-assessment-and-plan-1-3.pdf")</f>
        <v>gsii/522531-assessment-and-plan-1-3.pdf</v>
      </c>
      <c r="E2064">
        <v>120842</v>
      </c>
      <c r="F2064">
        <v>522531</v>
      </c>
      <c r="G2064" t="s">
        <v>9</v>
      </c>
      <c r="H2064" t="s">
        <v>195</v>
      </c>
      <c r="I2064" t="s">
        <v>3488</v>
      </c>
    </row>
    <row r="2065" spans="1:9" x14ac:dyDescent="0.2">
      <c r="A2065" t="s">
        <v>3489</v>
      </c>
      <c r="D2065" t="str">
        <f>HYPERLINK("http://nlpdeep.cs.uic.edu:8080/proofing/t5/522531-assessment-and-plan-1-4.pdf","t5/522531-assessment-and-plan-1-4.pdf")</f>
        <v>t5/522531-assessment-and-plan-1-4.pdf</v>
      </c>
      <c r="E2065">
        <v>120842</v>
      </c>
      <c r="F2065">
        <v>522531</v>
      </c>
      <c r="G2065" t="s">
        <v>9</v>
      </c>
      <c r="H2065" t="s">
        <v>195</v>
      </c>
      <c r="I2065" t="s">
        <v>3490</v>
      </c>
    </row>
    <row r="2066" spans="1:9" x14ac:dyDescent="0.2">
      <c r="A2066" t="s">
        <v>3489</v>
      </c>
      <c r="D2066" t="str">
        <f>HYPERLINK("http://nlpdeep.cs.uic.edu:8080/proofing/gsii/522531-assessment-and-plan-1-4.pdf","gsii/522531-assessment-and-plan-1-4.pdf")</f>
        <v>gsii/522531-assessment-and-plan-1-4.pdf</v>
      </c>
      <c r="E2066">
        <v>120842</v>
      </c>
      <c r="F2066">
        <v>522531</v>
      </c>
      <c r="G2066" t="s">
        <v>9</v>
      </c>
      <c r="H2066" t="s">
        <v>195</v>
      </c>
      <c r="I2066" t="s">
        <v>3490</v>
      </c>
    </row>
    <row r="2067" spans="1:9" x14ac:dyDescent="0.2">
      <c r="A2067" t="s">
        <v>3491</v>
      </c>
      <c r="D2067" t="str">
        <f>HYPERLINK("http://nlpdeep.cs.uic.edu:8080/proofing/t5/522531-assessment-and-plan-1-5.pdf","t5/522531-assessment-and-plan-1-5.pdf")</f>
        <v>t5/522531-assessment-and-plan-1-5.pdf</v>
      </c>
      <c r="E2067">
        <v>120842</v>
      </c>
      <c r="F2067">
        <v>522531</v>
      </c>
      <c r="G2067" t="s">
        <v>9</v>
      </c>
      <c r="H2067" t="s">
        <v>195</v>
      </c>
      <c r="I2067" t="s">
        <v>3492</v>
      </c>
    </row>
    <row r="2068" spans="1:9" x14ac:dyDescent="0.2">
      <c r="A2068" t="s">
        <v>3491</v>
      </c>
      <c r="D2068" t="str">
        <f>HYPERLINK("http://nlpdeep.cs.uic.edu:8080/proofing/gsii/522531-assessment-and-plan-1-5.pdf","gsii/522531-assessment-and-plan-1-5.pdf")</f>
        <v>gsii/522531-assessment-and-plan-1-5.pdf</v>
      </c>
      <c r="E2068">
        <v>120842</v>
      </c>
      <c r="F2068">
        <v>522531</v>
      </c>
      <c r="G2068" t="s">
        <v>9</v>
      </c>
      <c r="H2068" t="s">
        <v>195</v>
      </c>
      <c r="I2068" t="s">
        <v>3492</v>
      </c>
    </row>
    <row r="2069" spans="1:9" x14ac:dyDescent="0.2">
      <c r="A2069" t="s">
        <v>3493</v>
      </c>
      <c r="D2069" t="str">
        <f>HYPERLINK("http://nlpdeep.cs.uic.edu:8080/proofing/t5/522531-assessment-and-plan-1-6.pdf","t5/522531-assessment-and-plan-1-6.pdf")</f>
        <v>t5/522531-assessment-and-plan-1-6.pdf</v>
      </c>
      <c r="E2069">
        <v>120842</v>
      </c>
      <c r="F2069">
        <v>522531</v>
      </c>
      <c r="G2069" t="s">
        <v>9</v>
      </c>
      <c r="H2069" t="s">
        <v>195</v>
      </c>
      <c r="I2069" t="s">
        <v>3494</v>
      </c>
    </row>
    <row r="2070" spans="1:9" x14ac:dyDescent="0.2">
      <c r="A2070" t="s">
        <v>3493</v>
      </c>
      <c r="D2070" t="str">
        <f>HYPERLINK("http://nlpdeep.cs.uic.edu:8080/proofing/gsii/522531-assessment-and-plan-1-6.pdf","gsii/522531-assessment-and-plan-1-6.pdf")</f>
        <v>gsii/522531-assessment-and-plan-1-6.pdf</v>
      </c>
      <c r="E2070">
        <v>120842</v>
      </c>
      <c r="F2070">
        <v>522531</v>
      </c>
      <c r="G2070" t="s">
        <v>9</v>
      </c>
      <c r="H2070" t="s">
        <v>195</v>
      </c>
      <c r="I2070" t="s">
        <v>3494</v>
      </c>
    </row>
    <row r="2071" spans="1:9" x14ac:dyDescent="0.2">
      <c r="A2071" t="s">
        <v>3495</v>
      </c>
      <c r="D2071" t="str">
        <f>HYPERLINK("http://nlpdeep.cs.uic.edu:8080/proofing/t5/522531-assessment-and-plan-1-7.pdf","t5/522531-assessment-and-plan-1-7.pdf")</f>
        <v>t5/522531-assessment-and-plan-1-7.pdf</v>
      </c>
      <c r="E2071">
        <v>120842</v>
      </c>
      <c r="F2071">
        <v>522531</v>
      </c>
      <c r="G2071" t="s">
        <v>9</v>
      </c>
      <c r="H2071" t="s">
        <v>195</v>
      </c>
      <c r="I2071" t="s">
        <v>3496</v>
      </c>
    </row>
    <row r="2072" spans="1:9" x14ac:dyDescent="0.2">
      <c r="A2072" t="s">
        <v>3495</v>
      </c>
      <c r="D2072" t="str">
        <f>HYPERLINK("http://nlpdeep.cs.uic.edu:8080/proofing/gsii/522531-assessment-and-plan-1-7.pdf","gsii/522531-assessment-and-plan-1-7.pdf")</f>
        <v>gsii/522531-assessment-and-plan-1-7.pdf</v>
      </c>
      <c r="E2072">
        <v>120842</v>
      </c>
      <c r="F2072">
        <v>522531</v>
      </c>
      <c r="G2072" t="s">
        <v>9</v>
      </c>
      <c r="H2072" t="s">
        <v>195</v>
      </c>
      <c r="I2072" t="s">
        <v>3496</v>
      </c>
    </row>
    <row r="2073" spans="1:9" x14ac:dyDescent="0.2">
      <c r="A2073" t="s">
        <v>3497</v>
      </c>
      <c r="D2073" t="str">
        <f>HYPERLINK("http://nlpdeep.cs.uic.edu:8080/proofing/t5/522531-assessment-and-plan-1-8.pdf","t5/522531-assessment-and-plan-1-8.pdf")</f>
        <v>t5/522531-assessment-and-plan-1-8.pdf</v>
      </c>
      <c r="E2073">
        <v>120842</v>
      </c>
      <c r="F2073">
        <v>522531</v>
      </c>
      <c r="G2073" t="s">
        <v>9</v>
      </c>
      <c r="H2073" t="s">
        <v>195</v>
      </c>
      <c r="I2073" t="s">
        <v>3498</v>
      </c>
    </row>
    <row r="2074" spans="1:9" x14ac:dyDescent="0.2">
      <c r="A2074" t="s">
        <v>3497</v>
      </c>
      <c r="D2074" t="str">
        <f>HYPERLINK("http://nlpdeep.cs.uic.edu:8080/proofing/gsii/522531-assessment-and-plan-1-8.pdf","gsii/522531-assessment-and-plan-1-8.pdf")</f>
        <v>gsii/522531-assessment-and-plan-1-8.pdf</v>
      </c>
      <c r="E2074">
        <v>120842</v>
      </c>
      <c r="F2074">
        <v>522531</v>
      </c>
      <c r="G2074" t="s">
        <v>9</v>
      </c>
      <c r="H2074" t="s">
        <v>195</v>
      </c>
      <c r="I2074" t="s">
        <v>3498</v>
      </c>
    </row>
    <row r="2075" spans="1:9" x14ac:dyDescent="0.2">
      <c r="A2075" t="s">
        <v>3499</v>
      </c>
      <c r="D2075" t="str">
        <f>HYPERLINK("http://nlpdeep.cs.uic.edu:8080/proofing/t5/522531-assessment-and-plan-1-9.pdf","t5/522531-assessment-and-plan-1-9.pdf")</f>
        <v>t5/522531-assessment-and-plan-1-9.pdf</v>
      </c>
      <c r="E2075">
        <v>120842</v>
      </c>
      <c r="F2075">
        <v>522531</v>
      </c>
      <c r="G2075" t="s">
        <v>9</v>
      </c>
      <c r="H2075" t="s">
        <v>195</v>
      </c>
      <c r="I2075" t="s">
        <v>3500</v>
      </c>
    </row>
    <row r="2076" spans="1:9" x14ac:dyDescent="0.2">
      <c r="A2076" t="s">
        <v>3499</v>
      </c>
      <c r="D2076" t="str">
        <f>HYPERLINK("http://nlpdeep.cs.uic.edu:8080/proofing/gsii/522531-assessment-and-plan-1-9.pdf","gsii/522531-assessment-and-plan-1-9.pdf")</f>
        <v>gsii/522531-assessment-and-plan-1-9.pdf</v>
      </c>
      <c r="E2076">
        <v>120842</v>
      </c>
      <c r="F2076">
        <v>522531</v>
      </c>
      <c r="G2076" t="s">
        <v>9</v>
      </c>
      <c r="H2076" t="s">
        <v>195</v>
      </c>
      <c r="I2076" t="s">
        <v>3500</v>
      </c>
    </row>
    <row r="2077" spans="1:9" x14ac:dyDescent="0.2">
      <c r="A2077" t="s">
        <v>3501</v>
      </c>
      <c r="D2077" t="str">
        <f>HYPERLINK("http://nlpdeep.cs.uic.edu:8080/proofing/t5/522531-assessment-and-plan-1-10.pdf","t5/522531-assessment-and-plan-1-10.pdf")</f>
        <v>t5/522531-assessment-and-plan-1-10.pdf</v>
      </c>
      <c r="E2077">
        <v>120842</v>
      </c>
      <c r="F2077">
        <v>522531</v>
      </c>
      <c r="G2077" t="s">
        <v>9</v>
      </c>
      <c r="H2077" t="s">
        <v>195</v>
      </c>
    </row>
    <row r="2078" spans="1:9" x14ac:dyDescent="0.2">
      <c r="A2078" t="s">
        <v>3501</v>
      </c>
      <c r="D2078" t="str">
        <f>HYPERLINK("http://nlpdeep.cs.uic.edu:8080/proofing/gsii/522531-assessment-and-plan-1-10.pdf","gsii/522531-assessment-and-plan-1-10.pdf")</f>
        <v>gsii/522531-assessment-and-plan-1-10.pdf</v>
      </c>
      <c r="E2078">
        <v>120842</v>
      </c>
      <c r="F2078">
        <v>522531</v>
      </c>
      <c r="G2078" t="s">
        <v>9</v>
      </c>
      <c r="H2078" t="s">
        <v>195</v>
      </c>
    </row>
    <row r="2079" spans="1:9" x14ac:dyDescent="0.2">
      <c r="A2079" t="s">
        <v>3502</v>
      </c>
      <c r="D2079" t="str">
        <f>HYPERLINK("http://nlpdeep.cs.uic.edu:8080/proofing/t5/522531-assessment-and-plan-2-0.pdf","t5/522531-assessment-and-plan-2-0.pdf")</f>
        <v>t5/522531-assessment-and-plan-2-0.pdf</v>
      </c>
      <c r="E2079">
        <v>120842</v>
      </c>
      <c r="F2079">
        <v>522531</v>
      </c>
      <c r="G2079" t="s">
        <v>9</v>
      </c>
      <c r="H2079" t="s">
        <v>195</v>
      </c>
      <c r="I2079" t="s">
        <v>3503</v>
      </c>
    </row>
    <row r="2080" spans="1:9" x14ac:dyDescent="0.2">
      <c r="A2080" t="s">
        <v>3502</v>
      </c>
      <c r="D2080" t="str">
        <f>HYPERLINK("http://nlpdeep.cs.uic.edu:8080/proofing/gsii/522531-assessment-and-plan-2-0.pdf","gsii/522531-assessment-and-plan-2-0.pdf")</f>
        <v>gsii/522531-assessment-and-plan-2-0.pdf</v>
      </c>
      <c r="E2080">
        <v>120842</v>
      </c>
      <c r="F2080">
        <v>522531</v>
      </c>
      <c r="G2080" t="s">
        <v>9</v>
      </c>
      <c r="H2080" t="s">
        <v>195</v>
      </c>
      <c r="I2080" t="s">
        <v>3503</v>
      </c>
    </row>
    <row r="2081" spans="1:9" x14ac:dyDescent="0.2">
      <c r="A2081" t="s">
        <v>3504</v>
      </c>
      <c r="D2081" t="str">
        <f>HYPERLINK("http://nlpdeep.cs.uic.edu:8080/proofing/t5/522531-assessment-and-plan-2-1.pdf","t5/522531-assessment-and-plan-2-1.pdf")</f>
        <v>t5/522531-assessment-and-plan-2-1.pdf</v>
      </c>
      <c r="E2081">
        <v>120842</v>
      </c>
      <c r="F2081">
        <v>522531</v>
      </c>
      <c r="G2081" t="s">
        <v>9</v>
      </c>
      <c r="H2081" t="s">
        <v>195</v>
      </c>
      <c r="I2081" t="s">
        <v>3505</v>
      </c>
    </row>
    <row r="2082" spans="1:9" x14ac:dyDescent="0.2">
      <c r="A2082" t="s">
        <v>3504</v>
      </c>
      <c r="D2082" t="str">
        <f>HYPERLINK("http://nlpdeep.cs.uic.edu:8080/proofing/gsii/522531-assessment-and-plan-2-1.pdf","gsii/522531-assessment-and-plan-2-1.pdf")</f>
        <v>gsii/522531-assessment-and-plan-2-1.pdf</v>
      </c>
      <c r="E2082">
        <v>120842</v>
      </c>
      <c r="F2082">
        <v>522531</v>
      </c>
      <c r="G2082" t="s">
        <v>9</v>
      </c>
      <c r="H2082" t="s">
        <v>195</v>
      </c>
      <c r="I2082" t="s">
        <v>3505</v>
      </c>
    </row>
    <row r="2083" spans="1:9" x14ac:dyDescent="0.2">
      <c r="A2083" t="s">
        <v>3506</v>
      </c>
      <c r="D2083" t="str">
        <f>HYPERLINK("http://nlpdeep.cs.uic.edu:8080/proofing/t5/522531-assessment-and-plan-2-2.pdf","t5/522531-assessment-and-plan-2-2.pdf")</f>
        <v>t5/522531-assessment-and-plan-2-2.pdf</v>
      </c>
      <c r="E2083">
        <v>120842</v>
      </c>
      <c r="F2083">
        <v>522531</v>
      </c>
      <c r="G2083" t="s">
        <v>9</v>
      </c>
      <c r="H2083" t="s">
        <v>195</v>
      </c>
      <c r="I2083" t="s">
        <v>3507</v>
      </c>
    </row>
    <row r="2084" spans="1:9" x14ac:dyDescent="0.2">
      <c r="A2084" t="s">
        <v>3506</v>
      </c>
      <c r="D2084" t="str">
        <f>HYPERLINK("http://nlpdeep.cs.uic.edu:8080/proofing/gsii/522531-assessment-and-plan-2-2.pdf","gsii/522531-assessment-and-plan-2-2.pdf")</f>
        <v>gsii/522531-assessment-and-plan-2-2.pdf</v>
      </c>
      <c r="E2084">
        <v>120842</v>
      </c>
      <c r="F2084">
        <v>522531</v>
      </c>
      <c r="G2084" t="s">
        <v>9</v>
      </c>
      <c r="H2084" t="s">
        <v>195</v>
      </c>
      <c r="I2084" t="s">
        <v>3507</v>
      </c>
    </row>
    <row r="2085" spans="1:9" x14ac:dyDescent="0.2">
      <c r="A2085" t="s">
        <v>3508</v>
      </c>
      <c r="D2085" t="str">
        <f>HYPERLINK("http://nlpdeep.cs.uic.edu:8080/proofing/t5/522531-assessment-and-plan-2-3.pdf","t5/522531-assessment-and-plan-2-3.pdf")</f>
        <v>t5/522531-assessment-and-plan-2-3.pdf</v>
      </c>
      <c r="E2085">
        <v>120842</v>
      </c>
      <c r="F2085">
        <v>522531</v>
      </c>
      <c r="G2085" t="s">
        <v>9</v>
      </c>
      <c r="H2085" t="s">
        <v>195</v>
      </c>
      <c r="I2085" t="s">
        <v>3509</v>
      </c>
    </row>
    <row r="2086" spans="1:9" x14ac:dyDescent="0.2">
      <c r="A2086" t="s">
        <v>3508</v>
      </c>
      <c r="D2086" t="str">
        <f>HYPERLINK("http://nlpdeep.cs.uic.edu:8080/proofing/gsii/522531-assessment-and-plan-2-3.pdf","gsii/522531-assessment-and-plan-2-3.pdf")</f>
        <v>gsii/522531-assessment-and-plan-2-3.pdf</v>
      </c>
      <c r="E2086">
        <v>120842</v>
      </c>
      <c r="F2086">
        <v>522531</v>
      </c>
      <c r="G2086" t="s">
        <v>9</v>
      </c>
      <c r="H2086" t="s">
        <v>195</v>
      </c>
      <c r="I2086" t="s">
        <v>3509</v>
      </c>
    </row>
    <row r="2087" spans="1:9" x14ac:dyDescent="0.2">
      <c r="A2087" t="s">
        <v>3510</v>
      </c>
      <c r="D2087" t="str">
        <f>HYPERLINK("http://nlpdeep.cs.uic.edu:8080/proofing/t5/522531-assessment-and-plan-2-4.pdf","t5/522531-assessment-and-plan-2-4.pdf")</f>
        <v>t5/522531-assessment-and-plan-2-4.pdf</v>
      </c>
      <c r="E2087">
        <v>120842</v>
      </c>
      <c r="F2087">
        <v>522531</v>
      </c>
      <c r="G2087" t="s">
        <v>9</v>
      </c>
      <c r="H2087" t="s">
        <v>195</v>
      </c>
      <c r="I2087" t="s">
        <v>3511</v>
      </c>
    </row>
    <row r="2088" spans="1:9" x14ac:dyDescent="0.2">
      <c r="A2088" t="s">
        <v>3510</v>
      </c>
      <c r="D2088" t="str">
        <f>HYPERLINK("http://nlpdeep.cs.uic.edu:8080/proofing/gsii/522531-assessment-and-plan-2-4.pdf","gsii/522531-assessment-and-plan-2-4.pdf")</f>
        <v>gsii/522531-assessment-and-plan-2-4.pdf</v>
      </c>
      <c r="E2088">
        <v>120842</v>
      </c>
      <c r="F2088">
        <v>522531</v>
      </c>
      <c r="G2088" t="s">
        <v>9</v>
      </c>
      <c r="H2088" t="s">
        <v>195</v>
      </c>
      <c r="I2088" t="s">
        <v>3511</v>
      </c>
    </row>
    <row r="2089" spans="1:9" x14ac:dyDescent="0.2">
      <c r="A2089" t="s">
        <v>3512</v>
      </c>
      <c r="D2089" t="str">
        <f>HYPERLINK("http://nlpdeep.cs.uic.edu:8080/proofing/t5/522531-assessment-and-plan-2-5.pdf","t5/522531-assessment-and-plan-2-5.pdf")</f>
        <v>t5/522531-assessment-and-plan-2-5.pdf</v>
      </c>
      <c r="E2089">
        <v>120842</v>
      </c>
      <c r="F2089">
        <v>522531</v>
      </c>
      <c r="G2089" t="s">
        <v>9</v>
      </c>
      <c r="H2089" t="s">
        <v>195</v>
      </c>
    </row>
    <row r="2090" spans="1:9" x14ac:dyDescent="0.2">
      <c r="A2090" t="s">
        <v>3512</v>
      </c>
      <c r="D2090" t="str">
        <f>HYPERLINK("http://nlpdeep.cs.uic.edu:8080/proofing/gsii/522531-assessment-and-plan-2-5.pdf","gsii/522531-assessment-and-plan-2-5.pdf")</f>
        <v>gsii/522531-assessment-and-plan-2-5.pdf</v>
      </c>
      <c r="E2090">
        <v>120842</v>
      </c>
      <c r="F2090">
        <v>522531</v>
      </c>
      <c r="G2090" t="s">
        <v>9</v>
      </c>
      <c r="H2090" t="s">
        <v>195</v>
      </c>
    </row>
    <row r="2091" spans="1:9" x14ac:dyDescent="0.2">
      <c r="A2091" t="s">
        <v>3513</v>
      </c>
      <c r="D2091" t="str">
        <f>HYPERLINK("http://nlpdeep.cs.uic.edu:8080/proofing/t5/522531-assessment-and-plan-3-0.pdf","t5/522531-assessment-and-plan-3-0.pdf")</f>
        <v>t5/522531-assessment-and-plan-3-0.pdf</v>
      </c>
      <c r="E2091">
        <v>120842</v>
      </c>
      <c r="F2091">
        <v>522531</v>
      </c>
      <c r="G2091" t="s">
        <v>9</v>
      </c>
      <c r="H2091" t="s">
        <v>195</v>
      </c>
      <c r="I2091" t="s">
        <v>3514</v>
      </c>
    </row>
    <row r="2092" spans="1:9" x14ac:dyDescent="0.2">
      <c r="A2092" t="s">
        <v>3513</v>
      </c>
      <c r="D2092" t="str">
        <f>HYPERLINK("http://nlpdeep.cs.uic.edu:8080/proofing/gsii/522531-assessment-and-plan-3-0.pdf","gsii/522531-assessment-and-plan-3-0.pdf")</f>
        <v>gsii/522531-assessment-and-plan-3-0.pdf</v>
      </c>
      <c r="E2092">
        <v>120842</v>
      </c>
      <c r="F2092">
        <v>522531</v>
      </c>
      <c r="G2092" t="s">
        <v>9</v>
      </c>
      <c r="H2092" t="s">
        <v>195</v>
      </c>
      <c r="I2092" t="s">
        <v>3514</v>
      </c>
    </row>
    <row r="2093" spans="1:9" x14ac:dyDescent="0.2">
      <c r="A2093" t="s">
        <v>3515</v>
      </c>
      <c r="D2093" t="str">
        <f>HYPERLINK("http://nlpdeep.cs.uic.edu:8080/proofing/t5/522531-assessment-and-plan-3-1.pdf","t5/522531-assessment-and-plan-3-1.pdf")</f>
        <v>t5/522531-assessment-and-plan-3-1.pdf</v>
      </c>
      <c r="E2093">
        <v>120842</v>
      </c>
      <c r="F2093">
        <v>522531</v>
      </c>
      <c r="G2093" t="s">
        <v>9</v>
      </c>
      <c r="H2093" t="s">
        <v>195</v>
      </c>
      <c r="I2093" t="s">
        <v>3516</v>
      </c>
    </row>
    <row r="2094" spans="1:9" x14ac:dyDescent="0.2">
      <c r="A2094" t="s">
        <v>3515</v>
      </c>
      <c r="D2094" t="str">
        <f>HYPERLINK("http://nlpdeep.cs.uic.edu:8080/proofing/gsii/522531-assessment-and-plan-3-1.pdf","gsii/522531-assessment-and-plan-3-1.pdf")</f>
        <v>gsii/522531-assessment-and-plan-3-1.pdf</v>
      </c>
      <c r="E2094">
        <v>120842</v>
      </c>
      <c r="F2094">
        <v>522531</v>
      </c>
      <c r="G2094" t="s">
        <v>9</v>
      </c>
      <c r="H2094" t="s">
        <v>195</v>
      </c>
      <c r="I2094" t="s">
        <v>3516</v>
      </c>
    </row>
    <row r="2095" spans="1:9" x14ac:dyDescent="0.2">
      <c r="A2095" t="s">
        <v>3517</v>
      </c>
      <c r="D2095" t="str">
        <f>HYPERLINK("http://nlpdeep.cs.uic.edu:8080/proofing/t5/522531-assessment-and-plan-3-2.pdf","t5/522531-assessment-and-plan-3-2.pdf")</f>
        <v>t5/522531-assessment-and-plan-3-2.pdf</v>
      </c>
      <c r="E2095">
        <v>120842</v>
      </c>
      <c r="F2095">
        <v>522531</v>
      </c>
      <c r="G2095" t="s">
        <v>9</v>
      </c>
      <c r="H2095" t="s">
        <v>195</v>
      </c>
      <c r="I2095" t="s">
        <v>3518</v>
      </c>
    </row>
    <row r="2096" spans="1:9" x14ac:dyDescent="0.2">
      <c r="A2096" t="s">
        <v>3517</v>
      </c>
      <c r="D2096" t="str">
        <f>HYPERLINK("http://nlpdeep.cs.uic.edu:8080/proofing/gsii/522531-assessment-and-plan-3-2.pdf","gsii/522531-assessment-and-plan-3-2.pdf")</f>
        <v>gsii/522531-assessment-and-plan-3-2.pdf</v>
      </c>
      <c r="E2096">
        <v>120842</v>
      </c>
      <c r="F2096">
        <v>522531</v>
      </c>
      <c r="G2096" t="s">
        <v>9</v>
      </c>
      <c r="H2096" t="s">
        <v>195</v>
      </c>
      <c r="I2096" t="s">
        <v>3518</v>
      </c>
    </row>
    <row r="2097" spans="1:9" x14ac:dyDescent="0.2">
      <c r="A2097" t="s">
        <v>3519</v>
      </c>
      <c r="D2097" t="str">
        <f>HYPERLINK("http://nlpdeep.cs.uic.edu:8080/proofing/t5/522531-assessment-and-plan-3-3.pdf","t5/522531-assessment-and-plan-3-3.pdf")</f>
        <v>t5/522531-assessment-and-plan-3-3.pdf</v>
      </c>
      <c r="E2097">
        <v>120842</v>
      </c>
      <c r="F2097">
        <v>522531</v>
      </c>
      <c r="G2097" t="s">
        <v>9</v>
      </c>
      <c r="H2097" t="s">
        <v>195</v>
      </c>
      <c r="I2097" t="s">
        <v>3520</v>
      </c>
    </row>
    <row r="2098" spans="1:9" x14ac:dyDescent="0.2">
      <c r="A2098" t="s">
        <v>3519</v>
      </c>
      <c r="D2098" t="str">
        <f>HYPERLINK("http://nlpdeep.cs.uic.edu:8080/proofing/gsii/522531-assessment-and-plan-3-3.pdf","gsii/522531-assessment-and-plan-3-3.pdf")</f>
        <v>gsii/522531-assessment-and-plan-3-3.pdf</v>
      </c>
      <c r="E2098">
        <v>120842</v>
      </c>
      <c r="F2098">
        <v>522531</v>
      </c>
      <c r="G2098" t="s">
        <v>9</v>
      </c>
      <c r="H2098" t="s">
        <v>195</v>
      </c>
      <c r="I2098" t="s">
        <v>3520</v>
      </c>
    </row>
    <row r="2099" spans="1:9" x14ac:dyDescent="0.2">
      <c r="A2099" t="s">
        <v>3521</v>
      </c>
      <c r="D2099" t="str">
        <f>HYPERLINK("http://nlpdeep.cs.uic.edu:8080/proofing/t5/522531-assessment-and-plan-4-0.pdf","t5/522531-assessment-and-plan-4-0.pdf")</f>
        <v>t5/522531-assessment-and-plan-4-0.pdf</v>
      </c>
      <c r="E2099">
        <v>120842</v>
      </c>
      <c r="F2099">
        <v>522531</v>
      </c>
      <c r="G2099" t="s">
        <v>9</v>
      </c>
      <c r="H2099" t="s">
        <v>195</v>
      </c>
      <c r="I2099" t="s">
        <v>3522</v>
      </c>
    </row>
    <row r="2100" spans="1:9" x14ac:dyDescent="0.2">
      <c r="A2100" t="s">
        <v>3521</v>
      </c>
      <c r="D2100" t="str">
        <f>HYPERLINK("http://nlpdeep.cs.uic.edu:8080/proofing/gsii/522531-assessment-and-plan-4-0.pdf","gsii/522531-assessment-and-plan-4-0.pdf")</f>
        <v>gsii/522531-assessment-and-plan-4-0.pdf</v>
      </c>
      <c r="E2100">
        <v>120842</v>
      </c>
      <c r="F2100">
        <v>522531</v>
      </c>
      <c r="G2100" t="s">
        <v>9</v>
      </c>
      <c r="H2100" t="s">
        <v>195</v>
      </c>
      <c r="I2100" t="s">
        <v>3522</v>
      </c>
    </row>
    <row r="2101" spans="1:9" x14ac:dyDescent="0.2">
      <c r="A2101" t="s">
        <v>3523</v>
      </c>
      <c r="D2101" t="str">
        <f>HYPERLINK("http://nlpdeep.cs.uic.edu:8080/proofing/t5/522531-assessment-and-plan-4-1.pdf","t5/522531-assessment-and-plan-4-1.pdf")</f>
        <v>t5/522531-assessment-and-plan-4-1.pdf</v>
      </c>
      <c r="E2101">
        <v>120842</v>
      </c>
      <c r="F2101">
        <v>522531</v>
      </c>
      <c r="G2101" t="s">
        <v>9</v>
      </c>
      <c r="H2101" t="s">
        <v>195</v>
      </c>
      <c r="I2101" t="s">
        <v>3524</v>
      </c>
    </row>
    <row r="2102" spans="1:9" x14ac:dyDescent="0.2">
      <c r="A2102" t="s">
        <v>3523</v>
      </c>
      <c r="D2102" t="str">
        <f>HYPERLINK("http://nlpdeep.cs.uic.edu:8080/proofing/gsii/522531-assessment-and-plan-4-1.pdf","gsii/522531-assessment-and-plan-4-1.pdf")</f>
        <v>gsii/522531-assessment-and-plan-4-1.pdf</v>
      </c>
      <c r="E2102">
        <v>120842</v>
      </c>
      <c r="F2102">
        <v>522531</v>
      </c>
      <c r="G2102" t="s">
        <v>9</v>
      </c>
      <c r="H2102" t="s">
        <v>195</v>
      </c>
      <c r="I2102" t="s">
        <v>3524</v>
      </c>
    </row>
    <row r="2103" spans="1:9" x14ac:dyDescent="0.2">
      <c r="A2103" t="s">
        <v>3525</v>
      </c>
      <c r="D2103" t="str">
        <f>HYPERLINK("http://nlpdeep.cs.uic.edu:8080/proofing/t5/522531-assessment-and-plan-5-0.pdf","t5/522531-assessment-and-plan-5-0.pdf")</f>
        <v>t5/522531-assessment-and-plan-5-0.pdf</v>
      </c>
      <c r="E2103">
        <v>120842</v>
      </c>
      <c r="F2103">
        <v>522531</v>
      </c>
      <c r="G2103" t="s">
        <v>9</v>
      </c>
      <c r="H2103" t="s">
        <v>195</v>
      </c>
      <c r="I2103" t="s">
        <v>3203</v>
      </c>
    </row>
    <row r="2104" spans="1:9" x14ac:dyDescent="0.2">
      <c r="A2104" t="s">
        <v>3525</v>
      </c>
      <c r="D2104" t="str">
        <f>HYPERLINK("http://nlpdeep.cs.uic.edu:8080/proofing/gsii/522531-assessment-and-plan-5-0.pdf","gsii/522531-assessment-and-plan-5-0.pdf")</f>
        <v>gsii/522531-assessment-and-plan-5-0.pdf</v>
      </c>
      <c r="E2104">
        <v>120842</v>
      </c>
      <c r="F2104">
        <v>522531</v>
      </c>
      <c r="G2104" t="s">
        <v>9</v>
      </c>
      <c r="H2104" t="s">
        <v>195</v>
      </c>
      <c r="I2104" t="s">
        <v>3203</v>
      </c>
    </row>
    <row r="2105" spans="1:9" x14ac:dyDescent="0.2">
      <c r="A2105" t="s">
        <v>3526</v>
      </c>
      <c r="D2105" t="str">
        <f>HYPERLINK("http://nlpdeep.cs.uic.edu:8080/proofing/t5/522531-assessment-and-plan-5-1.pdf","t5/522531-assessment-and-plan-5-1.pdf")</f>
        <v>t5/522531-assessment-and-plan-5-1.pdf</v>
      </c>
      <c r="E2105">
        <v>120842</v>
      </c>
      <c r="F2105">
        <v>522531</v>
      </c>
      <c r="G2105" t="s">
        <v>9</v>
      </c>
      <c r="H2105" t="s">
        <v>195</v>
      </c>
      <c r="I2105" t="s">
        <v>3527</v>
      </c>
    </row>
    <row r="2106" spans="1:9" x14ac:dyDescent="0.2">
      <c r="A2106" t="s">
        <v>3526</v>
      </c>
      <c r="D2106" t="str">
        <f>HYPERLINK("http://nlpdeep.cs.uic.edu:8080/proofing/gsii/522531-assessment-and-plan-5-1.pdf","gsii/522531-assessment-and-plan-5-1.pdf")</f>
        <v>gsii/522531-assessment-and-plan-5-1.pdf</v>
      </c>
      <c r="E2106">
        <v>120842</v>
      </c>
      <c r="F2106">
        <v>522531</v>
      </c>
      <c r="G2106" t="s">
        <v>9</v>
      </c>
      <c r="H2106" t="s">
        <v>195</v>
      </c>
      <c r="I2106" t="s">
        <v>3527</v>
      </c>
    </row>
    <row r="2107" spans="1:9" x14ac:dyDescent="0.2">
      <c r="A2107" t="s">
        <v>3528</v>
      </c>
      <c r="D2107" t="str">
        <f>HYPERLINK("http://nlpdeep.cs.uic.edu:8080/proofing/t5/522531-assessment-and-plan-5-2.pdf","t5/522531-assessment-and-plan-5-2.pdf")</f>
        <v>t5/522531-assessment-and-plan-5-2.pdf</v>
      </c>
      <c r="E2107">
        <v>120842</v>
      </c>
      <c r="F2107">
        <v>522531</v>
      </c>
      <c r="G2107" t="s">
        <v>9</v>
      </c>
      <c r="H2107" t="s">
        <v>195</v>
      </c>
      <c r="I2107" t="s">
        <v>3529</v>
      </c>
    </row>
    <row r="2108" spans="1:9" x14ac:dyDescent="0.2">
      <c r="A2108" t="s">
        <v>3528</v>
      </c>
      <c r="D2108" t="str">
        <f>HYPERLINK("http://nlpdeep.cs.uic.edu:8080/proofing/gsii/522531-assessment-and-plan-5-2.pdf","gsii/522531-assessment-and-plan-5-2.pdf")</f>
        <v>gsii/522531-assessment-and-plan-5-2.pdf</v>
      </c>
      <c r="E2108">
        <v>120842</v>
      </c>
      <c r="F2108">
        <v>522531</v>
      </c>
      <c r="G2108" t="s">
        <v>9</v>
      </c>
      <c r="H2108" t="s">
        <v>195</v>
      </c>
      <c r="I2108" t="s">
        <v>3529</v>
      </c>
    </row>
    <row r="2109" spans="1:9" x14ac:dyDescent="0.2">
      <c r="A2109" t="s">
        <v>3530</v>
      </c>
      <c r="D2109" t="str">
        <f>HYPERLINK("http://nlpdeep.cs.uic.edu:8080/proofing/t5/522531-assessment-and-plan-5-3.pdf","t5/522531-assessment-and-plan-5-3.pdf")</f>
        <v>t5/522531-assessment-and-plan-5-3.pdf</v>
      </c>
      <c r="E2109">
        <v>120842</v>
      </c>
      <c r="F2109">
        <v>522531</v>
      </c>
      <c r="G2109" t="s">
        <v>9</v>
      </c>
      <c r="H2109" t="s">
        <v>195</v>
      </c>
    </row>
    <row r="2110" spans="1:9" x14ac:dyDescent="0.2">
      <c r="A2110" t="s">
        <v>3530</v>
      </c>
      <c r="D2110" t="str">
        <f>HYPERLINK("http://nlpdeep.cs.uic.edu:8080/proofing/gsii/522531-assessment-and-plan-5-3.pdf","gsii/522531-assessment-and-plan-5-3.pdf")</f>
        <v>gsii/522531-assessment-and-plan-5-3.pdf</v>
      </c>
      <c r="E2110">
        <v>120842</v>
      </c>
      <c r="F2110">
        <v>522531</v>
      </c>
      <c r="G2110" t="s">
        <v>9</v>
      </c>
      <c r="H2110" t="s">
        <v>195</v>
      </c>
    </row>
    <row r="2111" spans="1:9" x14ac:dyDescent="0.2">
      <c r="A2111" t="s">
        <v>3531</v>
      </c>
      <c r="D2111" t="str">
        <f>HYPERLINK("http://nlpdeep.cs.uic.edu:8080/proofing/t5/522531-assessment-and-plan-6-0.pdf","t5/522531-assessment-and-plan-6-0.pdf")</f>
        <v>t5/522531-assessment-and-plan-6-0.pdf</v>
      </c>
      <c r="E2111">
        <v>120842</v>
      </c>
      <c r="F2111">
        <v>522531</v>
      </c>
      <c r="G2111" t="s">
        <v>9</v>
      </c>
      <c r="H2111" t="s">
        <v>195</v>
      </c>
      <c r="I2111" t="s">
        <v>3532</v>
      </c>
    </row>
    <row r="2112" spans="1:9" x14ac:dyDescent="0.2">
      <c r="A2112" t="s">
        <v>3531</v>
      </c>
      <c r="D2112" t="str">
        <f>HYPERLINK("http://nlpdeep.cs.uic.edu:8080/proofing/gsii/522531-assessment-and-plan-6-0.pdf","gsii/522531-assessment-and-plan-6-0.pdf")</f>
        <v>gsii/522531-assessment-and-plan-6-0.pdf</v>
      </c>
      <c r="E2112">
        <v>120842</v>
      </c>
      <c r="F2112">
        <v>522531</v>
      </c>
      <c r="G2112" t="s">
        <v>9</v>
      </c>
      <c r="H2112" t="s">
        <v>195</v>
      </c>
      <c r="I2112" t="s">
        <v>3532</v>
      </c>
    </row>
    <row r="2113" spans="1:9" x14ac:dyDescent="0.2">
      <c r="A2113" t="s">
        <v>3533</v>
      </c>
      <c r="D2113" t="str">
        <f>HYPERLINK("http://nlpdeep.cs.uic.edu:8080/proofing/t5/522531-assessment-and-plan-6-1.pdf","t5/522531-assessment-and-plan-6-1.pdf")</f>
        <v>t5/522531-assessment-and-plan-6-1.pdf</v>
      </c>
      <c r="E2113">
        <v>120842</v>
      </c>
      <c r="F2113">
        <v>522531</v>
      </c>
      <c r="G2113" t="s">
        <v>9</v>
      </c>
      <c r="H2113" t="s">
        <v>195</v>
      </c>
    </row>
    <row r="2114" spans="1:9" x14ac:dyDescent="0.2">
      <c r="A2114" t="s">
        <v>3533</v>
      </c>
      <c r="D2114" t="str">
        <f>HYPERLINK("http://nlpdeep.cs.uic.edu:8080/proofing/gsii/522531-assessment-and-plan-6-1.pdf","gsii/522531-assessment-and-plan-6-1.pdf")</f>
        <v>gsii/522531-assessment-and-plan-6-1.pdf</v>
      </c>
      <c r="E2114">
        <v>120842</v>
      </c>
      <c r="F2114">
        <v>522531</v>
      </c>
      <c r="G2114" t="s">
        <v>9</v>
      </c>
      <c r="H2114" t="s">
        <v>195</v>
      </c>
    </row>
    <row r="2115" spans="1:9" x14ac:dyDescent="0.2">
      <c r="A2115" t="s">
        <v>3534</v>
      </c>
      <c r="D2115" t="str">
        <f>HYPERLINK("http://nlpdeep.cs.uic.edu:8080/proofing/t5/522531-assessment-and-plan-7-0.pdf","t5/522531-assessment-and-plan-7-0.pdf")</f>
        <v>t5/522531-assessment-and-plan-7-0.pdf</v>
      </c>
      <c r="E2115">
        <v>120842</v>
      </c>
      <c r="F2115">
        <v>522531</v>
      </c>
      <c r="G2115" t="s">
        <v>9</v>
      </c>
      <c r="H2115" t="s">
        <v>195</v>
      </c>
      <c r="I2115" t="s">
        <v>3535</v>
      </c>
    </row>
    <row r="2116" spans="1:9" x14ac:dyDescent="0.2">
      <c r="A2116" t="s">
        <v>3534</v>
      </c>
      <c r="D2116" t="str">
        <f>HYPERLINK("http://nlpdeep.cs.uic.edu:8080/proofing/gsii/522531-assessment-and-plan-7-0.pdf","gsii/522531-assessment-and-plan-7-0.pdf")</f>
        <v>gsii/522531-assessment-and-plan-7-0.pdf</v>
      </c>
      <c r="E2116">
        <v>120842</v>
      </c>
      <c r="F2116">
        <v>522531</v>
      </c>
      <c r="G2116" t="s">
        <v>9</v>
      </c>
      <c r="H2116" t="s">
        <v>195</v>
      </c>
      <c r="I2116" t="s">
        <v>3535</v>
      </c>
    </row>
    <row r="2117" spans="1:9" x14ac:dyDescent="0.2">
      <c r="A2117" t="s">
        <v>3536</v>
      </c>
      <c r="D2117" t="str">
        <f>HYPERLINK("http://nlpdeep.cs.uic.edu:8080/proofing/t5/522531-assessment-and-plan-7-1.pdf","t5/522531-assessment-and-plan-7-1.pdf")</f>
        <v>t5/522531-assessment-and-plan-7-1.pdf</v>
      </c>
      <c r="E2117">
        <v>120842</v>
      </c>
      <c r="F2117">
        <v>522531</v>
      </c>
      <c r="G2117" t="s">
        <v>9</v>
      </c>
      <c r="H2117" t="s">
        <v>195</v>
      </c>
    </row>
    <row r="2118" spans="1:9" x14ac:dyDescent="0.2">
      <c r="A2118" t="s">
        <v>3536</v>
      </c>
      <c r="D2118" t="str">
        <f>HYPERLINK("http://nlpdeep.cs.uic.edu:8080/proofing/gsii/522531-assessment-and-plan-7-1.pdf","gsii/522531-assessment-and-plan-7-1.pdf")</f>
        <v>gsii/522531-assessment-and-plan-7-1.pdf</v>
      </c>
      <c r="E2118">
        <v>120842</v>
      </c>
      <c r="F2118">
        <v>522531</v>
      </c>
      <c r="G2118" t="s">
        <v>9</v>
      </c>
      <c r="H2118" t="s">
        <v>195</v>
      </c>
    </row>
    <row r="2119" spans="1:9" x14ac:dyDescent="0.2">
      <c r="A2119" t="s">
        <v>3537</v>
      </c>
      <c r="D2119" t="str">
        <f>HYPERLINK("http://nlpdeep.cs.uic.edu:8080/proofing/t5/522531-assessment-and-plan-8-0.pdf","t5/522531-assessment-and-plan-8-0.pdf")</f>
        <v>t5/522531-assessment-and-plan-8-0.pdf</v>
      </c>
      <c r="E2119">
        <v>120842</v>
      </c>
      <c r="F2119">
        <v>522531</v>
      </c>
      <c r="G2119" t="s">
        <v>9</v>
      </c>
      <c r="H2119" t="s">
        <v>195</v>
      </c>
      <c r="I2119" t="s">
        <v>3538</v>
      </c>
    </row>
    <row r="2120" spans="1:9" x14ac:dyDescent="0.2">
      <c r="A2120" t="s">
        <v>3537</v>
      </c>
      <c r="D2120" t="str">
        <f>HYPERLINK("http://nlpdeep.cs.uic.edu:8080/proofing/gsii/522531-assessment-and-plan-8-0.pdf","gsii/522531-assessment-and-plan-8-0.pdf")</f>
        <v>gsii/522531-assessment-and-plan-8-0.pdf</v>
      </c>
      <c r="E2120">
        <v>120842</v>
      </c>
      <c r="F2120">
        <v>522531</v>
      </c>
      <c r="G2120" t="s">
        <v>9</v>
      </c>
      <c r="H2120" t="s">
        <v>195</v>
      </c>
      <c r="I2120" t="s">
        <v>3538</v>
      </c>
    </row>
    <row r="2121" spans="1:9" x14ac:dyDescent="0.2">
      <c r="A2121" t="s">
        <v>3539</v>
      </c>
      <c r="D2121" t="str">
        <f>HYPERLINK("http://nlpdeep.cs.uic.edu:8080/proofing/t5/522531-code-status-0-0.pdf","t5/522531-code-status-0-0.pdf")</f>
        <v>t5/522531-code-status-0-0.pdf</v>
      </c>
      <c r="E2121">
        <v>120842</v>
      </c>
      <c r="F2121">
        <v>522531</v>
      </c>
      <c r="G2121" t="s">
        <v>9</v>
      </c>
      <c r="H2121" t="s">
        <v>201</v>
      </c>
      <c r="I2121" t="s">
        <v>536</v>
      </c>
    </row>
    <row r="2122" spans="1:9" x14ac:dyDescent="0.2">
      <c r="A2122" t="s">
        <v>3539</v>
      </c>
      <c r="D2122" t="str">
        <f>HYPERLINK("http://nlpdeep.cs.uic.edu:8080/proofing/gsii/522531-code-status-0-0.pdf","gsii/522531-code-status-0-0.pdf")</f>
        <v>gsii/522531-code-status-0-0.pdf</v>
      </c>
      <c r="E2122">
        <v>120842</v>
      </c>
      <c r="F2122">
        <v>522531</v>
      </c>
      <c r="G2122" t="s">
        <v>9</v>
      </c>
      <c r="H2122" t="s">
        <v>201</v>
      </c>
      <c r="I2122" t="s">
        <v>536</v>
      </c>
    </row>
    <row r="2123" spans="1:9" x14ac:dyDescent="0.2">
      <c r="A2123" t="s">
        <v>3540</v>
      </c>
      <c r="D2123" t="str">
        <f>HYPERLINK("http://nlpdeep.cs.uic.edu:8080/proofing/t5/522936-chief-complaint-0-0.pdf","t5/522936-chief-complaint-0-0.pdf")</f>
        <v>t5/522936-chief-complaint-0-0.pdf</v>
      </c>
      <c r="E2123">
        <v>120842</v>
      </c>
      <c r="F2123">
        <v>522936</v>
      </c>
      <c r="G2123" t="s">
        <v>9</v>
      </c>
      <c r="H2123" t="s">
        <v>10</v>
      </c>
      <c r="I2123" t="s">
        <v>3081</v>
      </c>
    </row>
    <row r="2124" spans="1:9" x14ac:dyDescent="0.2">
      <c r="A2124" t="s">
        <v>3540</v>
      </c>
      <c r="D2124" t="str">
        <f>HYPERLINK("http://nlpdeep.cs.uic.edu:8080/proofing/gsii/522936-chief-complaint-0-0.pdf","gsii/522936-chief-complaint-0-0.pdf")</f>
        <v>gsii/522936-chief-complaint-0-0.pdf</v>
      </c>
      <c r="E2124">
        <v>120842</v>
      </c>
      <c r="F2124">
        <v>522936</v>
      </c>
      <c r="G2124" t="s">
        <v>9</v>
      </c>
      <c r="H2124" t="s">
        <v>10</v>
      </c>
      <c r="I2124" t="s">
        <v>3081</v>
      </c>
    </row>
    <row r="2125" spans="1:9" x14ac:dyDescent="0.2">
      <c r="A2125" t="s">
        <v>3541</v>
      </c>
      <c r="D2125" t="str">
        <f>HYPERLINK("http://nlpdeep.cs.uic.edu:8080/proofing/t5/522936-history-of-present-illness-0-0.pdf","t5/522936-history-of-present-illness-0-0.pdf")</f>
        <v>t5/522936-history-of-present-illness-0-0.pdf</v>
      </c>
      <c r="E2125">
        <v>120842</v>
      </c>
      <c r="F2125">
        <v>522936</v>
      </c>
      <c r="G2125" t="s">
        <v>9</v>
      </c>
      <c r="H2125" t="s">
        <v>13</v>
      </c>
      <c r="I2125" t="s">
        <v>3083</v>
      </c>
    </row>
    <row r="2126" spans="1:9" x14ac:dyDescent="0.2">
      <c r="A2126" t="s">
        <v>3541</v>
      </c>
      <c r="D2126" t="str">
        <f>HYPERLINK("http://nlpdeep.cs.uic.edu:8080/proofing/gsii/522936-history-of-present-illness-0-0.pdf","gsii/522936-history-of-present-illness-0-0.pdf")</f>
        <v>gsii/522936-history-of-present-illness-0-0.pdf</v>
      </c>
      <c r="E2126">
        <v>120842</v>
      </c>
      <c r="F2126">
        <v>522936</v>
      </c>
      <c r="G2126" t="s">
        <v>9</v>
      </c>
      <c r="H2126" t="s">
        <v>13</v>
      </c>
      <c r="I2126" t="s">
        <v>3083</v>
      </c>
    </row>
    <row r="2127" spans="1:9" x14ac:dyDescent="0.2">
      <c r="A2127" t="s">
        <v>3542</v>
      </c>
      <c r="D2127" t="str">
        <f>HYPERLINK("http://nlpdeep.cs.uic.edu:8080/proofing/t5/522936-history-of-present-illness-0-1.pdf","t5/522936-history-of-present-illness-0-1.pdf")</f>
        <v>t5/522936-history-of-present-illness-0-1.pdf</v>
      </c>
      <c r="E2127">
        <v>120842</v>
      </c>
      <c r="F2127">
        <v>522936</v>
      </c>
      <c r="G2127" t="s">
        <v>9</v>
      </c>
      <c r="H2127" t="s">
        <v>13</v>
      </c>
      <c r="I2127" t="s">
        <v>3085</v>
      </c>
    </row>
    <row r="2128" spans="1:9" x14ac:dyDescent="0.2">
      <c r="A2128" t="s">
        <v>3542</v>
      </c>
      <c r="D2128" t="str">
        <f>HYPERLINK("http://nlpdeep.cs.uic.edu:8080/proofing/gsii/522936-history-of-present-illness-0-1.pdf","gsii/522936-history-of-present-illness-0-1.pdf")</f>
        <v>gsii/522936-history-of-present-illness-0-1.pdf</v>
      </c>
      <c r="E2128">
        <v>120842</v>
      </c>
      <c r="F2128">
        <v>522936</v>
      </c>
      <c r="G2128" t="s">
        <v>9</v>
      </c>
      <c r="H2128" t="s">
        <v>13</v>
      </c>
      <c r="I2128" t="s">
        <v>3085</v>
      </c>
    </row>
    <row r="2129" spans="1:9" x14ac:dyDescent="0.2">
      <c r="A2129" t="s">
        <v>3543</v>
      </c>
      <c r="D2129" t="str">
        <f>HYPERLINK("http://nlpdeep.cs.uic.edu:8080/proofing/t5/522936-history-of-present-illness-0-2.pdf","t5/522936-history-of-present-illness-0-2.pdf")</f>
        <v>t5/522936-history-of-present-illness-0-2.pdf</v>
      </c>
      <c r="E2129">
        <v>120842</v>
      </c>
      <c r="F2129">
        <v>522936</v>
      </c>
      <c r="G2129" t="s">
        <v>9</v>
      </c>
      <c r="H2129" t="s">
        <v>13</v>
      </c>
      <c r="I2129" t="s">
        <v>3087</v>
      </c>
    </row>
    <row r="2130" spans="1:9" x14ac:dyDescent="0.2">
      <c r="A2130" t="s">
        <v>3543</v>
      </c>
      <c r="D2130" t="str">
        <f>HYPERLINK("http://nlpdeep.cs.uic.edu:8080/proofing/gsii/522936-history-of-present-illness-0-2.pdf","gsii/522936-history-of-present-illness-0-2.pdf")</f>
        <v>gsii/522936-history-of-present-illness-0-2.pdf</v>
      </c>
      <c r="E2130">
        <v>120842</v>
      </c>
      <c r="F2130">
        <v>522936</v>
      </c>
      <c r="G2130" t="s">
        <v>9</v>
      </c>
      <c r="H2130" t="s">
        <v>13</v>
      </c>
      <c r="I2130" t="s">
        <v>3087</v>
      </c>
    </row>
    <row r="2131" spans="1:9" x14ac:dyDescent="0.2">
      <c r="A2131" t="s">
        <v>3544</v>
      </c>
      <c r="D2131" t="str">
        <f>HYPERLINK("http://nlpdeep.cs.uic.edu:8080/proofing/t5/522936-history-of-present-illness-0-3.pdf","t5/522936-history-of-present-illness-0-3.pdf")</f>
        <v>t5/522936-history-of-present-illness-0-3.pdf</v>
      </c>
      <c r="E2131">
        <v>120842</v>
      </c>
      <c r="F2131">
        <v>522936</v>
      </c>
      <c r="G2131" t="s">
        <v>9</v>
      </c>
      <c r="H2131" t="s">
        <v>13</v>
      </c>
      <c r="I2131" t="s">
        <v>3089</v>
      </c>
    </row>
    <row r="2132" spans="1:9" x14ac:dyDescent="0.2">
      <c r="A2132" t="s">
        <v>3544</v>
      </c>
      <c r="D2132" t="str">
        <f>HYPERLINK("http://nlpdeep.cs.uic.edu:8080/proofing/gsii/522936-history-of-present-illness-0-3.pdf","gsii/522936-history-of-present-illness-0-3.pdf")</f>
        <v>gsii/522936-history-of-present-illness-0-3.pdf</v>
      </c>
      <c r="E2132">
        <v>120842</v>
      </c>
      <c r="F2132">
        <v>522936</v>
      </c>
      <c r="G2132" t="s">
        <v>9</v>
      </c>
      <c r="H2132" t="s">
        <v>13</v>
      </c>
      <c r="I2132" t="s">
        <v>3089</v>
      </c>
    </row>
    <row r="2133" spans="1:9" x14ac:dyDescent="0.2">
      <c r="A2133" t="s">
        <v>3545</v>
      </c>
      <c r="D2133" t="str">
        <f>HYPERLINK("http://nlpdeep.cs.uic.edu:8080/proofing/t5/522936-history-of-present-illness-0-4.pdf","t5/522936-history-of-present-illness-0-4.pdf")</f>
        <v>t5/522936-history-of-present-illness-0-4.pdf</v>
      </c>
      <c r="E2133">
        <v>120842</v>
      </c>
      <c r="F2133">
        <v>522936</v>
      </c>
      <c r="G2133" t="s">
        <v>9</v>
      </c>
      <c r="H2133" t="s">
        <v>13</v>
      </c>
      <c r="I2133" t="s">
        <v>3091</v>
      </c>
    </row>
    <row r="2134" spans="1:9" x14ac:dyDescent="0.2">
      <c r="A2134" t="s">
        <v>3545</v>
      </c>
      <c r="D2134" t="str">
        <f>HYPERLINK("http://nlpdeep.cs.uic.edu:8080/proofing/gsii/522936-history-of-present-illness-0-4.pdf","gsii/522936-history-of-present-illness-0-4.pdf")</f>
        <v>gsii/522936-history-of-present-illness-0-4.pdf</v>
      </c>
      <c r="E2134">
        <v>120842</v>
      </c>
      <c r="F2134">
        <v>522936</v>
      </c>
      <c r="G2134" t="s">
        <v>9</v>
      </c>
      <c r="H2134" t="s">
        <v>13</v>
      </c>
      <c r="I2134" t="s">
        <v>3091</v>
      </c>
    </row>
    <row r="2135" spans="1:9" x14ac:dyDescent="0.2">
      <c r="A2135" t="s">
        <v>3546</v>
      </c>
      <c r="D2135" t="str">
        <f>HYPERLINK("http://nlpdeep.cs.uic.edu:8080/proofing/t5/522936-history-of-present-illness-0-5.pdf","t5/522936-history-of-present-illness-0-5.pdf")</f>
        <v>t5/522936-history-of-present-illness-0-5.pdf</v>
      </c>
      <c r="E2135">
        <v>120842</v>
      </c>
      <c r="F2135">
        <v>522936</v>
      </c>
      <c r="G2135" t="s">
        <v>9</v>
      </c>
      <c r="H2135" t="s">
        <v>13</v>
      </c>
      <c r="I2135" t="s">
        <v>3093</v>
      </c>
    </row>
    <row r="2136" spans="1:9" x14ac:dyDescent="0.2">
      <c r="A2136" t="s">
        <v>3546</v>
      </c>
      <c r="D2136" t="str">
        <f>HYPERLINK("http://nlpdeep.cs.uic.edu:8080/proofing/gsii/522936-history-of-present-illness-0-5.pdf","gsii/522936-history-of-present-illness-0-5.pdf")</f>
        <v>gsii/522936-history-of-present-illness-0-5.pdf</v>
      </c>
      <c r="E2136">
        <v>120842</v>
      </c>
      <c r="F2136">
        <v>522936</v>
      </c>
      <c r="G2136" t="s">
        <v>9</v>
      </c>
      <c r="H2136" t="s">
        <v>13</v>
      </c>
      <c r="I2136" t="s">
        <v>3093</v>
      </c>
    </row>
    <row r="2137" spans="1:9" x14ac:dyDescent="0.2">
      <c r="A2137" t="s">
        <v>3547</v>
      </c>
      <c r="D2137" t="str">
        <f>HYPERLINK("http://nlpdeep.cs.uic.edu:8080/proofing/t5/522936-history-of-present-illness-0-6.pdf","t5/522936-history-of-present-illness-0-6.pdf")</f>
        <v>t5/522936-history-of-present-illness-0-6.pdf</v>
      </c>
      <c r="E2137">
        <v>120842</v>
      </c>
      <c r="F2137">
        <v>522936</v>
      </c>
      <c r="G2137" t="s">
        <v>9</v>
      </c>
      <c r="H2137" t="s">
        <v>13</v>
      </c>
      <c r="I2137" t="s">
        <v>3095</v>
      </c>
    </row>
    <row r="2138" spans="1:9" x14ac:dyDescent="0.2">
      <c r="A2138" t="s">
        <v>3547</v>
      </c>
      <c r="D2138" t="str">
        <f>HYPERLINK("http://nlpdeep.cs.uic.edu:8080/proofing/gsii/522936-history-of-present-illness-0-6.pdf","gsii/522936-history-of-present-illness-0-6.pdf")</f>
        <v>gsii/522936-history-of-present-illness-0-6.pdf</v>
      </c>
      <c r="E2138">
        <v>120842</v>
      </c>
      <c r="F2138">
        <v>522936</v>
      </c>
      <c r="G2138" t="s">
        <v>9</v>
      </c>
      <c r="H2138" t="s">
        <v>13</v>
      </c>
      <c r="I2138" t="s">
        <v>3095</v>
      </c>
    </row>
    <row r="2139" spans="1:9" x14ac:dyDescent="0.2">
      <c r="A2139" t="s">
        <v>3548</v>
      </c>
      <c r="D2139" t="str">
        <f>HYPERLINK("http://nlpdeep.cs.uic.edu:8080/proofing/t5/522936-history-of-present-illness-0-7.pdf","t5/522936-history-of-present-illness-0-7.pdf")</f>
        <v>t5/522936-history-of-present-illness-0-7.pdf</v>
      </c>
      <c r="E2139">
        <v>120842</v>
      </c>
      <c r="F2139">
        <v>522936</v>
      </c>
      <c r="G2139" t="s">
        <v>9</v>
      </c>
      <c r="H2139" t="s">
        <v>13</v>
      </c>
      <c r="I2139" t="s">
        <v>3097</v>
      </c>
    </row>
    <row r="2140" spans="1:9" x14ac:dyDescent="0.2">
      <c r="A2140" t="s">
        <v>3548</v>
      </c>
      <c r="D2140" t="str">
        <f>HYPERLINK("http://nlpdeep.cs.uic.edu:8080/proofing/gsii/522936-history-of-present-illness-0-7.pdf","gsii/522936-history-of-present-illness-0-7.pdf")</f>
        <v>gsii/522936-history-of-present-illness-0-7.pdf</v>
      </c>
      <c r="E2140">
        <v>120842</v>
      </c>
      <c r="F2140">
        <v>522936</v>
      </c>
      <c r="G2140" t="s">
        <v>9</v>
      </c>
      <c r="H2140" t="s">
        <v>13</v>
      </c>
      <c r="I2140" t="s">
        <v>3097</v>
      </c>
    </row>
    <row r="2141" spans="1:9" x14ac:dyDescent="0.2">
      <c r="A2141" t="s">
        <v>3549</v>
      </c>
      <c r="D2141" t="str">
        <f>HYPERLINK("http://nlpdeep.cs.uic.edu:8080/proofing/t5/522936-history-of-present-illness-0-8.pdf","t5/522936-history-of-present-illness-0-8.pdf")</f>
        <v>t5/522936-history-of-present-illness-0-8.pdf</v>
      </c>
      <c r="E2141">
        <v>120842</v>
      </c>
      <c r="F2141">
        <v>522936</v>
      </c>
      <c r="G2141" t="s">
        <v>9</v>
      </c>
      <c r="H2141" t="s">
        <v>13</v>
      </c>
      <c r="I2141" t="s">
        <v>3099</v>
      </c>
    </row>
    <row r="2142" spans="1:9" x14ac:dyDescent="0.2">
      <c r="A2142" t="s">
        <v>3549</v>
      </c>
      <c r="D2142" t="str">
        <f>HYPERLINK("http://nlpdeep.cs.uic.edu:8080/proofing/gsii/522936-history-of-present-illness-0-8.pdf","gsii/522936-history-of-present-illness-0-8.pdf")</f>
        <v>gsii/522936-history-of-present-illness-0-8.pdf</v>
      </c>
      <c r="E2142">
        <v>120842</v>
      </c>
      <c r="F2142">
        <v>522936</v>
      </c>
      <c r="G2142" t="s">
        <v>9</v>
      </c>
      <c r="H2142" t="s">
        <v>13</v>
      </c>
      <c r="I2142" t="s">
        <v>3099</v>
      </c>
    </row>
    <row r="2143" spans="1:9" x14ac:dyDescent="0.2">
      <c r="A2143" t="s">
        <v>3550</v>
      </c>
      <c r="D2143" t="str">
        <f>HYPERLINK("http://nlpdeep.cs.uic.edu:8080/proofing/t5/522936-history-of-present-illness-0-9.pdf","t5/522936-history-of-present-illness-0-9.pdf")</f>
        <v>t5/522936-history-of-present-illness-0-9.pdf</v>
      </c>
      <c r="E2143">
        <v>120842</v>
      </c>
      <c r="F2143">
        <v>522936</v>
      </c>
      <c r="G2143" t="s">
        <v>9</v>
      </c>
      <c r="H2143" t="s">
        <v>13</v>
      </c>
      <c r="I2143" t="s">
        <v>3101</v>
      </c>
    </row>
    <row r="2144" spans="1:9" x14ac:dyDescent="0.2">
      <c r="A2144" t="s">
        <v>3550</v>
      </c>
      <c r="D2144" t="str">
        <f>HYPERLINK("http://nlpdeep.cs.uic.edu:8080/proofing/gsii/522936-history-of-present-illness-0-9.pdf","gsii/522936-history-of-present-illness-0-9.pdf")</f>
        <v>gsii/522936-history-of-present-illness-0-9.pdf</v>
      </c>
      <c r="E2144">
        <v>120842</v>
      </c>
      <c r="F2144">
        <v>522936</v>
      </c>
      <c r="G2144" t="s">
        <v>9</v>
      </c>
      <c r="H2144" t="s">
        <v>13</v>
      </c>
      <c r="I2144" t="s">
        <v>3101</v>
      </c>
    </row>
    <row r="2145" spans="1:9" x14ac:dyDescent="0.2">
      <c r="A2145" t="s">
        <v>3551</v>
      </c>
      <c r="D2145" t="str">
        <f>HYPERLINK("http://nlpdeep.cs.uic.edu:8080/proofing/t5/522936-history-of-present-illness-0-10.pdf","t5/522936-history-of-present-illness-0-10.pdf")</f>
        <v>t5/522936-history-of-present-illness-0-10.pdf</v>
      </c>
      <c r="E2145">
        <v>120842</v>
      </c>
      <c r="F2145">
        <v>522936</v>
      </c>
      <c r="G2145" t="s">
        <v>9</v>
      </c>
      <c r="H2145" t="s">
        <v>13</v>
      </c>
      <c r="I2145" t="s">
        <v>3103</v>
      </c>
    </row>
    <row r="2146" spans="1:9" x14ac:dyDescent="0.2">
      <c r="A2146" t="s">
        <v>3551</v>
      </c>
      <c r="D2146" t="str">
        <f>HYPERLINK("http://nlpdeep.cs.uic.edu:8080/proofing/gsii/522936-history-of-present-illness-0-10.pdf","gsii/522936-history-of-present-illness-0-10.pdf")</f>
        <v>gsii/522936-history-of-present-illness-0-10.pdf</v>
      </c>
      <c r="E2146">
        <v>120842</v>
      </c>
      <c r="F2146">
        <v>522936</v>
      </c>
      <c r="G2146" t="s">
        <v>9</v>
      </c>
      <c r="H2146" t="s">
        <v>13</v>
      </c>
      <c r="I2146" t="s">
        <v>3103</v>
      </c>
    </row>
    <row r="2147" spans="1:9" x14ac:dyDescent="0.2">
      <c r="A2147" t="s">
        <v>3552</v>
      </c>
      <c r="D2147" t="str">
        <f>HYPERLINK("http://nlpdeep.cs.uic.edu:8080/proofing/t5/522936-history-of-present-illness-0-11.pdf","t5/522936-history-of-present-illness-0-11.pdf")</f>
        <v>t5/522936-history-of-present-illness-0-11.pdf</v>
      </c>
      <c r="E2147">
        <v>120842</v>
      </c>
      <c r="F2147">
        <v>522936</v>
      </c>
      <c r="G2147" t="s">
        <v>9</v>
      </c>
      <c r="H2147" t="s">
        <v>13</v>
      </c>
      <c r="I2147" t="s">
        <v>3105</v>
      </c>
    </row>
    <row r="2148" spans="1:9" x14ac:dyDescent="0.2">
      <c r="A2148" t="s">
        <v>3552</v>
      </c>
      <c r="D2148" t="str">
        <f>HYPERLINK("http://nlpdeep.cs.uic.edu:8080/proofing/gsii/522936-history-of-present-illness-0-11.pdf","gsii/522936-history-of-present-illness-0-11.pdf")</f>
        <v>gsii/522936-history-of-present-illness-0-11.pdf</v>
      </c>
      <c r="E2148">
        <v>120842</v>
      </c>
      <c r="F2148">
        <v>522936</v>
      </c>
      <c r="G2148" t="s">
        <v>9</v>
      </c>
      <c r="H2148" t="s">
        <v>13</v>
      </c>
      <c r="I2148" t="s">
        <v>3105</v>
      </c>
    </row>
    <row r="2149" spans="1:9" x14ac:dyDescent="0.2">
      <c r="A2149" t="s">
        <v>3553</v>
      </c>
      <c r="D2149" t="str">
        <f>HYPERLINK("http://nlpdeep.cs.uic.edu:8080/proofing/t5/522936-history-of-present-illness-1-0.pdf","t5/522936-history-of-present-illness-1-0.pdf")</f>
        <v>t5/522936-history-of-present-illness-1-0.pdf</v>
      </c>
      <c r="E2149">
        <v>120842</v>
      </c>
      <c r="F2149">
        <v>522936</v>
      </c>
      <c r="G2149" t="s">
        <v>9</v>
      </c>
      <c r="H2149" t="s">
        <v>13</v>
      </c>
      <c r="I2149" t="s">
        <v>3107</v>
      </c>
    </row>
    <row r="2150" spans="1:9" x14ac:dyDescent="0.2">
      <c r="A2150" t="s">
        <v>3553</v>
      </c>
      <c r="D2150" t="str">
        <f>HYPERLINK("http://nlpdeep.cs.uic.edu:8080/proofing/gsii/522936-history-of-present-illness-1-0.pdf","gsii/522936-history-of-present-illness-1-0.pdf")</f>
        <v>gsii/522936-history-of-present-illness-1-0.pdf</v>
      </c>
      <c r="E2150">
        <v>120842</v>
      </c>
      <c r="F2150">
        <v>522936</v>
      </c>
      <c r="G2150" t="s">
        <v>9</v>
      </c>
      <c r="H2150" t="s">
        <v>13</v>
      </c>
      <c r="I2150" t="s">
        <v>3107</v>
      </c>
    </row>
    <row r="2151" spans="1:9" x14ac:dyDescent="0.2">
      <c r="A2151" t="s">
        <v>3554</v>
      </c>
      <c r="D2151" t="str">
        <f>HYPERLINK("http://nlpdeep.cs.uic.edu:8080/proofing/t5/522936-history-of-present-illness-1-1.pdf","t5/522936-history-of-present-illness-1-1.pdf")</f>
        <v>t5/522936-history-of-present-illness-1-1.pdf</v>
      </c>
      <c r="E2151">
        <v>120842</v>
      </c>
      <c r="F2151">
        <v>522936</v>
      </c>
      <c r="G2151" t="s">
        <v>9</v>
      </c>
      <c r="H2151" t="s">
        <v>13</v>
      </c>
      <c r="I2151" t="s">
        <v>3109</v>
      </c>
    </row>
    <row r="2152" spans="1:9" x14ac:dyDescent="0.2">
      <c r="A2152" t="s">
        <v>3554</v>
      </c>
      <c r="D2152" t="str">
        <f>HYPERLINK("http://nlpdeep.cs.uic.edu:8080/proofing/gsii/522936-history-of-present-illness-1-1.pdf","gsii/522936-history-of-present-illness-1-1.pdf")</f>
        <v>gsii/522936-history-of-present-illness-1-1.pdf</v>
      </c>
      <c r="E2152">
        <v>120842</v>
      </c>
      <c r="F2152">
        <v>522936</v>
      </c>
      <c r="G2152" t="s">
        <v>9</v>
      </c>
      <c r="H2152" t="s">
        <v>13</v>
      </c>
      <c r="I2152" t="s">
        <v>3109</v>
      </c>
    </row>
    <row r="2153" spans="1:9" x14ac:dyDescent="0.2">
      <c r="A2153" t="s">
        <v>3555</v>
      </c>
      <c r="D2153" t="str">
        <f>HYPERLINK("http://nlpdeep.cs.uic.edu:8080/proofing/t5/522936-history-of-present-illness-1-2.pdf","t5/522936-history-of-present-illness-1-2.pdf")</f>
        <v>t5/522936-history-of-present-illness-1-2.pdf</v>
      </c>
      <c r="E2153">
        <v>120842</v>
      </c>
      <c r="F2153">
        <v>522936</v>
      </c>
      <c r="G2153" t="s">
        <v>9</v>
      </c>
      <c r="H2153" t="s">
        <v>13</v>
      </c>
      <c r="I2153" t="s">
        <v>3111</v>
      </c>
    </row>
    <row r="2154" spans="1:9" x14ac:dyDescent="0.2">
      <c r="A2154" t="s">
        <v>3555</v>
      </c>
      <c r="D2154" t="str">
        <f>HYPERLINK("http://nlpdeep.cs.uic.edu:8080/proofing/gsii/522936-history-of-present-illness-1-2.pdf","gsii/522936-history-of-present-illness-1-2.pdf")</f>
        <v>gsii/522936-history-of-present-illness-1-2.pdf</v>
      </c>
      <c r="E2154">
        <v>120842</v>
      </c>
      <c r="F2154">
        <v>522936</v>
      </c>
      <c r="G2154" t="s">
        <v>9</v>
      </c>
      <c r="H2154" t="s">
        <v>13</v>
      </c>
      <c r="I2154" t="s">
        <v>3111</v>
      </c>
    </row>
    <row r="2155" spans="1:9" x14ac:dyDescent="0.2">
      <c r="A2155" t="s">
        <v>3556</v>
      </c>
      <c r="D2155" t="str">
        <f>HYPERLINK("http://nlpdeep.cs.uic.edu:8080/proofing/t5/522936-history-of-present-illness-1-3.pdf","t5/522936-history-of-present-illness-1-3.pdf")</f>
        <v>t5/522936-history-of-present-illness-1-3.pdf</v>
      </c>
      <c r="E2155">
        <v>120842</v>
      </c>
      <c r="F2155">
        <v>522936</v>
      </c>
      <c r="G2155" t="s">
        <v>9</v>
      </c>
      <c r="H2155" t="s">
        <v>13</v>
      </c>
      <c r="I2155" t="s">
        <v>3113</v>
      </c>
    </row>
    <row r="2156" spans="1:9" x14ac:dyDescent="0.2">
      <c r="A2156" t="s">
        <v>3556</v>
      </c>
      <c r="D2156" t="str">
        <f>HYPERLINK("http://nlpdeep.cs.uic.edu:8080/proofing/gsii/522936-history-of-present-illness-1-3.pdf","gsii/522936-history-of-present-illness-1-3.pdf")</f>
        <v>gsii/522936-history-of-present-illness-1-3.pdf</v>
      </c>
      <c r="E2156">
        <v>120842</v>
      </c>
      <c r="F2156">
        <v>522936</v>
      </c>
      <c r="G2156" t="s">
        <v>9</v>
      </c>
      <c r="H2156" t="s">
        <v>13</v>
      </c>
      <c r="I2156" t="s">
        <v>3113</v>
      </c>
    </row>
    <row r="2157" spans="1:9" x14ac:dyDescent="0.2">
      <c r="A2157" t="s">
        <v>3557</v>
      </c>
      <c r="D2157" t="str">
        <f>HYPERLINK("http://nlpdeep.cs.uic.edu:8080/proofing/t5/522936-history-of-present-illness-1-4.pdf","t5/522936-history-of-present-illness-1-4.pdf")</f>
        <v>t5/522936-history-of-present-illness-1-4.pdf</v>
      </c>
      <c r="E2157">
        <v>120842</v>
      </c>
      <c r="F2157">
        <v>522936</v>
      </c>
      <c r="G2157" t="s">
        <v>9</v>
      </c>
      <c r="H2157" t="s">
        <v>13</v>
      </c>
      <c r="I2157" t="s">
        <v>3115</v>
      </c>
    </row>
    <row r="2158" spans="1:9" x14ac:dyDescent="0.2">
      <c r="A2158" t="s">
        <v>3557</v>
      </c>
      <c r="D2158" t="str">
        <f>HYPERLINK("http://nlpdeep.cs.uic.edu:8080/proofing/gsii/522936-history-of-present-illness-1-4.pdf","gsii/522936-history-of-present-illness-1-4.pdf")</f>
        <v>gsii/522936-history-of-present-illness-1-4.pdf</v>
      </c>
      <c r="E2158">
        <v>120842</v>
      </c>
      <c r="F2158">
        <v>522936</v>
      </c>
      <c r="G2158" t="s">
        <v>9</v>
      </c>
      <c r="H2158" t="s">
        <v>13</v>
      </c>
      <c r="I2158" t="s">
        <v>3115</v>
      </c>
    </row>
    <row r="2159" spans="1:9" x14ac:dyDescent="0.2">
      <c r="A2159" t="s">
        <v>3558</v>
      </c>
      <c r="D2159" t="str">
        <f>HYPERLINK("http://nlpdeep.cs.uic.edu:8080/proofing/t5/522936-history-of-present-illness-1-5.pdf","t5/522936-history-of-present-illness-1-5.pdf")</f>
        <v>t5/522936-history-of-present-illness-1-5.pdf</v>
      </c>
      <c r="E2159">
        <v>120842</v>
      </c>
      <c r="F2159">
        <v>522936</v>
      </c>
      <c r="G2159" t="s">
        <v>9</v>
      </c>
      <c r="H2159" t="s">
        <v>13</v>
      </c>
      <c r="I2159" t="s">
        <v>3117</v>
      </c>
    </row>
    <row r="2160" spans="1:9" x14ac:dyDescent="0.2">
      <c r="A2160" t="s">
        <v>3558</v>
      </c>
      <c r="D2160" t="str">
        <f>HYPERLINK("http://nlpdeep.cs.uic.edu:8080/proofing/gsii/522936-history-of-present-illness-1-5.pdf","gsii/522936-history-of-present-illness-1-5.pdf")</f>
        <v>gsii/522936-history-of-present-illness-1-5.pdf</v>
      </c>
      <c r="E2160">
        <v>120842</v>
      </c>
      <c r="F2160">
        <v>522936</v>
      </c>
      <c r="G2160" t="s">
        <v>9</v>
      </c>
      <c r="H2160" t="s">
        <v>13</v>
      </c>
      <c r="I2160" t="s">
        <v>3117</v>
      </c>
    </row>
    <row r="2161" spans="1:9" x14ac:dyDescent="0.2">
      <c r="A2161" t="s">
        <v>3559</v>
      </c>
      <c r="D2161" t="str">
        <f>HYPERLINK("http://nlpdeep.cs.uic.edu:8080/proofing/t5/522936-history-of-present-illness-1-6.pdf","t5/522936-history-of-present-illness-1-6.pdf")</f>
        <v>t5/522936-history-of-present-illness-1-6.pdf</v>
      </c>
      <c r="E2161">
        <v>120842</v>
      </c>
      <c r="F2161">
        <v>522936</v>
      </c>
      <c r="G2161" t="s">
        <v>9</v>
      </c>
      <c r="H2161" t="s">
        <v>13</v>
      </c>
      <c r="I2161" t="s">
        <v>3119</v>
      </c>
    </row>
    <row r="2162" spans="1:9" x14ac:dyDescent="0.2">
      <c r="A2162" t="s">
        <v>3559</v>
      </c>
      <c r="D2162" t="str">
        <f>HYPERLINK("http://nlpdeep.cs.uic.edu:8080/proofing/gsii/522936-history-of-present-illness-1-6.pdf","gsii/522936-history-of-present-illness-1-6.pdf")</f>
        <v>gsii/522936-history-of-present-illness-1-6.pdf</v>
      </c>
      <c r="E2162">
        <v>120842</v>
      </c>
      <c r="F2162">
        <v>522936</v>
      </c>
      <c r="G2162" t="s">
        <v>9</v>
      </c>
      <c r="H2162" t="s">
        <v>13</v>
      </c>
      <c r="I2162" t="s">
        <v>3119</v>
      </c>
    </row>
    <row r="2163" spans="1:9" x14ac:dyDescent="0.2">
      <c r="A2163" t="s">
        <v>3560</v>
      </c>
      <c r="D2163" t="str">
        <f>HYPERLINK("http://nlpdeep.cs.uic.edu:8080/proofing/t5/522936-history-of-present-illness-1-7.pdf","t5/522936-history-of-present-illness-1-7.pdf")</f>
        <v>t5/522936-history-of-present-illness-1-7.pdf</v>
      </c>
      <c r="E2163">
        <v>120842</v>
      </c>
      <c r="F2163">
        <v>522936</v>
      </c>
      <c r="G2163" t="s">
        <v>9</v>
      </c>
      <c r="H2163" t="s">
        <v>13</v>
      </c>
      <c r="I2163" t="s">
        <v>3121</v>
      </c>
    </row>
    <row r="2164" spans="1:9" x14ac:dyDescent="0.2">
      <c r="A2164" t="s">
        <v>3560</v>
      </c>
      <c r="D2164" t="str">
        <f>HYPERLINK("http://nlpdeep.cs.uic.edu:8080/proofing/gsii/522936-history-of-present-illness-1-7.pdf","gsii/522936-history-of-present-illness-1-7.pdf")</f>
        <v>gsii/522936-history-of-present-illness-1-7.pdf</v>
      </c>
      <c r="E2164">
        <v>120842</v>
      </c>
      <c r="F2164">
        <v>522936</v>
      </c>
      <c r="G2164" t="s">
        <v>9</v>
      </c>
      <c r="H2164" t="s">
        <v>13</v>
      </c>
      <c r="I2164" t="s">
        <v>3121</v>
      </c>
    </row>
    <row r="2165" spans="1:9" x14ac:dyDescent="0.2">
      <c r="A2165" t="s">
        <v>3561</v>
      </c>
      <c r="D2165" t="str">
        <f>HYPERLINK("http://nlpdeep.cs.uic.edu:8080/proofing/t5/522936-allergies-0-0.pdf","t5/522936-allergies-0-0.pdf")</f>
        <v>t5/522936-allergies-0-0.pdf</v>
      </c>
      <c r="E2165">
        <v>120842</v>
      </c>
      <c r="F2165">
        <v>522936</v>
      </c>
      <c r="G2165" t="s">
        <v>9</v>
      </c>
      <c r="H2165" t="s">
        <v>64</v>
      </c>
      <c r="I2165" t="s">
        <v>3123</v>
      </c>
    </row>
    <row r="2166" spans="1:9" x14ac:dyDescent="0.2">
      <c r="A2166" t="s">
        <v>3561</v>
      </c>
      <c r="D2166" t="str">
        <f>HYPERLINK("http://nlpdeep.cs.uic.edu:8080/proofing/gsii/522936-allergies-0-0.pdf","gsii/522936-allergies-0-0.pdf")</f>
        <v>gsii/522936-allergies-0-0.pdf</v>
      </c>
      <c r="E2166">
        <v>120842</v>
      </c>
      <c r="F2166">
        <v>522936</v>
      </c>
      <c r="G2166" t="s">
        <v>9</v>
      </c>
      <c r="H2166" t="s">
        <v>64</v>
      </c>
      <c r="I2166" t="s">
        <v>3123</v>
      </c>
    </row>
    <row r="2167" spans="1:9" x14ac:dyDescent="0.2">
      <c r="A2167" t="s">
        <v>3562</v>
      </c>
      <c r="D2167" t="str">
        <f>HYPERLINK("http://nlpdeep.cs.uic.edu:8080/proofing/t5/522936-other-medications-0-0.pdf","t5/522936-other-medications-0-0.pdf")</f>
        <v>t5/522936-other-medications-0-0.pdf</v>
      </c>
      <c r="E2167">
        <v>120842</v>
      </c>
      <c r="F2167">
        <v>522936</v>
      </c>
      <c r="G2167" t="s">
        <v>9</v>
      </c>
      <c r="H2167" t="s">
        <v>67</v>
      </c>
      <c r="I2167" t="s">
        <v>3125</v>
      </c>
    </row>
    <row r="2168" spans="1:9" x14ac:dyDescent="0.2">
      <c r="A2168" t="s">
        <v>3562</v>
      </c>
      <c r="D2168" t="str">
        <f>HYPERLINK("http://nlpdeep.cs.uic.edu:8080/proofing/gsii/522936-other-medications-0-0.pdf","gsii/522936-other-medications-0-0.pdf")</f>
        <v>gsii/522936-other-medications-0-0.pdf</v>
      </c>
      <c r="E2168">
        <v>120842</v>
      </c>
      <c r="F2168">
        <v>522936</v>
      </c>
      <c r="G2168" t="s">
        <v>9</v>
      </c>
      <c r="H2168" t="s">
        <v>67</v>
      </c>
      <c r="I2168" t="s">
        <v>3125</v>
      </c>
    </row>
    <row r="2169" spans="1:9" x14ac:dyDescent="0.2">
      <c r="A2169" t="s">
        <v>3563</v>
      </c>
      <c r="D2169" t="str">
        <f>HYPERLINK("http://nlpdeep.cs.uic.edu:8080/proofing/t5/522936-other-medications-0-1.pdf","t5/522936-other-medications-0-1.pdf")</f>
        <v>t5/522936-other-medications-0-1.pdf</v>
      </c>
      <c r="E2169">
        <v>120842</v>
      </c>
      <c r="F2169">
        <v>522936</v>
      </c>
      <c r="G2169" t="s">
        <v>9</v>
      </c>
      <c r="H2169" t="s">
        <v>67</v>
      </c>
      <c r="I2169" t="s">
        <v>2772</v>
      </c>
    </row>
    <row r="2170" spans="1:9" x14ac:dyDescent="0.2">
      <c r="A2170" t="s">
        <v>3563</v>
      </c>
      <c r="D2170" t="str">
        <f>HYPERLINK("http://nlpdeep.cs.uic.edu:8080/proofing/gsii/522936-other-medications-0-1.pdf","gsii/522936-other-medications-0-1.pdf")</f>
        <v>gsii/522936-other-medications-0-1.pdf</v>
      </c>
      <c r="E2170">
        <v>120842</v>
      </c>
      <c r="F2170">
        <v>522936</v>
      </c>
      <c r="G2170" t="s">
        <v>9</v>
      </c>
      <c r="H2170" t="s">
        <v>67</v>
      </c>
      <c r="I2170" t="s">
        <v>2772</v>
      </c>
    </row>
    <row r="2171" spans="1:9" x14ac:dyDescent="0.2">
      <c r="A2171" t="s">
        <v>3564</v>
      </c>
      <c r="D2171" t="str">
        <f>HYPERLINK("http://nlpdeep.cs.uic.edu:8080/proofing/t5/522936-other-medications-0-2.pdf","t5/522936-other-medications-0-2.pdf")</f>
        <v>t5/522936-other-medications-0-2.pdf</v>
      </c>
      <c r="E2171">
        <v>120842</v>
      </c>
      <c r="F2171">
        <v>522936</v>
      </c>
      <c r="G2171" t="s">
        <v>9</v>
      </c>
      <c r="H2171" t="s">
        <v>67</v>
      </c>
      <c r="I2171" t="s">
        <v>2774</v>
      </c>
    </row>
    <row r="2172" spans="1:9" x14ac:dyDescent="0.2">
      <c r="A2172" t="s">
        <v>3564</v>
      </c>
      <c r="D2172" t="str">
        <f>HYPERLINK("http://nlpdeep.cs.uic.edu:8080/proofing/gsii/522936-other-medications-0-2.pdf","gsii/522936-other-medications-0-2.pdf")</f>
        <v>gsii/522936-other-medications-0-2.pdf</v>
      </c>
      <c r="E2172">
        <v>120842</v>
      </c>
      <c r="F2172">
        <v>522936</v>
      </c>
      <c r="G2172" t="s">
        <v>9</v>
      </c>
      <c r="H2172" t="s">
        <v>67</v>
      </c>
      <c r="I2172" t="s">
        <v>2774</v>
      </c>
    </row>
    <row r="2173" spans="1:9" x14ac:dyDescent="0.2">
      <c r="A2173" t="s">
        <v>3565</v>
      </c>
      <c r="D2173" t="str">
        <f>HYPERLINK("http://nlpdeep.cs.uic.edu:8080/proofing/t5/522936-other-medications-0-3.pdf","t5/522936-other-medications-0-3.pdf")</f>
        <v>t5/522936-other-medications-0-3.pdf</v>
      </c>
      <c r="E2173">
        <v>120842</v>
      </c>
      <c r="F2173">
        <v>522936</v>
      </c>
      <c r="G2173" t="s">
        <v>9</v>
      </c>
      <c r="H2173" t="s">
        <v>67</v>
      </c>
      <c r="I2173" t="s">
        <v>3129</v>
      </c>
    </row>
    <row r="2174" spans="1:9" x14ac:dyDescent="0.2">
      <c r="A2174" t="s">
        <v>3565</v>
      </c>
      <c r="D2174" t="str">
        <f>HYPERLINK("http://nlpdeep.cs.uic.edu:8080/proofing/gsii/522936-other-medications-0-3.pdf","gsii/522936-other-medications-0-3.pdf")</f>
        <v>gsii/522936-other-medications-0-3.pdf</v>
      </c>
      <c r="E2174">
        <v>120842</v>
      </c>
      <c r="F2174">
        <v>522936</v>
      </c>
      <c r="G2174" t="s">
        <v>9</v>
      </c>
      <c r="H2174" t="s">
        <v>67</v>
      </c>
      <c r="I2174" t="s">
        <v>3129</v>
      </c>
    </row>
    <row r="2175" spans="1:9" x14ac:dyDescent="0.2">
      <c r="A2175" t="s">
        <v>3566</v>
      </c>
      <c r="D2175" t="str">
        <f>HYPERLINK("http://nlpdeep.cs.uic.edu:8080/proofing/t5/522936-other-medications-0-4.pdf","t5/522936-other-medications-0-4.pdf")</f>
        <v>t5/522936-other-medications-0-4.pdf</v>
      </c>
      <c r="E2175">
        <v>120842</v>
      </c>
      <c r="F2175">
        <v>522936</v>
      </c>
      <c r="G2175" t="s">
        <v>9</v>
      </c>
      <c r="H2175" t="s">
        <v>67</v>
      </c>
      <c r="I2175" t="s">
        <v>3131</v>
      </c>
    </row>
    <row r="2176" spans="1:9" x14ac:dyDescent="0.2">
      <c r="A2176" t="s">
        <v>3566</v>
      </c>
      <c r="D2176" t="str">
        <f>HYPERLINK("http://nlpdeep.cs.uic.edu:8080/proofing/gsii/522936-other-medications-0-4.pdf","gsii/522936-other-medications-0-4.pdf")</f>
        <v>gsii/522936-other-medications-0-4.pdf</v>
      </c>
      <c r="E2176">
        <v>120842</v>
      </c>
      <c r="F2176">
        <v>522936</v>
      </c>
      <c r="G2176" t="s">
        <v>9</v>
      </c>
      <c r="H2176" t="s">
        <v>67</v>
      </c>
      <c r="I2176" t="s">
        <v>3131</v>
      </c>
    </row>
    <row r="2177" spans="1:9" x14ac:dyDescent="0.2">
      <c r="A2177" t="s">
        <v>3567</v>
      </c>
      <c r="D2177" t="str">
        <f>HYPERLINK("http://nlpdeep.cs.uic.edu:8080/proofing/t5/522936-other-medications-0-5.pdf","t5/522936-other-medications-0-5.pdf")</f>
        <v>t5/522936-other-medications-0-5.pdf</v>
      </c>
      <c r="E2177">
        <v>120842</v>
      </c>
      <c r="F2177">
        <v>522936</v>
      </c>
      <c r="G2177" t="s">
        <v>9</v>
      </c>
      <c r="H2177" t="s">
        <v>67</v>
      </c>
      <c r="I2177" t="s">
        <v>3133</v>
      </c>
    </row>
    <row r="2178" spans="1:9" x14ac:dyDescent="0.2">
      <c r="A2178" t="s">
        <v>3567</v>
      </c>
      <c r="D2178" t="str">
        <f>HYPERLINK("http://nlpdeep.cs.uic.edu:8080/proofing/gsii/522936-other-medications-0-5.pdf","gsii/522936-other-medications-0-5.pdf")</f>
        <v>gsii/522936-other-medications-0-5.pdf</v>
      </c>
      <c r="E2178">
        <v>120842</v>
      </c>
      <c r="F2178">
        <v>522936</v>
      </c>
      <c r="G2178" t="s">
        <v>9</v>
      </c>
      <c r="H2178" t="s">
        <v>67</v>
      </c>
      <c r="I2178" t="s">
        <v>3133</v>
      </c>
    </row>
    <row r="2179" spans="1:9" x14ac:dyDescent="0.2">
      <c r="A2179" t="s">
        <v>3568</v>
      </c>
      <c r="D2179" t="str">
        <f>HYPERLINK("http://nlpdeep.cs.uic.edu:8080/proofing/t5/522936-past-medical-history-0-0.pdf","t5/522936-past-medical-history-0-0.pdf")</f>
        <v>t5/522936-past-medical-history-0-0.pdf</v>
      </c>
      <c r="E2179">
        <v>120842</v>
      </c>
      <c r="F2179">
        <v>522936</v>
      </c>
      <c r="G2179" t="s">
        <v>9</v>
      </c>
      <c r="H2179" t="s">
        <v>76</v>
      </c>
      <c r="I2179" t="s">
        <v>2787</v>
      </c>
    </row>
    <row r="2180" spans="1:9" x14ac:dyDescent="0.2">
      <c r="A2180" t="s">
        <v>3568</v>
      </c>
      <c r="D2180" t="str">
        <f>HYPERLINK("http://nlpdeep.cs.uic.edu:8080/proofing/gsii/522936-past-medical-history-0-0.pdf","gsii/522936-past-medical-history-0-0.pdf")</f>
        <v>gsii/522936-past-medical-history-0-0.pdf</v>
      </c>
      <c r="E2180">
        <v>120842</v>
      </c>
      <c r="F2180">
        <v>522936</v>
      </c>
      <c r="G2180" t="s">
        <v>9</v>
      </c>
      <c r="H2180" t="s">
        <v>76</v>
      </c>
      <c r="I2180" t="s">
        <v>2787</v>
      </c>
    </row>
    <row r="2181" spans="1:9" x14ac:dyDescent="0.2">
      <c r="A2181" t="s">
        <v>3569</v>
      </c>
      <c r="D2181" t="str">
        <f>HYPERLINK("http://nlpdeep.cs.uic.edu:8080/proofing/t5/522936-past-medical-history-0-1.pdf","t5/522936-past-medical-history-0-1.pdf")</f>
        <v>t5/522936-past-medical-history-0-1.pdf</v>
      </c>
      <c r="E2181">
        <v>120842</v>
      </c>
      <c r="F2181">
        <v>522936</v>
      </c>
      <c r="G2181" t="s">
        <v>9</v>
      </c>
      <c r="H2181" t="s">
        <v>76</v>
      </c>
      <c r="I2181" t="s">
        <v>2789</v>
      </c>
    </row>
    <row r="2182" spans="1:9" x14ac:dyDescent="0.2">
      <c r="A2182" t="s">
        <v>3569</v>
      </c>
      <c r="D2182" t="str">
        <f>HYPERLINK("http://nlpdeep.cs.uic.edu:8080/proofing/gsii/522936-past-medical-history-0-1.pdf","gsii/522936-past-medical-history-0-1.pdf")</f>
        <v>gsii/522936-past-medical-history-0-1.pdf</v>
      </c>
      <c r="E2182">
        <v>120842</v>
      </c>
      <c r="F2182">
        <v>522936</v>
      </c>
      <c r="G2182" t="s">
        <v>9</v>
      </c>
      <c r="H2182" t="s">
        <v>76</v>
      </c>
      <c r="I2182" t="s">
        <v>2789</v>
      </c>
    </row>
    <row r="2183" spans="1:9" x14ac:dyDescent="0.2">
      <c r="A2183" t="s">
        <v>3570</v>
      </c>
      <c r="D2183" t="str">
        <f>HYPERLINK("http://nlpdeep.cs.uic.edu:8080/proofing/t5/522936-past-medical-history-0-2.pdf","t5/522936-past-medical-history-0-2.pdf")</f>
        <v>t5/522936-past-medical-history-0-2.pdf</v>
      </c>
      <c r="E2183">
        <v>120842</v>
      </c>
      <c r="F2183">
        <v>522936</v>
      </c>
      <c r="G2183" t="s">
        <v>9</v>
      </c>
      <c r="H2183" t="s">
        <v>76</v>
      </c>
      <c r="I2183" t="s">
        <v>2791</v>
      </c>
    </row>
    <row r="2184" spans="1:9" x14ac:dyDescent="0.2">
      <c r="A2184" t="s">
        <v>3570</v>
      </c>
      <c r="D2184" t="str">
        <f>HYPERLINK("http://nlpdeep.cs.uic.edu:8080/proofing/gsii/522936-past-medical-history-0-2.pdf","gsii/522936-past-medical-history-0-2.pdf")</f>
        <v>gsii/522936-past-medical-history-0-2.pdf</v>
      </c>
      <c r="E2184">
        <v>120842</v>
      </c>
      <c r="F2184">
        <v>522936</v>
      </c>
      <c r="G2184" t="s">
        <v>9</v>
      </c>
      <c r="H2184" t="s">
        <v>76</v>
      </c>
      <c r="I2184" t="s">
        <v>2791</v>
      </c>
    </row>
    <row r="2185" spans="1:9" x14ac:dyDescent="0.2">
      <c r="A2185" t="s">
        <v>3571</v>
      </c>
      <c r="D2185" t="str">
        <f>HYPERLINK("http://nlpdeep.cs.uic.edu:8080/proofing/t5/522936-past-medical-history-0-3.pdf","t5/522936-past-medical-history-0-3.pdf")</f>
        <v>t5/522936-past-medical-history-0-3.pdf</v>
      </c>
      <c r="E2185">
        <v>120842</v>
      </c>
      <c r="F2185">
        <v>522936</v>
      </c>
      <c r="G2185" t="s">
        <v>9</v>
      </c>
      <c r="H2185" t="s">
        <v>76</v>
      </c>
      <c r="I2185" t="s">
        <v>2793</v>
      </c>
    </row>
    <row r="2186" spans="1:9" x14ac:dyDescent="0.2">
      <c r="A2186" t="s">
        <v>3571</v>
      </c>
      <c r="D2186" t="str">
        <f>HYPERLINK("http://nlpdeep.cs.uic.edu:8080/proofing/gsii/522936-past-medical-history-0-3.pdf","gsii/522936-past-medical-history-0-3.pdf")</f>
        <v>gsii/522936-past-medical-history-0-3.pdf</v>
      </c>
      <c r="E2186">
        <v>120842</v>
      </c>
      <c r="F2186">
        <v>522936</v>
      </c>
      <c r="G2186" t="s">
        <v>9</v>
      </c>
      <c r="H2186" t="s">
        <v>76</v>
      </c>
      <c r="I2186" t="s">
        <v>2793</v>
      </c>
    </row>
    <row r="2187" spans="1:9" x14ac:dyDescent="0.2">
      <c r="A2187" t="s">
        <v>3572</v>
      </c>
      <c r="D2187" t="str">
        <f>HYPERLINK("http://nlpdeep.cs.uic.edu:8080/proofing/t5/522936-past-medical-history-0-4.pdf","t5/522936-past-medical-history-0-4.pdf")</f>
        <v>t5/522936-past-medical-history-0-4.pdf</v>
      </c>
      <c r="E2187">
        <v>120842</v>
      </c>
      <c r="F2187">
        <v>522936</v>
      </c>
      <c r="G2187" t="s">
        <v>9</v>
      </c>
      <c r="H2187" t="s">
        <v>76</v>
      </c>
      <c r="I2187" t="s">
        <v>2795</v>
      </c>
    </row>
    <row r="2188" spans="1:9" x14ac:dyDescent="0.2">
      <c r="A2188" t="s">
        <v>3572</v>
      </c>
      <c r="D2188" t="str">
        <f>HYPERLINK("http://nlpdeep.cs.uic.edu:8080/proofing/gsii/522936-past-medical-history-0-4.pdf","gsii/522936-past-medical-history-0-4.pdf")</f>
        <v>gsii/522936-past-medical-history-0-4.pdf</v>
      </c>
      <c r="E2188">
        <v>120842</v>
      </c>
      <c r="F2188">
        <v>522936</v>
      </c>
      <c r="G2188" t="s">
        <v>9</v>
      </c>
      <c r="H2188" t="s">
        <v>76</v>
      </c>
      <c r="I2188" t="s">
        <v>2795</v>
      </c>
    </row>
    <row r="2189" spans="1:9" x14ac:dyDescent="0.2">
      <c r="A2189" t="s">
        <v>3573</v>
      </c>
      <c r="D2189" t="str">
        <f>HYPERLINK("http://nlpdeep.cs.uic.edu:8080/proofing/t5/522936-past-medical-history-0-5.pdf","t5/522936-past-medical-history-0-5.pdf")</f>
        <v>t5/522936-past-medical-history-0-5.pdf</v>
      </c>
      <c r="E2189">
        <v>120842</v>
      </c>
      <c r="F2189">
        <v>522936</v>
      </c>
      <c r="G2189" t="s">
        <v>9</v>
      </c>
      <c r="H2189" t="s">
        <v>76</v>
      </c>
      <c r="I2189" t="s">
        <v>3140</v>
      </c>
    </row>
    <row r="2190" spans="1:9" x14ac:dyDescent="0.2">
      <c r="A2190" t="s">
        <v>3573</v>
      </c>
      <c r="D2190" t="str">
        <f>HYPERLINK("http://nlpdeep.cs.uic.edu:8080/proofing/gsii/522936-past-medical-history-0-5.pdf","gsii/522936-past-medical-history-0-5.pdf")</f>
        <v>gsii/522936-past-medical-history-0-5.pdf</v>
      </c>
      <c r="E2190">
        <v>120842</v>
      </c>
      <c r="F2190">
        <v>522936</v>
      </c>
      <c r="G2190" t="s">
        <v>9</v>
      </c>
      <c r="H2190" t="s">
        <v>76</v>
      </c>
      <c r="I2190" t="s">
        <v>3140</v>
      </c>
    </row>
    <row r="2191" spans="1:9" x14ac:dyDescent="0.2">
      <c r="A2191" t="s">
        <v>3574</v>
      </c>
      <c r="D2191" t="str">
        <f>HYPERLINK("http://nlpdeep.cs.uic.edu:8080/proofing/t5/522936-family-history-0-0.pdf","t5/522936-family-history-0-0.pdf")</f>
        <v>t5/522936-family-history-0-0.pdf</v>
      </c>
      <c r="E2191">
        <v>120842</v>
      </c>
      <c r="F2191">
        <v>522936</v>
      </c>
      <c r="G2191" t="s">
        <v>9</v>
      </c>
      <c r="H2191" t="s">
        <v>107</v>
      </c>
      <c r="I2191" t="s">
        <v>2800</v>
      </c>
    </row>
    <row r="2192" spans="1:9" x14ac:dyDescent="0.2">
      <c r="A2192" t="s">
        <v>3574</v>
      </c>
      <c r="D2192" t="str">
        <f>HYPERLINK("http://nlpdeep.cs.uic.edu:8080/proofing/gsii/522936-family-history-0-0.pdf","gsii/522936-family-history-0-0.pdf")</f>
        <v>gsii/522936-family-history-0-0.pdf</v>
      </c>
      <c r="E2192">
        <v>120842</v>
      </c>
      <c r="F2192">
        <v>522936</v>
      </c>
      <c r="G2192" t="s">
        <v>9</v>
      </c>
      <c r="H2192" t="s">
        <v>107</v>
      </c>
      <c r="I2192" t="s">
        <v>2800</v>
      </c>
    </row>
    <row r="2193" spans="1:9" x14ac:dyDescent="0.2">
      <c r="A2193" t="s">
        <v>3575</v>
      </c>
      <c r="D2193" t="str">
        <f>HYPERLINK("http://nlpdeep.cs.uic.edu:8080/proofing/t5/522936-family-history-0-1.pdf","t5/522936-family-history-0-1.pdf")</f>
        <v>t5/522936-family-history-0-1.pdf</v>
      </c>
      <c r="E2193">
        <v>120842</v>
      </c>
      <c r="F2193">
        <v>522936</v>
      </c>
      <c r="G2193" t="s">
        <v>9</v>
      </c>
      <c r="H2193" t="s">
        <v>107</v>
      </c>
      <c r="I2193" t="s">
        <v>2802</v>
      </c>
    </row>
    <row r="2194" spans="1:9" x14ac:dyDescent="0.2">
      <c r="A2194" t="s">
        <v>3575</v>
      </c>
      <c r="D2194" t="str">
        <f>HYPERLINK("http://nlpdeep.cs.uic.edu:8080/proofing/gsii/522936-family-history-0-1.pdf","gsii/522936-family-history-0-1.pdf")</f>
        <v>gsii/522936-family-history-0-1.pdf</v>
      </c>
      <c r="E2194">
        <v>120842</v>
      </c>
      <c r="F2194">
        <v>522936</v>
      </c>
      <c r="G2194" t="s">
        <v>9</v>
      </c>
      <c r="H2194" t="s">
        <v>107</v>
      </c>
      <c r="I2194" t="s">
        <v>2802</v>
      </c>
    </row>
    <row r="2195" spans="1:9" x14ac:dyDescent="0.2">
      <c r="A2195" t="s">
        <v>3576</v>
      </c>
      <c r="D2195" t="str">
        <f>HYPERLINK("http://nlpdeep.cs.uic.edu:8080/proofing/t5/522936-social-history-0-0.pdf","t5/522936-social-history-0-0.pdf")</f>
        <v>t5/522936-social-history-0-0.pdf</v>
      </c>
      <c r="E2195">
        <v>120842</v>
      </c>
      <c r="F2195">
        <v>522936</v>
      </c>
      <c r="G2195" t="s">
        <v>9</v>
      </c>
      <c r="H2195" t="s">
        <v>118</v>
      </c>
      <c r="I2195" t="s">
        <v>2804</v>
      </c>
    </row>
    <row r="2196" spans="1:9" x14ac:dyDescent="0.2">
      <c r="A2196" t="s">
        <v>3576</v>
      </c>
      <c r="D2196" t="str">
        <f>HYPERLINK("http://nlpdeep.cs.uic.edu:8080/proofing/gsii/522936-social-history-0-0.pdf","gsii/522936-social-history-0-0.pdf")</f>
        <v>gsii/522936-social-history-0-0.pdf</v>
      </c>
      <c r="E2196">
        <v>120842</v>
      </c>
      <c r="F2196">
        <v>522936</v>
      </c>
      <c r="G2196" t="s">
        <v>9</v>
      </c>
      <c r="H2196" t="s">
        <v>118</v>
      </c>
      <c r="I2196" t="s">
        <v>2804</v>
      </c>
    </row>
    <row r="2197" spans="1:9" x14ac:dyDescent="0.2">
      <c r="A2197" t="s">
        <v>3577</v>
      </c>
      <c r="D2197" t="str">
        <f>HYPERLINK("http://nlpdeep.cs.uic.edu:8080/proofing/t5/522936-social-history-0-1.pdf","t5/522936-social-history-0-1.pdf")</f>
        <v>t5/522936-social-history-0-1.pdf</v>
      </c>
      <c r="E2197">
        <v>120842</v>
      </c>
      <c r="F2197">
        <v>522936</v>
      </c>
      <c r="G2197" t="s">
        <v>9</v>
      </c>
      <c r="H2197" t="s">
        <v>118</v>
      </c>
      <c r="I2197" t="s">
        <v>3145</v>
      </c>
    </row>
    <row r="2198" spans="1:9" x14ac:dyDescent="0.2">
      <c r="A2198" t="s">
        <v>3577</v>
      </c>
      <c r="D2198" t="str">
        <f>HYPERLINK("http://nlpdeep.cs.uic.edu:8080/proofing/gsii/522936-social-history-0-1.pdf","gsii/522936-social-history-0-1.pdf")</f>
        <v>gsii/522936-social-history-0-1.pdf</v>
      </c>
      <c r="E2198">
        <v>120842</v>
      </c>
      <c r="F2198">
        <v>522936</v>
      </c>
      <c r="G2198" t="s">
        <v>9</v>
      </c>
      <c r="H2198" t="s">
        <v>118</v>
      </c>
      <c r="I2198" t="s">
        <v>3145</v>
      </c>
    </row>
    <row r="2199" spans="1:9" x14ac:dyDescent="0.2">
      <c r="A2199" t="s">
        <v>3578</v>
      </c>
      <c r="D2199" t="str">
        <f>HYPERLINK("http://nlpdeep.cs.uic.edu:8080/proofing/t5/522936-review-of-systems-0-0.pdf","t5/522936-review-of-systems-0-0.pdf")</f>
        <v>t5/522936-review-of-systems-0-0.pdf</v>
      </c>
      <c r="E2199">
        <v>120842</v>
      </c>
      <c r="F2199">
        <v>522936</v>
      </c>
      <c r="G2199" t="s">
        <v>9</v>
      </c>
      <c r="H2199" t="s">
        <v>393</v>
      </c>
      <c r="I2199" t="s">
        <v>3147</v>
      </c>
    </row>
    <row r="2200" spans="1:9" x14ac:dyDescent="0.2">
      <c r="A2200" t="s">
        <v>3578</v>
      </c>
      <c r="D2200" t="str">
        <f>HYPERLINK("http://nlpdeep.cs.uic.edu:8080/proofing/gsii/522936-review-of-systems-0-0.pdf","gsii/522936-review-of-systems-0-0.pdf")</f>
        <v>gsii/522936-review-of-systems-0-0.pdf</v>
      </c>
      <c r="E2200">
        <v>120842</v>
      </c>
      <c r="F2200">
        <v>522936</v>
      </c>
      <c r="G2200" t="s">
        <v>9</v>
      </c>
      <c r="H2200" t="s">
        <v>393</v>
      </c>
      <c r="I2200" t="s">
        <v>3147</v>
      </c>
    </row>
    <row r="2201" spans="1:9" x14ac:dyDescent="0.2">
      <c r="A2201" t="s">
        <v>3579</v>
      </c>
      <c r="D2201" t="str">
        <f>HYPERLINK("http://nlpdeep.cs.uic.edu:8080/proofing/t5/522936-review-of-systems-0-1.pdf","t5/522936-review-of-systems-0-1.pdf")</f>
        <v>t5/522936-review-of-systems-0-1.pdf</v>
      </c>
      <c r="E2201">
        <v>120842</v>
      </c>
      <c r="F2201">
        <v>522936</v>
      </c>
      <c r="G2201" t="s">
        <v>9</v>
      </c>
      <c r="H2201" t="s">
        <v>393</v>
      </c>
      <c r="I2201" t="s">
        <v>3149</v>
      </c>
    </row>
    <row r="2202" spans="1:9" x14ac:dyDescent="0.2">
      <c r="A2202" t="s">
        <v>3579</v>
      </c>
      <c r="D2202" t="str">
        <f>HYPERLINK("http://nlpdeep.cs.uic.edu:8080/proofing/gsii/522936-review-of-systems-0-1.pdf","gsii/522936-review-of-systems-0-1.pdf")</f>
        <v>gsii/522936-review-of-systems-0-1.pdf</v>
      </c>
      <c r="E2202">
        <v>120842</v>
      </c>
      <c r="F2202">
        <v>522936</v>
      </c>
      <c r="G2202" t="s">
        <v>9</v>
      </c>
      <c r="H2202" t="s">
        <v>393</v>
      </c>
      <c r="I2202" t="s">
        <v>3149</v>
      </c>
    </row>
    <row r="2203" spans="1:9" x14ac:dyDescent="0.2">
      <c r="A2203" t="s">
        <v>3580</v>
      </c>
      <c r="D2203" t="str">
        <f>HYPERLINK("http://nlpdeep.cs.uic.edu:8080/proofing/t5/522936-review-of-systems-0-2.pdf","t5/522936-review-of-systems-0-2.pdf")</f>
        <v>t5/522936-review-of-systems-0-2.pdf</v>
      </c>
      <c r="E2203">
        <v>120842</v>
      </c>
      <c r="F2203">
        <v>522936</v>
      </c>
      <c r="G2203" t="s">
        <v>9</v>
      </c>
      <c r="H2203" t="s">
        <v>393</v>
      </c>
      <c r="I2203" t="s">
        <v>3151</v>
      </c>
    </row>
    <row r="2204" spans="1:9" x14ac:dyDescent="0.2">
      <c r="A2204" t="s">
        <v>3580</v>
      </c>
      <c r="D2204" t="str">
        <f>HYPERLINK("http://nlpdeep.cs.uic.edu:8080/proofing/gsii/522936-review-of-systems-0-2.pdf","gsii/522936-review-of-systems-0-2.pdf")</f>
        <v>gsii/522936-review-of-systems-0-2.pdf</v>
      </c>
      <c r="E2204">
        <v>120842</v>
      </c>
      <c r="F2204">
        <v>522936</v>
      </c>
      <c r="G2204" t="s">
        <v>9</v>
      </c>
      <c r="H2204" t="s">
        <v>393</v>
      </c>
      <c r="I2204" t="s">
        <v>3151</v>
      </c>
    </row>
    <row r="2205" spans="1:9" x14ac:dyDescent="0.2">
      <c r="A2205" t="s">
        <v>3581</v>
      </c>
      <c r="D2205" t="str">
        <f>HYPERLINK("http://nlpdeep.cs.uic.edu:8080/proofing/t5/522936-review-of-systems-0-3.pdf","t5/522936-review-of-systems-0-3.pdf")</f>
        <v>t5/522936-review-of-systems-0-3.pdf</v>
      </c>
      <c r="E2205">
        <v>120842</v>
      </c>
      <c r="F2205">
        <v>522936</v>
      </c>
      <c r="G2205" t="s">
        <v>9</v>
      </c>
      <c r="H2205" t="s">
        <v>393</v>
      </c>
      <c r="I2205" t="s">
        <v>3153</v>
      </c>
    </row>
    <row r="2206" spans="1:9" x14ac:dyDescent="0.2">
      <c r="A2206" t="s">
        <v>3581</v>
      </c>
      <c r="D2206" t="str">
        <f>HYPERLINK("http://nlpdeep.cs.uic.edu:8080/proofing/gsii/522936-review-of-systems-0-3.pdf","gsii/522936-review-of-systems-0-3.pdf")</f>
        <v>gsii/522936-review-of-systems-0-3.pdf</v>
      </c>
      <c r="E2206">
        <v>120842</v>
      </c>
      <c r="F2206">
        <v>522936</v>
      </c>
      <c r="G2206" t="s">
        <v>9</v>
      </c>
      <c r="H2206" t="s">
        <v>393</v>
      </c>
      <c r="I2206" t="s">
        <v>3153</v>
      </c>
    </row>
    <row r="2207" spans="1:9" x14ac:dyDescent="0.2">
      <c r="A2207" t="s">
        <v>3582</v>
      </c>
      <c r="D2207" t="str">
        <f>HYPERLINK("http://nlpdeep.cs.uic.edu:8080/proofing/t5/522936-review-of-systems-0-4.pdf","t5/522936-review-of-systems-0-4.pdf")</f>
        <v>t5/522936-review-of-systems-0-4.pdf</v>
      </c>
      <c r="E2207">
        <v>120842</v>
      </c>
      <c r="F2207">
        <v>522936</v>
      </c>
      <c r="G2207" t="s">
        <v>9</v>
      </c>
      <c r="H2207" t="s">
        <v>393</v>
      </c>
      <c r="I2207" t="s">
        <v>3155</v>
      </c>
    </row>
    <row r="2208" spans="1:9" x14ac:dyDescent="0.2">
      <c r="A2208" t="s">
        <v>3582</v>
      </c>
      <c r="D2208" t="str">
        <f>HYPERLINK("http://nlpdeep.cs.uic.edu:8080/proofing/gsii/522936-review-of-systems-0-4.pdf","gsii/522936-review-of-systems-0-4.pdf")</f>
        <v>gsii/522936-review-of-systems-0-4.pdf</v>
      </c>
      <c r="E2208">
        <v>120842</v>
      </c>
      <c r="F2208">
        <v>522936</v>
      </c>
      <c r="G2208" t="s">
        <v>9</v>
      </c>
      <c r="H2208" t="s">
        <v>393</v>
      </c>
      <c r="I2208" t="s">
        <v>3155</v>
      </c>
    </row>
    <row r="2209" spans="1:9" x14ac:dyDescent="0.2">
      <c r="A2209" t="s">
        <v>3583</v>
      </c>
      <c r="D2209" t="str">
        <f>HYPERLINK("http://nlpdeep.cs.uic.edu:8080/proofing/t5/522936-review-of-systems-0-5.pdf","t5/522936-review-of-systems-0-5.pdf")</f>
        <v>t5/522936-review-of-systems-0-5.pdf</v>
      </c>
      <c r="E2209">
        <v>120842</v>
      </c>
      <c r="F2209">
        <v>522936</v>
      </c>
      <c r="G2209" t="s">
        <v>9</v>
      </c>
      <c r="H2209" t="s">
        <v>393</v>
      </c>
      <c r="I2209" t="s">
        <v>3157</v>
      </c>
    </row>
    <row r="2210" spans="1:9" x14ac:dyDescent="0.2">
      <c r="A2210" t="s">
        <v>3583</v>
      </c>
      <c r="D2210" t="str">
        <f>HYPERLINK("http://nlpdeep.cs.uic.edu:8080/proofing/gsii/522936-review-of-systems-0-5.pdf","gsii/522936-review-of-systems-0-5.pdf")</f>
        <v>gsii/522936-review-of-systems-0-5.pdf</v>
      </c>
      <c r="E2210">
        <v>120842</v>
      </c>
      <c r="F2210">
        <v>522936</v>
      </c>
      <c r="G2210" t="s">
        <v>9</v>
      </c>
      <c r="H2210" t="s">
        <v>393</v>
      </c>
      <c r="I2210" t="s">
        <v>3157</v>
      </c>
    </row>
    <row r="2211" spans="1:9" x14ac:dyDescent="0.2">
      <c r="A2211" t="s">
        <v>3584</v>
      </c>
      <c r="D2211" t="str">
        <f>HYPERLINK("http://nlpdeep.cs.uic.edu:8080/proofing/t5/522936-review-of-systems-0-6.pdf","t5/522936-review-of-systems-0-6.pdf")</f>
        <v>t5/522936-review-of-systems-0-6.pdf</v>
      </c>
      <c r="E2211">
        <v>120842</v>
      </c>
      <c r="F2211">
        <v>522936</v>
      </c>
      <c r="G2211" t="s">
        <v>9</v>
      </c>
      <c r="H2211" t="s">
        <v>393</v>
      </c>
      <c r="I2211" t="s">
        <v>3159</v>
      </c>
    </row>
    <row r="2212" spans="1:9" x14ac:dyDescent="0.2">
      <c r="A2212" t="s">
        <v>3584</v>
      </c>
      <c r="D2212" t="str">
        <f>HYPERLINK("http://nlpdeep.cs.uic.edu:8080/proofing/gsii/522936-review-of-systems-0-6.pdf","gsii/522936-review-of-systems-0-6.pdf")</f>
        <v>gsii/522936-review-of-systems-0-6.pdf</v>
      </c>
      <c r="E2212">
        <v>120842</v>
      </c>
      <c r="F2212">
        <v>522936</v>
      </c>
      <c r="G2212" t="s">
        <v>9</v>
      </c>
      <c r="H2212" t="s">
        <v>393</v>
      </c>
      <c r="I2212" t="s">
        <v>3159</v>
      </c>
    </row>
    <row r="2213" spans="1:9" x14ac:dyDescent="0.2">
      <c r="A2213" t="s">
        <v>3585</v>
      </c>
      <c r="D2213" t="str">
        <f>HYPERLINK("http://nlpdeep.cs.uic.edu:8080/proofing/t5/522936-flowsheet-data-vitals-0-0.pdf","t5/522936-flowsheet-data-vitals-0-0.pdf")</f>
        <v>t5/522936-flowsheet-data-vitals-0-0.pdf</v>
      </c>
      <c r="E2213">
        <v>120842</v>
      </c>
      <c r="F2213">
        <v>522936</v>
      </c>
      <c r="G2213" t="s">
        <v>9</v>
      </c>
      <c r="H2213" t="s">
        <v>135</v>
      </c>
      <c r="I2213" t="s">
        <v>3161</v>
      </c>
    </row>
    <row r="2214" spans="1:9" x14ac:dyDescent="0.2">
      <c r="A2214" t="s">
        <v>3585</v>
      </c>
      <c r="D2214" t="str">
        <f>HYPERLINK("http://nlpdeep.cs.uic.edu:8080/proofing/gsii/522936-flowsheet-data-vitals-0-0.pdf","gsii/522936-flowsheet-data-vitals-0-0.pdf")</f>
        <v>gsii/522936-flowsheet-data-vitals-0-0.pdf</v>
      </c>
      <c r="E2214">
        <v>120842</v>
      </c>
      <c r="F2214">
        <v>522936</v>
      </c>
      <c r="G2214" t="s">
        <v>9</v>
      </c>
      <c r="H2214" t="s">
        <v>135</v>
      </c>
      <c r="I2214" t="s">
        <v>3161</v>
      </c>
    </row>
    <row r="2215" spans="1:9" x14ac:dyDescent="0.2">
      <c r="A2215" t="s">
        <v>3586</v>
      </c>
      <c r="D2215" t="str">
        <f>HYPERLINK("http://nlpdeep.cs.uic.edu:8080/proofing/t5/522936-physical-examination-0-0.pdf","t5/522936-physical-examination-0-0.pdf")</f>
        <v>t5/522936-physical-examination-0-0.pdf</v>
      </c>
      <c r="E2215">
        <v>120842</v>
      </c>
      <c r="F2215">
        <v>522936</v>
      </c>
      <c r="G2215" t="s">
        <v>9</v>
      </c>
      <c r="H2215" t="s">
        <v>138</v>
      </c>
      <c r="I2215" t="s">
        <v>3163</v>
      </c>
    </row>
    <row r="2216" spans="1:9" x14ac:dyDescent="0.2">
      <c r="A2216" t="s">
        <v>3586</v>
      </c>
      <c r="D2216" t="str">
        <f>HYPERLINK("http://nlpdeep.cs.uic.edu:8080/proofing/gsii/522936-physical-examination-0-0.pdf","gsii/522936-physical-examination-0-0.pdf")</f>
        <v>gsii/522936-physical-examination-0-0.pdf</v>
      </c>
      <c r="E2216">
        <v>120842</v>
      </c>
      <c r="F2216">
        <v>522936</v>
      </c>
      <c r="G2216" t="s">
        <v>9</v>
      </c>
      <c r="H2216" t="s">
        <v>138</v>
      </c>
      <c r="I2216" t="s">
        <v>3163</v>
      </c>
    </row>
    <row r="2217" spans="1:9" x14ac:dyDescent="0.2">
      <c r="A2217" t="s">
        <v>3587</v>
      </c>
      <c r="D2217" t="str">
        <f>HYPERLINK("http://nlpdeep.cs.uic.edu:8080/proofing/t5/522936-physical-examination-0-1.pdf","t5/522936-physical-examination-0-1.pdf")</f>
        <v>t5/522936-physical-examination-0-1.pdf</v>
      </c>
      <c r="E2217">
        <v>120842</v>
      </c>
      <c r="F2217">
        <v>522936</v>
      </c>
      <c r="G2217" t="s">
        <v>9</v>
      </c>
      <c r="H2217" t="s">
        <v>138</v>
      </c>
      <c r="I2217" t="s">
        <v>3165</v>
      </c>
    </row>
    <row r="2218" spans="1:9" x14ac:dyDescent="0.2">
      <c r="A2218" t="s">
        <v>3587</v>
      </c>
      <c r="D2218" t="str">
        <f>HYPERLINK("http://nlpdeep.cs.uic.edu:8080/proofing/gsii/522936-physical-examination-0-1.pdf","gsii/522936-physical-examination-0-1.pdf")</f>
        <v>gsii/522936-physical-examination-0-1.pdf</v>
      </c>
      <c r="E2218">
        <v>120842</v>
      </c>
      <c r="F2218">
        <v>522936</v>
      </c>
      <c r="G2218" t="s">
        <v>9</v>
      </c>
      <c r="H2218" t="s">
        <v>138</v>
      </c>
      <c r="I2218" t="s">
        <v>3165</v>
      </c>
    </row>
    <row r="2219" spans="1:9" x14ac:dyDescent="0.2">
      <c r="A2219" t="s">
        <v>3588</v>
      </c>
      <c r="D2219" t="str">
        <f>HYPERLINK("http://nlpdeep.cs.uic.edu:8080/proofing/t5/522936-labs-imaging-0-0.pdf","t5/522936-labs-imaging-0-0.pdf")</f>
        <v>t5/522936-labs-imaging-0-0.pdf</v>
      </c>
      <c r="E2219">
        <v>120842</v>
      </c>
      <c r="F2219">
        <v>522936</v>
      </c>
      <c r="G2219" t="s">
        <v>9</v>
      </c>
      <c r="H2219" t="s">
        <v>147</v>
      </c>
      <c r="I2219" t="s">
        <v>3167</v>
      </c>
    </row>
    <row r="2220" spans="1:9" x14ac:dyDescent="0.2">
      <c r="A2220" t="s">
        <v>3588</v>
      </c>
      <c r="D2220" t="str">
        <f>HYPERLINK("http://nlpdeep.cs.uic.edu:8080/proofing/gsii/522936-labs-imaging-0-0.pdf","gsii/522936-labs-imaging-0-0.pdf")</f>
        <v>gsii/522936-labs-imaging-0-0.pdf</v>
      </c>
      <c r="E2220">
        <v>120842</v>
      </c>
      <c r="F2220">
        <v>522936</v>
      </c>
      <c r="G2220" t="s">
        <v>9</v>
      </c>
      <c r="H2220" t="s">
        <v>147</v>
      </c>
      <c r="I2220" t="s">
        <v>3167</v>
      </c>
    </row>
    <row r="2221" spans="1:9" x14ac:dyDescent="0.2">
      <c r="A2221" t="s">
        <v>3589</v>
      </c>
      <c r="D2221" t="str">
        <f>HYPERLINK("http://nlpdeep.cs.uic.edu:8080/proofing/t5/522936-labs-imaging-0-1.pdf","t5/522936-labs-imaging-0-1.pdf")</f>
        <v>t5/522936-labs-imaging-0-1.pdf</v>
      </c>
      <c r="E2221">
        <v>120842</v>
      </c>
      <c r="F2221">
        <v>522936</v>
      </c>
      <c r="G2221" t="s">
        <v>9</v>
      </c>
      <c r="H2221" t="s">
        <v>147</v>
      </c>
      <c r="I2221" t="s">
        <v>3169</v>
      </c>
    </row>
    <row r="2222" spans="1:9" x14ac:dyDescent="0.2">
      <c r="A2222" t="s">
        <v>3589</v>
      </c>
      <c r="D2222" t="str">
        <f>HYPERLINK("http://nlpdeep.cs.uic.edu:8080/proofing/gsii/522936-labs-imaging-0-1.pdf","gsii/522936-labs-imaging-0-1.pdf")</f>
        <v>gsii/522936-labs-imaging-0-1.pdf</v>
      </c>
      <c r="E2222">
        <v>120842</v>
      </c>
      <c r="F2222">
        <v>522936</v>
      </c>
      <c r="G2222" t="s">
        <v>9</v>
      </c>
      <c r="H2222" t="s">
        <v>147</v>
      </c>
      <c r="I2222" t="s">
        <v>3169</v>
      </c>
    </row>
    <row r="2223" spans="1:9" x14ac:dyDescent="0.2">
      <c r="A2223" t="s">
        <v>3590</v>
      </c>
      <c r="D2223" t="str">
        <f>HYPERLINK("http://nlpdeep.cs.uic.edu:8080/proofing/t5/522936-labs-imaging-0-2.pdf","t5/522936-labs-imaging-0-2.pdf")</f>
        <v>t5/522936-labs-imaging-0-2.pdf</v>
      </c>
      <c r="E2223">
        <v>120842</v>
      </c>
      <c r="F2223">
        <v>522936</v>
      </c>
      <c r="G2223" t="s">
        <v>9</v>
      </c>
      <c r="H2223" t="s">
        <v>147</v>
      </c>
      <c r="I2223" t="s">
        <v>3171</v>
      </c>
    </row>
    <row r="2224" spans="1:9" x14ac:dyDescent="0.2">
      <c r="A2224" t="s">
        <v>3590</v>
      </c>
      <c r="D2224" t="str">
        <f>HYPERLINK("http://nlpdeep.cs.uic.edu:8080/proofing/gsii/522936-labs-imaging-0-2.pdf","gsii/522936-labs-imaging-0-2.pdf")</f>
        <v>gsii/522936-labs-imaging-0-2.pdf</v>
      </c>
      <c r="E2224">
        <v>120842</v>
      </c>
      <c r="F2224">
        <v>522936</v>
      </c>
      <c r="G2224" t="s">
        <v>9</v>
      </c>
      <c r="H2224" t="s">
        <v>147</v>
      </c>
      <c r="I2224" t="s">
        <v>3171</v>
      </c>
    </row>
    <row r="2225" spans="1:9" x14ac:dyDescent="0.2">
      <c r="A2225" t="s">
        <v>3591</v>
      </c>
      <c r="D2225" t="str">
        <f>HYPERLINK("http://nlpdeep.cs.uic.edu:8080/proofing/t5/522936-labs-imaging-0-3.pdf","t5/522936-labs-imaging-0-3.pdf")</f>
        <v>t5/522936-labs-imaging-0-3.pdf</v>
      </c>
      <c r="E2225">
        <v>120842</v>
      </c>
      <c r="F2225">
        <v>522936</v>
      </c>
      <c r="G2225" t="s">
        <v>9</v>
      </c>
      <c r="H2225" t="s">
        <v>147</v>
      </c>
      <c r="I2225" t="s">
        <v>3173</v>
      </c>
    </row>
    <row r="2226" spans="1:9" x14ac:dyDescent="0.2">
      <c r="A2226" t="s">
        <v>3591</v>
      </c>
      <c r="D2226" t="str">
        <f>HYPERLINK("http://nlpdeep.cs.uic.edu:8080/proofing/gsii/522936-labs-imaging-0-3.pdf","gsii/522936-labs-imaging-0-3.pdf")</f>
        <v>gsii/522936-labs-imaging-0-3.pdf</v>
      </c>
      <c r="E2226">
        <v>120842</v>
      </c>
      <c r="F2226">
        <v>522936</v>
      </c>
      <c r="G2226" t="s">
        <v>9</v>
      </c>
      <c r="H2226" t="s">
        <v>147</v>
      </c>
      <c r="I2226" t="s">
        <v>3173</v>
      </c>
    </row>
    <row r="2227" spans="1:9" x14ac:dyDescent="0.2">
      <c r="A2227" t="s">
        <v>3592</v>
      </c>
      <c r="D2227" t="str">
        <f>HYPERLINK("http://nlpdeep.cs.uic.edu:8080/proofing/t5/522936-labs-imaging-0-4.pdf","t5/522936-labs-imaging-0-4.pdf")</f>
        <v>t5/522936-labs-imaging-0-4.pdf</v>
      </c>
      <c r="E2227">
        <v>120842</v>
      </c>
      <c r="F2227">
        <v>522936</v>
      </c>
      <c r="G2227" t="s">
        <v>9</v>
      </c>
      <c r="H2227" t="s">
        <v>147</v>
      </c>
      <c r="I2227" t="s">
        <v>3175</v>
      </c>
    </row>
    <row r="2228" spans="1:9" x14ac:dyDescent="0.2">
      <c r="A2228" t="s">
        <v>3592</v>
      </c>
      <c r="D2228" t="str">
        <f>HYPERLINK("http://nlpdeep.cs.uic.edu:8080/proofing/gsii/522936-labs-imaging-0-4.pdf","gsii/522936-labs-imaging-0-4.pdf")</f>
        <v>gsii/522936-labs-imaging-0-4.pdf</v>
      </c>
      <c r="E2228">
        <v>120842</v>
      </c>
      <c r="F2228">
        <v>522936</v>
      </c>
      <c r="G2228" t="s">
        <v>9</v>
      </c>
      <c r="H2228" t="s">
        <v>147</v>
      </c>
      <c r="I2228" t="s">
        <v>3175</v>
      </c>
    </row>
    <row r="2229" spans="1:9" x14ac:dyDescent="0.2">
      <c r="A2229" t="s">
        <v>3593</v>
      </c>
      <c r="D2229" t="str">
        <f>HYPERLINK("http://nlpdeep.cs.uic.edu:8080/proofing/t5/522936-labs-imaging-0-5.pdf","t5/522936-labs-imaging-0-5.pdf")</f>
        <v>t5/522936-labs-imaging-0-5.pdf</v>
      </c>
      <c r="E2229">
        <v>120842</v>
      </c>
      <c r="F2229">
        <v>522936</v>
      </c>
      <c r="G2229" t="s">
        <v>9</v>
      </c>
      <c r="H2229" t="s">
        <v>147</v>
      </c>
      <c r="I2229" t="s">
        <v>3177</v>
      </c>
    </row>
    <row r="2230" spans="1:9" x14ac:dyDescent="0.2">
      <c r="A2230" t="s">
        <v>3593</v>
      </c>
      <c r="D2230" t="str">
        <f>HYPERLINK("http://nlpdeep.cs.uic.edu:8080/proofing/gsii/522936-labs-imaging-0-5.pdf","gsii/522936-labs-imaging-0-5.pdf")</f>
        <v>gsii/522936-labs-imaging-0-5.pdf</v>
      </c>
      <c r="E2230">
        <v>120842</v>
      </c>
      <c r="F2230">
        <v>522936</v>
      </c>
      <c r="G2230" t="s">
        <v>9</v>
      </c>
      <c r="H2230" t="s">
        <v>147</v>
      </c>
      <c r="I2230" t="s">
        <v>3177</v>
      </c>
    </row>
    <row r="2231" spans="1:9" x14ac:dyDescent="0.2">
      <c r="A2231" t="s">
        <v>3594</v>
      </c>
      <c r="D2231" t="str">
        <f>HYPERLINK("http://nlpdeep.cs.uic.edu:8080/proofing/t5/522936-labs-imaging-0-6.pdf","t5/522936-labs-imaging-0-6.pdf")</f>
        <v>t5/522936-labs-imaging-0-6.pdf</v>
      </c>
      <c r="E2231">
        <v>120842</v>
      </c>
      <c r="F2231">
        <v>522936</v>
      </c>
      <c r="G2231" t="s">
        <v>9</v>
      </c>
      <c r="H2231" t="s">
        <v>147</v>
      </c>
      <c r="I2231" t="s">
        <v>3179</v>
      </c>
    </row>
    <row r="2232" spans="1:9" x14ac:dyDescent="0.2">
      <c r="A2232" t="s">
        <v>3594</v>
      </c>
      <c r="D2232" t="str">
        <f>HYPERLINK("http://nlpdeep.cs.uic.edu:8080/proofing/gsii/522936-labs-imaging-0-6.pdf","gsii/522936-labs-imaging-0-6.pdf")</f>
        <v>gsii/522936-labs-imaging-0-6.pdf</v>
      </c>
      <c r="E2232">
        <v>120842</v>
      </c>
      <c r="F2232">
        <v>522936</v>
      </c>
      <c r="G2232" t="s">
        <v>9</v>
      </c>
      <c r="H2232" t="s">
        <v>147</v>
      </c>
      <c r="I2232" t="s">
        <v>3179</v>
      </c>
    </row>
    <row r="2233" spans="1:9" x14ac:dyDescent="0.2">
      <c r="A2233" t="s">
        <v>3595</v>
      </c>
      <c r="D2233" t="str">
        <f>HYPERLINK("http://nlpdeep.cs.uic.edu:8080/proofing/t5/522936-labs-imaging-0-7.pdf","t5/522936-labs-imaging-0-7.pdf")</f>
        <v>t5/522936-labs-imaging-0-7.pdf</v>
      </c>
      <c r="E2233">
        <v>120842</v>
      </c>
      <c r="F2233">
        <v>522936</v>
      </c>
      <c r="G2233" t="s">
        <v>9</v>
      </c>
      <c r="H2233" t="s">
        <v>147</v>
      </c>
      <c r="I2233" t="s">
        <v>3181</v>
      </c>
    </row>
    <row r="2234" spans="1:9" x14ac:dyDescent="0.2">
      <c r="A2234" t="s">
        <v>3595</v>
      </c>
      <c r="D2234" t="str">
        <f>HYPERLINK("http://nlpdeep.cs.uic.edu:8080/proofing/gsii/522936-labs-imaging-0-7.pdf","gsii/522936-labs-imaging-0-7.pdf")</f>
        <v>gsii/522936-labs-imaging-0-7.pdf</v>
      </c>
      <c r="E2234">
        <v>120842</v>
      </c>
      <c r="F2234">
        <v>522936</v>
      </c>
      <c r="G2234" t="s">
        <v>9</v>
      </c>
      <c r="H2234" t="s">
        <v>147</v>
      </c>
      <c r="I2234" t="s">
        <v>3181</v>
      </c>
    </row>
    <row r="2235" spans="1:9" x14ac:dyDescent="0.2">
      <c r="A2235" t="s">
        <v>3596</v>
      </c>
      <c r="D2235" t="str">
        <f>HYPERLINK("http://nlpdeep.cs.uic.edu:8080/proofing/t5/522936-assessment-and-plan-0-0.pdf","t5/522936-assessment-and-plan-0-0.pdf")</f>
        <v>t5/522936-assessment-and-plan-0-0.pdf</v>
      </c>
      <c r="E2235">
        <v>120842</v>
      </c>
      <c r="F2235">
        <v>522936</v>
      </c>
      <c r="G2235" t="s">
        <v>9</v>
      </c>
      <c r="H2235" t="s">
        <v>195</v>
      </c>
      <c r="I2235" t="s">
        <v>2663</v>
      </c>
    </row>
    <row r="2236" spans="1:9" x14ac:dyDescent="0.2">
      <c r="A2236" t="s">
        <v>3596</v>
      </c>
      <c r="D2236" t="str">
        <f>HYPERLINK("http://nlpdeep.cs.uic.edu:8080/proofing/gsii/522936-assessment-and-plan-0-0.pdf","gsii/522936-assessment-and-plan-0-0.pdf")</f>
        <v>gsii/522936-assessment-and-plan-0-0.pdf</v>
      </c>
      <c r="E2236">
        <v>120842</v>
      </c>
      <c r="F2236">
        <v>522936</v>
      </c>
      <c r="G2236" t="s">
        <v>9</v>
      </c>
      <c r="H2236" t="s">
        <v>195</v>
      </c>
      <c r="I2236" t="s">
        <v>2663</v>
      </c>
    </row>
    <row r="2237" spans="1:9" x14ac:dyDescent="0.2">
      <c r="A2237" t="s">
        <v>3597</v>
      </c>
      <c r="D2237" t="str">
        <f>HYPERLINK("http://nlpdeep.cs.uic.edu:8080/proofing/t5/522936-assessment-and-plan-0-1.pdf","t5/522936-assessment-and-plan-0-1.pdf")</f>
        <v>t5/522936-assessment-and-plan-0-1.pdf</v>
      </c>
      <c r="E2237">
        <v>120842</v>
      </c>
      <c r="F2237">
        <v>522936</v>
      </c>
      <c r="G2237" t="s">
        <v>9</v>
      </c>
      <c r="H2237" t="s">
        <v>195</v>
      </c>
      <c r="I2237" t="s">
        <v>2665</v>
      </c>
    </row>
    <row r="2238" spans="1:9" x14ac:dyDescent="0.2">
      <c r="A2238" t="s">
        <v>3597</v>
      </c>
      <c r="D2238" t="str">
        <f>HYPERLINK("http://nlpdeep.cs.uic.edu:8080/proofing/gsii/522936-assessment-and-plan-0-1.pdf","gsii/522936-assessment-and-plan-0-1.pdf")</f>
        <v>gsii/522936-assessment-and-plan-0-1.pdf</v>
      </c>
      <c r="E2238">
        <v>120842</v>
      </c>
      <c r="F2238">
        <v>522936</v>
      </c>
      <c r="G2238" t="s">
        <v>9</v>
      </c>
      <c r="H2238" t="s">
        <v>195</v>
      </c>
      <c r="I2238" t="s">
        <v>2665</v>
      </c>
    </row>
    <row r="2239" spans="1:9" x14ac:dyDescent="0.2">
      <c r="A2239" t="s">
        <v>3598</v>
      </c>
      <c r="D2239" t="str">
        <f>HYPERLINK("http://nlpdeep.cs.uic.edu:8080/proofing/t5/522936-assessment-and-plan-0-2.pdf","t5/522936-assessment-and-plan-0-2.pdf")</f>
        <v>t5/522936-assessment-and-plan-0-2.pdf</v>
      </c>
      <c r="E2239">
        <v>120842</v>
      </c>
      <c r="F2239">
        <v>522936</v>
      </c>
      <c r="G2239" t="s">
        <v>9</v>
      </c>
      <c r="H2239" t="s">
        <v>195</v>
      </c>
      <c r="I2239" t="s">
        <v>2667</v>
      </c>
    </row>
    <row r="2240" spans="1:9" x14ac:dyDescent="0.2">
      <c r="A2240" t="s">
        <v>3598</v>
      </c>
      <c r="D2240" t="str">
        <f>HYPERLINK("http://nlpdeep.cs.uic.edu:8080/proofing/gsii/522936-assessment-and-plan-0-2.pdf","gsii/522936-assessment-and-plan-0-2.pdf")</f>
        <v>gsii/522936-assessment-and-plan-0-2.pdf</v>
      </c>
      <c r="E2240">
        <v>120842</v>
      </c>
      <c r="F2240">
        <v>522936</v>
      </c>
      <c r="G2240" t="s">
        <v>9</v>
      </c>
      <c r="H2240" t="s">
        <v>195</v>
      </c>
      <c r="I2240" t="s">
        <v>2667</v>
      </c>
    </row>
    <row r="2241" spans="1:9" x14ac:dyDescent="0.2">
      <c r="A2241" t="s">
        <v>3599</v>
      </c>
      <c r="D2241" t="str">
        <f>HYPERLINK("http://nlpdeep.cs.uic.edu:8080/proofing/t5/522936-assessment-and-plan-0-3.pdf","t5/522936-assessment-and-plan-0-3.pdf")</f>
        <v>t5/522936-assessment-and-plan-0-3.pdf</v>
      </c>
      <c r="E2241">
        <v>120842</v>
      </c>
      <c r="F2241">
        <v>522936</v>
      </c>
      <c r="G2241" t="s">
        <v>9</v>
      </c>
      <c r="H2241" t="s">
        <v>195</v>
      </c>
      <c r="I2241" t="s">
        <v>2669</v>
      </c>
    </row>
    <row r="2242" spans="1:9" x14ac:dyDescent="0.2">
      <c r="A2242" t="s">
        <v>3599</v>
      </c>
      <c r="D2242" t="str">
        <f>HYPERLINK("http://nlpdeep.cs.uic.edu:8080/proofing/gsii/522936-assessment-and-plan-0-3.pdf","gsii/522936-assessment-and-plan-0-3.pdf")</f>
        <v>gsii/522936-assessment-and-plan-0-3.pdf</v>
      </c>
      <c r="E2242">
        <v>120842</v>
      </c>
      <c r="F2242">
        <v>522936</v>
      </c>
      <c r="G2242" t="s">
        <v>9</v>
      </c>
      <c r="H2242" t="s">
        <v>195</v>
      </c>
      <c r="I2242" t="s">
        <v>2669</v>
      </c>
    </row>
    <row r="2243" spans="1:9" x14ac:dyDescent="0.2">
      <c r="A2243" t="s">
        <v>3600</v>
      </c>
      <c r="D2243" t="str">
        <f>HYPERLINK("http://nlpdeep.cs.uic.edu:8080/proofing/t5/522936-assessment-and-plan-0-4.pdf","t5/522936-assessment-and-plan-0-4.pdf")</f>
        <v>t5/522936-assessment-and-plan-0-4.pdf</v>
      </c>
      <c r="E2243">
        <v>120842</v>
      </c>
      <c r="F2243">
        <v>522936</v>
      </c>
      <c r="G2243" t="s">
        <v>9</v>
      </c>
      <c r="H2243" t="s">
        <v>195</v>
      </c>
      <c r="I2243" t="s">
        <v>2671</v>
      </c>
    </row>
    <row r="2244" spans="1:9" x14ac:dyDescent="0.2">
      <c r="A2244" t="s">
        <v>3600</v>
      </c>
      <c r="D2244" t="str">
        <f>HYPERLINK("http://nlpdeep.cs.uic.edu:8080/proofing/gsii/522936-assessment-and-plan-0-4.pdf","gsii/522936-assessment-and-plan-0-4.pdf")</f>
        <v>gsii/522936-assessment-and-plan-0-4.pdf</v>
      </c>
      <c r="E2244">
        <v>120842</v>
      </c>
      <c r="F2244">
        <v>522936</v>
      </c>
      <c r="G2244" t="s">
        <v>9</v>
      </c>
      <c r="H2244" t="s">
        <v>195</v>
      </c>
      <c r="I2244" t="s">
        <v>2671</v>
      </c>
    </row>
    <row r="2245" spans="1:9" x14ac:dyDescent="0.2">
      <c r="A2245" t="s">
        <v>3601</v>
      </c>
      <c r="D2245" t="str">
        <f>HYPERLINK("http://nlpdeep.cs.uic.edu:8080/proofing/t5/522936-assessment-and-plan-0-5.pdf","t5/522936-assessment-and-plan-0-5.pdf")</f>
        <v>t5/522936-assessment-and-plan-0-5.pdf</v>
      </c>
      <c r="E2245">
        <v>120842</v>
      </c>
      <c r="F2245">
        <v>522936</v>
      </c>
      <c r="G2245" t="s">
        <v>9</v>
      </c>
      <c r="H2245" t="s">
        <v>195</v>
      </c>
      <c r="I2245" t="s">
        <v>2673</v>
      </c>
    </row>
    <row r="2246" spans="1:9" x14ac:dyDescent="0.2">
      <c r="A2246" t="s">
        <v>3601</v>
      </c>
      <c r="D2246" t="str">
        <f>HYPERLINK("http://nlpdeep.cs.uic.edu:8080/proofing/gsii/522936-assessment-and-plan-0-5.pdf","gsii/522936-assessment-and-plan-0-5.pdf")</f>
        <v>gsii/522936-assessment-and-plan-0-5.pdf</v>
      </c>
      <c r="E2246">
        <v>120842</v>
      </c>
      <c r="F2246">
        <v>522936</v>
      </c>
      <c r="G2246" t="s">
        <v>9</v>
      </c>
      <c r="H2246" t="s">
        <v>195</v>
      </c>
      <c r="I2246" t="s">
        <v>2673</v>
      </c>
    </row>
    <row r="2247" spans="1:9" x14ac:dyDescent="0.2">
      <c r="A2247" t="s">
        <v>3602</v>
      </c>
      <c r="D2247" t="str">
        <f>HYPERLINK("http://nlpdeep.cs.uic.edu:8080/proofing/t5/522936-assessment-and-plan-0-6.pdf","t5/522936-assessment-and-plan-0-6.pdf")</f>
        <v>t5/522936-assessment-and-plan-0-6.pdf</v>
      </c>
      <c r="E2247">
        <v>120842</v>
      </c>
      <c r="F2247">
        <v>522936</v>
      </c>
      <c r="G2247" t="s">
        <v>9</v>
      </c>
      <c r="H2247" t="s">
        <v>195</v>
      </c>
      <c r="I2247" t="s">
        <v>2675</v>
      </c>
    </row>
    <row r="2248" spans="1:9" x14ac:dyDescent="0.2">
      <c r="A2248" t="s">
        <v>3602</v>
      </c>
      <c r="D2248" t="str">
        <f>HYPERLINK("http://nlpdeep.cs.uic.edu:8080/proofing/gsii/522936-assessment-and-plan-0-6.pdf","gsii/522936-assessment-and-plan-0-6.pdf")</f>
        <v>gsii/522936-assessment-and-plan-0-6.pdf</v>
      </c>
      <c r="E2248">
        <v>120842</v>
      </c>
      <c r="F2248">
        <v>522936</v>
      </c>
      <c r="G2248" t="s">
        <v>9</v>
      </c>
      <c r="H2248" t="s">
        <v>195</v>
      </c>
      <c r="I2248" t="s">
        <v>2675</v>
      </c>
    </row>
    <row r="2249" spans="1:9" x14ac:dyDescent="0.2">
      <c r="A2249" t="s">
        <v>3603</v>
      </c>
      <c r="D2249" t="str">
        <f>HYPERLINK("http://nlpdeep.cs.uic.edu:8080/proofing/t5/522936-assessment-and-plan-0-7.pdf","t5/522936-assessment-and-plan-0-7.pdf")</f>
        <v>t5/522936-assessment-and-plan-0-7.pdf</v>
      </c>
      <c r="E2249">
        <v>120842</v>
      </c>
      <c r="F2249">
        <v>522936</v>
      </c>
      <c r="G2249" t="s">
        <v>9</v>
      </c>
      <c r="H2249" t="s">
        <v>195</v>
      </c>
      <c r="I2249" t="s">
        <v>2677</v>
      </c>
    </row>
    <row r="2250" spans="1:9" x14ac:dyDescent="0.2">
      <c r="A2250" t="s">
        <v>3603</v>
      </c>
      <c r="D2250" t="str">
        <f>HYPERLINK("http://nlpdeep.cs.uic.edu:8080/proofing/gsii/522936-assessment-and-plan-0-7.pdf","gsii/522936-assessment-and-plan-0-7.pdf")</f>
        <v>gsii/522936-assessment-and-plan-0-7.pdf</v>
      </c>
      <c r="E2250">
        <v>120842</v>
      </c>
      <c r="F2250">
        <v>522936</v>
      </c>
      <c r="G2250" t="s">
        <v>9</v>
      </c>
      <c r="H2250" t="s">
        <v>195</v>
      </c>
      <c r="I2250" t="s">
        <v>2677</v>
      </c>
    </row>
    <row r="2251" spans="1:9" x14ac:dyDescent="0.2">
      <c r="A2251" t="s">
        <v>3604</v>
      </c>
      <c r="D2251" t="str">
        <f>HYPERLINK("http://nlpdeep.cs.uic.edu:8080/proofing/t5/522936-assessment-and-plan-0-8.pdf","t5/522936-assessment-and-plan-0-8.pdf")</f>
        <v>t5/522936-assessment-and-plan-0-8.pdf</v>
      </c>
      <c r="E2251">
        <v>120842</v>
      </c>
      <c r="F2251">
        <v>522936</v>
      </c>
      <c r="G2251" t="s">
        <v>9</v>
      </c>
      <c r="H2251" t="s">
        <v>195</v>
      </c>
      <c r="I2251" t="s">
        <v>2679</v>
      </c>
    </row>
    <row r="2252" spans="1:9" x14ac:dyDescent="0.2">
      <c r="A2252" t="s">
        <v>3604</v>
      </c>
      <c r="D2252" t="str">
        <f>HYPERLINK("http://nlpdeep.cs.uic.edu:8080/proofing/gsii/522936-assessment-and-plan-0-8.pdf","gsii/522936-assessment-and-plan-0-8.pdf")</f>
        <v>gsii/522936-assessment-and-plan-0-8.pdf</v>
      </c>
      <c r="E2252">
        <v>120842</v>
      </c>
      <c r="F2252">
        <v>522936</v>
      </c>
      <c r="G2252" t="s">
        <v>9</v>
      </c>
      <c r="H2252" t="s">
        <v>195</v>
      </c>
      <c r="I2252" t="s">
        <v>2679</v>
      </c>
    </row>
    <row r="2253" spans="1:9" x14ac:dyDescent="0.2">
      <c r="A2253" t="s">
        <v>3605</v>
      </c>
      <c r="D2253" t="str">
        <f>HYPERLINK("http://nlpdeep.cs.uic.edu:8080/proofing/t5/522936-assessment-and-plan-0-9.pdf","t5/522936-assessment-and-plan-0-9.pdf")</f>
        <v>t5/522936-assessment-and-plan-0-9.pdf</v>
      </c>
      <c r="E2253">
        <v>120842</v>
      </c>
      <c r="F2253">
        <v>522936</v>
      </c>
      <c r="G2253" t="s">
        <v>9</v>
      </c>
      <c r="H2253" t="s">
        <v>195</v>
      </c>
      <c r="I2253" t="s">
        <v>2681</v>
      </c>
    </row>
    <row r="2254" spans="1:9" x14ac:dyDescent="0.2">
      <c r="A2254" t="s">
        <v>3605</v>
      </c>
      <c r="D2254" t="str">
        <f>HYPERLINK("http://nlpdeep.cs.uic.edu:8080/proofing/gsii/522936-assessment-and-plan-0-9.pdf","gsii/522936-assessment-and-plan-0-9.pdf")</f>
        <v>gsii/522936-assessment-and-plan-0-9.pdf</v>
      </c>
      <c r="E2254">
        <v>120842</v>
      </c>
      <c r="F2254">
        <v>522936</v>
      </c>
      <c r="G2254" t="s">
        <v>9</v>
      </c>
      <c r="H2254" t="s">
        <v>195</v>
      </c>
      <c r="I2254" t="s">
        <v>2681</v>
      </c>
    </row>
    <row r="2255" spans="1:9" x14ac:dyDescent="0.2">
      <c r="A2255" t="s">
        <v>3606</v>
      </c>
      <c r="D2255" t="str">
        <f>HYPERLINK("http://nlpdeep.cs.uic.edu:8080/proofing/t5/522936-assessment-and-plan-0-10.pdf","t5/522936-assessment-and-plan-0-10.pdf")</f>
        <v>t5/522936-assessment-and-plan-0-10.pdf</v>
      </c>
      <c r="E2255">
        <v>120842</v>
      </c>
      <c r="F2255">
        <v>522936</v>
      </c>
      <c r="G2255" t="s">
        <v>9</v>
      </c>
      <c r="H2255" t="s">
        <v>195</v>
      </c>
    </row>
    <row r="2256" spans="1:9" x14ac:dyDescent="0.2">
      <c r="A2256" t="s">
        <v>3606</v>
      </c>
      <c r="D2256" t="str">
        <f>HYPERLINK("http://nlpdeep.cs.uic.edu:8080/proofing/gsii/522936-assessment-and-plan-0-10.pdf","gsii/522936-assessment-and-plan-0-10.pdf")</f>
        <v>gsii/522936-assessment-and-plan-0-10.pdf</v>
      </c>
      <c r="E2256">
        <v>120842</v>
      </c>
      <c r="F2256">
        <v>522936</v>
      </c>
      <c r="G2256" t="s">
        <v>9</v>
      </c>
      <c r="H2256" t="s">
        <v>195</v>
      </c>
    </row>
    <row r="2257" spans="1:9" x14ac:dyDescent="0.2">
      <c r="A2257" t="s">
        <v>3607</v>
      </c>
      <c r="D2257" t="str">
        <f>HYPERLINK("http://nlpdeep.cs.uic.edu:8080/proofing/t5/522936-assessment-and-plan-1-0.pdf","t5/522936-assessment-and-plan-1-0.pdf")</f>
        <v>t5/522936-assessment-and-plan-1-0.pdf</v>
      </c>
      <c r="E2257">
        <v>120842</v>
      </c>
      <c r="F2257">
        <v>522936</v>
      </c>
      <c r="G2257" t="s">
        <v>9</v>
      </c>
      <c r="H2257" t="s">
        <v>195</v>
      </c>
      <c r="I2257" t="s">
        <v>2684</v>
      </c>
    </row>
    <row r="2258" spans="1:9" x14ac:dyDescent="0.2">
      <c r="A2258" t="s">
        <v>3607</v>
      </c>
      <c r="D2258" t="str">
        <f>HYPERLINK("http://nlpdeep.cs.uic.edu:8080/proofing/gsii/522936-assessment-and-plan-1-0.pdf","gsii/522936-assessment-and-plan-1-0.pdf")</f>
        <v>gsii/522936-assessment-and-plan-1-0.pdf</v>
      </c>
      <c r="E2258">
        <v>120842</v>
      </c>
      <c r="F2258">
        <v>522936</v>
      </c>
      <c r="G2258" t="s">
        <v>9</v>
      </c>
      <c r="H2258" t="s">
        <v>195</v>
      </c>
      <c r="I2258" t="s">
        <v>2684</v>
      </c>
    </row>
    <row r="2259" spans="1:9" x14ac:dyDescent="0.2">
      <c r="A2259" t="s">
        <v>3608</v>
      </c>
      <c r="D2259" t="str">
        <f>HYPERLINK("http://nlpdeep.cs.uic.edu:8080/proofing/t5/522936-assessment-and-plan-1-1.pdf","t5/522936-assessment-and-plan-1-1.pdf")</f>
        <v>t5/522936-assessment-and-plan-1-1.pdf</v>
      </c>
      <c r="E2259">
        <v>120842</v>
      </c>
      <c r="F2259">
        <v>522936</v>
      </c>
      <c r="G2259" t="s">
        <v>9</v>
      </c>
      <c r="H2259" t="s">
        <v>195</v>
      </c>
      <c r="I2259" t="s">
        <v>2686</v>
      </c>
    </row>
    <row r="2260" spans="1:9" x14ac:dyDescent="0.2">
      <c r="A2260" t="s">
        <v>3608</v>
      </c>
      <c r="D2260" t="str">
        <f>HYPERLINK("http://nlpdeep.cs.uic.edu:8080/proofing/gsii/522936-assessment-and-plan-1-1.pdf","gsii/522936-assessment-and-plan-1-1.pdf")</f>
        <v>gsii/522936-assessment-and-plan-1-1.pdf</v>
      </c>
      <c r="E2260">
        <v>120842</v>
      </c>
      <c r="F2260">
        <v>522936</v>
      </c>
      <c r="G2260" t="s">
        <v>9</v>
      </c>
      <c r="H2260" t="s">
        <v>195</v>
      </c>
      <c r="I2260" t="s">
        <v>2686</v>
      </c>
    </row>
    <row r="2261" spans="1:9" x14ac:dyDescent="0.2">
      <c r="A2261" t="s">
        <v>3609</v>
      </c>
      <c r="D2261" t="str">
        <f>HYPERLINK("http://nlpdeep.cs.uic.edu:8080/proofing/t5/522936-assessment-and-plan-1-2.pdf","t5/522936-assessment-and-plan-1-2.pdf")</f>
        <v>t5/522936-assessment-and-plan-1-2.pdf</v>
      </c>
      <c r="E2261">
        <v>120842</v>
      </c>
      <c r="F2261">
        <v>522936</v>
      </c>
      <c r="G2261" t="s">
        <v>9</v>
      </c>
      <c r="H2261" t="s">
        <v>195</v>
      </c>
      <c r="I2261" t="s">
        <v>2688</v>
      </c>
    </row>
    <row r="2262" spans="1:9" x14ac:dyDescent="0.2">
      <c r="A2262" t="s">
        <v>3609</v>
      </c>
      <c r="D2262" t="str">
        <f>HYPERLINK("http://nlpdeep.cs.uic.edu:8080/proofing/gsii/522936-assessment-and-plan-1-2.pdf","gsii/522936-assessment-and-plan-1-2.pdf")</f>
        <v>gsii/522936-assessment-and-plan-1-2.pdf</v>
      </c>
      <c r="E2262">
        <v>120842</v>
      </c>
      <c r="F2262">
        <v>522936</v>
      </c>
      <c r="G2262" t="s">
        <v>9</v>
      </c>
      <c r="H2262" t="s">
        <v>195</v>
      </c>
      <c r="I2262" t="s">
        <v>2688</v>
      </c>
    </row>
    <row r="2263" spans="1:9" x14ac:dyDescent="0.2">
      <c r="A2263" t="s">
        <v>3610</v>
      </c>
      <c r="D2263" t="str">
        <f>HYPERLINK("http://nlpdeep.cs.uic.edu:8080/proofing/t5/522936-assessment-and-plan-1-3.pdf","t5/522936-assessment-and-plan-1-3.pdf")</f>
        <v>t5/522936-assessment-and-plan-1-3.pdf</v>
      </c>
      <c r="E2263">
        <v>120842</v>
      </c>
      <c r="F2263">
        <v>522936</v>
      </c>
      <c r="G2263" t="s">
        <v>9</v>
      </c>
      <c r="H2263" t="s">
        <v>195</v>
      </c>
      <c r="I2263" t="s">
        <v>2690</v>
      </c>
    </row>
    <row r="2264" spans="1:9" x14ac:dyDescent="0.2">
      <c r="A2264" t="s">
        <v>3610</v>
      </c>
      <c r="D2264" t="str">
        <f>HYPERLINK("http://nlpdeep.cs.uic.edu:8080/proofing/gsii/522936-assessment-and-plan-1-3.pdf","gsii/522936-assessment-and-plan-1-3.pdf")</f>
        <v>gsii/522936-assessment-and-plan-1-3.pdf</v>
      </c>
      <c r="E2264">
        <v>120842</v>
      </c>
      <c r="F2264">
        <v>522936</v>
      </c>
      <c r="G2264" t="s">
        <v>9</v>
      </c>
      <c r="H2264" t="s">
        <v>195</v>
      </c>
      <c r="I2264" t="s">
        <v>2690</v>
      </c>
    </row>
    <row r="2265" spans="1:9" x14ac:dyDescent="0.2">
      <c r="A2265" t="s">
        <v>3611</v>
      </c>
      <c r="D2265" t="str">
        <f>HYPERLINK("http://nlpdeep.cs.uic.edu:8080/proofing/t5/522936-assessment-and-plan-1-4.pdf","t5/522936-assessment-and-plan-1-4.pdf")</f>
        <v>t5/522936-assessment-and-plan-1-4.pdf</v>
      </c>
      <c r="E2265">
        <v>120842</v>
      </c>
      <c r="F2265">
        <v>522936</v>
      </c>
      <c r="G2265" t="s">
        <v>9</v>
      </c>
      <c r="H2265" t="s">
        <v>195</v>
      </c>
      <c r="I2265" t="s">
        <v>2692</v>
      </c>
    </row>
    <row r="2266" spans="1:9" x14ac:dyDescent="0.2">
      <c r="A2266" t="s">
        <v>3611</v>
      </c>
      <c r="D2266" t="str">
        <f>HYPERLINK("http://nlpdeep.cs.uic.edu:8080/proofing/gsii/522936-assessment-and-plan-1-4.pdf","gsii/522936-assessment-and-plan-1-4.pdf")</f>
        <v>gsii/522936-assessment-and-plan-1-4.pdf</v>
      </c>
      <c r="E2266">
        <v>120842</v>
      </c>
      <c r="F2266">
        <v>522936</v>
      </c>
      <c r="G2266" t="s">
        <v>9</v>
      </c>
      <c r="H2266" t="s">
        <v>195</v>
      </c>
      <c r="I2266" t="s">
        <v>2692</v>
      </c>
    </row>
    <row r="2267" spans="1:9" x14ac:dyDescent="0.2">
      <c r="A2267" t="s">
        <v>3612</v>
      </c>
      <c r="D2267" t="str">
        <f>HYPERLINK("http://nlpdeep.cs.uic.edu:8080/proofing/t5/522936-assessment-and-plan-1-5.pdf","t5/522936-assessment-and-plan-1-5.pdf")</f>
        <v>t5/522936-assessment-and-plan-1-5.pdf</v>
      </c>
      <c r="E2267">
        <v>120842</v>
      </c>
      <c r="F2267">
        <v>522936</v>
      </c>
      <c r="G2267" t="s">
        <v>9</v>
      </c>
      <c r="H2267" t="s">
        <v>195</v>
      </c>
      <c r="I2267" t="s">
        <v>2694</v>
      </c>
    </row>
    <row r="2268" spans="1:9" x14ac:dyDescent="0.2">
      <c r="A2268" t="s">
        <v>3612</v>
      </c>
      <c r="D2268" t="str">
        <f>HYPERLINK("http://nlpdeep.cs.uic.edu:8080/proofing/gsii/522936-assessment-and-plan-1-5.pdf","gsii/522936-assessment-and-plan-1-5.pdf")</f>
        <v>gsii/522936-assessment-and-plan-1-5.pdf</v>
      </c>
      <c r="E2268">
        <v>120842</v>
      </c>
      <c r="F2268">
        <v>522936</v>
      </c>
      <c r="G2268" t="s">
        <v>9</v>
      </c>
      <c r="H2268" t="s">
        <v>195</v>
      </c>
      <c r="I2268" t="s">
        <v>2694</v>
      </c>
    </row>
    <row r="2269" spans="1:9" x14ac:dyDescent="0.2">
      <c r="A2269" t="s">
        <v>3613</v>
      </c>
      <c r="D2269" t="str">
        <f>HYPERLINK("http://nlpdeep.cs.uic.edu:8080/proofing/t5/522936-assessment-and-plan-1-6.pdf","t5/522936-assessment-and-plan-1-6.pdf")</f>
        <v>t5/522936-assessment-and-plan-1-6.pdf</v>
      </c>
      <c r="E2269">
        <v>120842</v>
      </c>
      <c r="F2269">
        <v>522936</v>
      </c>
      <c r="G2269" t="s">
        <v>9</v>
      </c>
      <c r="H2269" t="s">
        <v>195</v>
      </c>
      <c r="I2269" t="s">
        <v>2696</v>
      </c>
    </row>
    <row r="2270" spans="1:9" x14ac:dyDescent="0.2">
      <c r="A2270" t="s">
        <v>3613</v>
      </c>
      <c r="D2270" t="str">
        <f>HYPERLINK("http://nlpdeep.cs.uic.edu:8080/proofing/gsii/522936-assessment-and-plan-1-6.pdf","gsii/522936-assessment-and-plan-1-6.pdf")</f>
        <v>gsii/522936-assessment-and-plan-1-6.pdf</v>
      </c>
      <c r="E2270">
        <v>120842</v>
      </c>
      <c r="F2270">
        <v>522936</v>
      </c>
      <c r="G2270" t="s">
        <v>9</v>
      </c>
      <c r="H2270" t="s">
        <v>195</v>
      </c>
      <c r="I2270" t="s">
        <v>2696</v>
      </c>
    </row>
    <row r="2271" spans="1:9" x14ac:dyDescent="0.2">
      <c r="A2271" t="s">
        <v>3614</v>
      </c>
      <c r="D2271" t="str">
        <f>HYPERLINK("http://nlpdeep.cs.uic.edu:8080/proofing/t5/522936-assessment-and-plan-1-7.pdf","t5/522936-assessment-and-plan-1-7.pdf")</f>
        <v>t5/522936-assessment-and-plan-1-7.pdf</v>
      </c>
      <c r="E2271">
        <v>120842</v>
      </c>
      <c r="F2271">
        <v>522936</v>
      </c>
      <c r="G2271" t="s">
        <v>9</v>
      </c>
      <c r="H2271" t="s">
        <v>195</v>
      </c>
      <c r="I2271" t="s">
        <v>2698</v>
      </c>
    </row>
    <row r="2272" spans="1:9" x14ac:dyDescent="0.2">
      <c r="A2272" t="s">
        <v>3614</v>
      </c>
      <c r="D2272" t="str">
        <f>HYPERLINK("http://nlpdeep.cs.uic.edu:8080/proofing/gsii/522936-assessment-and-plan-1-7.pdf","gsii/522936-assessment-and-plan-1-7.pdf")</f>
        <v>gsii/522936-assessment-and-plan-1-7.pdf</v>
      </c>
      <c r="E2272">
        <v>120842</v>
      </c>
      <c r="F2272">
        <v>522936</v>
      </c>
      <c r="G2272" t="s">
        <v>9</v>
      </c>
      <c r="H2272" t="s">
        <v>195</v>
      </c>
      <c r="I2272" t="s">
        <v>2698</v>
      </c>
    </row>
    <row r="2273" spans="1:9" x14ac:dyDescent="0.2">
      <c r="A2273" t="s">
        <v>3615</v>
      </c>
      <c r="D2273" t="str">
        <f>HYPERLINK("http://nlpdeep.cs.uic.edu:8080/proofing/t5/522936-assessment-and-plan-1-8.pdf","t5/522936-assessment-and-plan-1-8.pdf")</f>
        <v>t5/522936-assessment-and-plan-1-8.pdf</v>
      </c>
      <c r="E2273">
        <v>120842</v>
      </c>
      <c r="F2273">
        <v>522936</v>
      </c>
      <c r="G2273" t="s">
        <v>9</v>
      </c>
      <c r="H2273" t="s">
        <v>195</v>
      </c>
    </row>
    <row r="2274" spans="1:9" x14ac:dyDescent="0.2">
      <c r="A2274" t="s">
        <v>3615</v>
      </c>
      <c r="D2274" t="str">
        <f>HYPERLINK("http://nlpdeep.cs.uic.edu:8080/proofing/gsii/522936-assessment-and-plan-1-8.pdf","gsii/522936-assessment-and-plan-1-8.pdf")</f>
        <v>gsii/522936-assessment-and-plan-1-8.pdf</v>
      </c>
      <c r="E2274">
        <v>120842</v>
      </c>
      <c r="F2274">
        <v>522936</v>
      </c>
      <c r="G2274" t="s">
        <v>9</v>
      </c>
      <c r="H2274" t="s">
        <v>195</v>
      </c>
    </row>
    <row r="2275" spans="1:9" x14ac:dyDescent="0.2">
      <c r="A2275" t="s">
        <v>3616</v>
      </c>
      <c r="D2275" t="str">
        <f>HYPERLINK("http://nlpdeep.cs.uic.edu:8080/proofing/t5/522936-assessment-and-plan-2-0.pdf","t5/522936-assessment-and-plan-2-0.pdf")</f>
        <v>t5/522936-assessment-and-plan-2-0.pdf</v>
      </c>
      <c r="E2275">
        <v>120842</v>
      </c>
      <c r="F2275">
        <v>522936</v>
      </c>
      <c r="G2275" t="s">
        <v>9</v>
      </c>
      <c r="H2275" t="s">
        <v>195</v>
      </c>
      <c r="I2275" t="s">
        <v>3203</v>
      </c>
    </row>
    <row r="2276" spans="1:9" x14ac:dyDescent="0.2">
      <c r="A2276" t="s">
        <v>3616</v>
      </c>
      <c r="D2276" t="str">
        <f>HYPERLINK("http://nlpdeep.cs.uic.edu:8080/proofing/gsii/522936-assessment-and-plan-2-0.pdf","gsii/522936-assessment-and-plan-2-0.pdf")</f>
        <v>gsii/522936-assessment-and-plan-2-0.pdf</v>
      </c>
      <c r="E2276">
        <v>120842</v>
      </c>
      <c r="F2276">
        <v>522936</v>
      </c>
      <c r="G2276" t="s">
        <v>9</v>
      </c>
      <c r="H2276" t="s">
        <v>195</v>
      </c>
      <c r="I2276" t="s">
        <v>3203</v>
      </c>
    </row>
    <row r="2277" spans="1:9" x14ac:dyDescent="0.2">
      <c r="A2277" t="s">
        <v>3617</v>
      </c>
      <c r="D2277" t="str">
        <f>HYPERLINK("http://nlpdeep.cs.uic.edu:8080/proofing/t5/522936-assessment-and-plan-2-1.pdf","t5/522936-assessment-and-plan-2-1.pdf")</f>
        <v>t5/522936-assessment-and-plan-2-1.pdf</v>
      </c>
      <c r="E2277">
        <v>120842</v>
      </c>
      <c r="F2277">
        <v>522936</v>
      </c>
      <c r="G2277" t="s">
        <v>9</v>
      </c>
      <c r="H2277" t="s">
        <v>195</v>
      </c>
      <c r="I2277" t="s">
        <v>2702</v>
      </c>
    </row>
    <row r="2278" spans="1:9" x14ac:dyDescent="0.2">
      <c r="A2278" t="s">
        <v>3617</v>
      </c>
      <c r="D2278" t="str">
        <f>HYPERLINK("http://nlpdeep.cs.uic.edu:8080/proofing/gsii/522936-assessment-and-plan-2-1.pdf","gsii/522936-assessment-and-plan-2-1.pdf")</f>
        <v>gsii/522936-assessment-and-plan-2-1.pdf</v>
      </c>
      <c r="E2278">
        <v>120842</v>
      </c>
      <c r="F2278">
        <v>522936</v>
      </c>
      <c r="G2278" t="s">
        <v>9</v>
      </c>
      <c r="H2278" t="s">
        <v>195</v>
      </c>
      <c r="I2278" t="s">
        <v>2702</v>
      </c>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78"/>
  <sheetViews>
    <sheetView tabSelected="1" topLeftCell="A422" zoomScale="120" zoomScaleNormal="120" workbookViewId="0">
      <selection activeCell="C453" sqref="C453"/>
    </sheetView>
  </sheetViews>
  <sheetFormatPr baseColWidth="10" defaultColWidth="8.83203125" defaultRowHeight="15" x14ac:dyDescent="0.2"/>
  <cols>
    <col min="1" max="1" width="27.5" customWidth="1"/>
    <col min="2" max="2" width="4.1640625" customWidth="1"/>
    <col min="3" max="3" width="49.6640625" customWidth="1"/>
    <col min="4" max="4" width="10" customWidth="1"/>
    <col min="6" max="6" width="7" hidden="1" customWidth="1"/>
    <col min="7" max="7" width="7.1640625" hidden="1" customWidth="1"/>
    <col min="9" max="9" width="17.33203125" customWidth="1"/>
    <col min="10" max="10" width="179.83203125" customWidth="1"/>
  </cols>
  <sheetData>
    <row r="1" spans="1:10" x14ac:dyDescent="0.2">
      <c r="A1" s="1" t="s">
        <v>0</v>
      </c>
      <c r="B1" s="1" t="s">
        <v>5578</v>
      </c>
      <c r="C1" s="1" t="s">
        <v>1</v>
      </c>
      <c r="D1" s="1" t="s">
        <v>5595</v>
      </c>
      <c r="E1" s="1" t="s">
        <v>2</v>
      </c>
      <c r="F1" s="1" t="s">
        <v>3</v>
      </c>
      <c r="G1" s="1" t="s">
        <v>4</v>
      </c>
      <c r="H1" s="1" t="s">
        <v>5</v>
      </c>
      <c r="I1" s="1" t="s">
        <v>6</v>
      </c>
      <c r="J1" s="1" t="s">
        <v>7</v>
      </c>
    </row>
    <row r="2" spans="1:10" x14ac:dyDescent="0.2">
      <c r="A2" t="s">
        <v>3618</v>
      </c>
      <c r="B2">
        <v>5</v>
      </c>
      <c r="C2" t="s">
        <v>5585</v>
      </c>
      <c r="E2" t="str">
        <f>HYPERLINK("http://nlpdeep.cs.uic.edu:8080/proofing/t5/522936-assessment-and-plan-2-2.pdf","t5/522936-assessment-and-plan-2-2.pdf")</f>
        <v>t5/522936-assessment-and-plan-2-2.pdf</v>
      </c>
      <c r="F2">
        <v>120842</v>
      </c>
      <c r="G2">
        <v>522936</v>
      </c>
      <c r="H2" t="s">
        <v>9</v>
      </c>
      <c r="I2" t="s">
        <v>195</v>
      </c>
      <c r="J2" t="s">
        <v>2704</v>
      </c>
    </row>
    <row r="3" spans="1:10" x14ac:dyDescent="0.2">
      <c r="A3" t="s">
        <v>3618</v>
      </c>
      <c r="B3">
        <v>5</v>
      </c>
      <c r="C3" t="s">
        <v>5586</v>
      </c>
      <c r="E3" t="str">
        <f>HYPERLINK("http://nlpdeep.cs.uic.edu:8080/proofing/gsii/522936-assessment-and-plan-2-2.pdf","gsii/522936-assessment-and-plan-2-2.pdf")</f>
        <v>gsii/522936-assessment-and-plan-2-2.pdf</v>
      </c>
      <c r="F3">
        <v>120842</v>
      </c>
      <c r="G3">
        <v>522936</v>
      </c>
      <c r="H3" t="s">
        <v>9</v>
      </c>
      <c r="I3" t="s">
        <v>195</v>
      </c>
      <c r="J3" t="s">
        <v>2704</v>
      </c>
    </row>
    <row r="4" spans="1:10" x14ac:dyDescent="0.2">
      <c r="A4" t="s">
        <v>3619</v>
      </c>
      <c r="B4">
        <v>4</v>
      </c>
      <c r="C4" t="s">
        <v>5587</v>
      </c>
      <c r="E4" t="str">
        <f>HYPERLINK("http://nlpdeep.cs.uic.edu:8080/proofing/t5/522936-assessment-and-plan-2-3.pdf","t5/522936-assessment-and-plan-2-3.pdf")</f>
        <v>t5/522936-assessment-and-plan-2-3.pdf</v>
      </c>
      <c r="F4">
        <v>120842</v>
      </c>
      <c r="G4">
        <v>522936</v>
      </c>
      <c r="H4" t="s">
        <v>9</v>
      </c>
      <c r="I4" t="s">
        <v>195</v>
      </c>
      <c r="J4" t="s">
        <v>2706</v>
      </c>
    </row>
    <row r="5" spans="1:10" x14ac:dyDescent="0.2">
      <c r="A5" t="s">
        <v>3619</v>
      </c>
      <c r="B5">
        <v>4</v>
      </c>
      <c r="C5" t="s">
        <v>5587</v>
      </c>
      <c r="E5" t="str">
        <f>HYPERLINK("http://nlpdeep.cs.uic.edu:8080/proofing/gsii/522936-assessment-and-plan-2-3.pdf","gsii/522936-assessment-and-plan-2-3.pdf")</f>
        <v>gsii/522936-assessment-and-plan-2-3.pdf</v>
      </c>
      <c r="F5">
        <v>120842</v>
      </c>
      <c r="G5">
        <v>522936</v>
      </c>
      <c r="H5" t="s">
        <v>9</v>
      </c>
      <c r="I5" t="s">
        <v>195</v>
      </c>
      <c r="J5" t="s">
        <v>2706</v>
      </c>
    </row>
    <row r="6" spans="1:10" x14ac:dyDescent="0.2">
      <c r="A6" t="s">
        <v>3620</v>
      </c>
      <c r="E6" t="str">
        <f>HYPERLINK("http://nlpdeep.cs.uic.edu:8080/proofing/t5/522936-assessment-and-plan-3-0.pdf","t5/522936-assessment-and-plan-3-0.pdf")</f>
        <v>t5/522936-assessment-and-plan-3-0.pdf</v>
      </c>
      <c r="F6">
        <v>120842</v>
      </c>
      <c r="G6">
        <v>522936</v>
      </c>
      <c r="H6" t="s">
        <v>9</v>
      </c>
      <c r="I6" t="s">
        <v>195</v>
      </c>
      <c r="J6" t="s">
        <v>2708</v>
      </c>
    </row>
    <row r="7" spans="1:10" x14ac:dyDescent="0.2">
      <c r="A7" t="s">
        <v>3620</v>
      </c>
      <c r="E7" t="str">
        <f>HYPERLINK("http://nlpdeep.cs.uic.edu:8080/proofing/gsii/522936-assessment-and-plan-3-0.pdf","gsii/522936-assessment-and-plan-3-0.pdf")</f>
        <v>gsii/522936-assessment-and-plan-3-0.pdf</v>
      </c>
      <c r="F7">
        <v>120842</v>
      </c>
      <c r="G7">
        <v>522936</v>
      </c>
      <c r="H7" t="s">
        <v>9</v>
      </c>
      <c r="I7" t="s">
        <v>195</v>
      </c>
      <c r="J7" t="s">
        <v>2708</v>
      </c>
    </row>
    <row r="8" spans="1:10" x14ac:dyDescent="0.2">
      <c r="A8" t="s">
        <v>3621</v>
      </c>
      <c r="E8" t="str">
        <f>HYPERLINK("http://nlpdeep.cs.uic.edu:8080/proofing/t5/522936-assessment-and-plan-3-1.pdf","t5/522936-assessment-and-plan-3-1.pdf")</f>
        <v>t5/522936-assessment-and-plan-3-1.pdf</v>
      </c>
      <c r="F8">
        <v>120842</v>
      </c>
      <c r="G8">
        <v>522936</v>
      </c>
      <c r="H8" t="s">
        <v>9</v>
      </c>
      <c r="I8" t="s">
        <v>195</v>
      </c>
      <c r="J8" t="s">
        <v>2710</v>
      </c>
    </row>
    <row r="9" spans="1:10" x14ac:dyDescent="0.2">
      <c r="A9" t="s">
        <v>3621</v>
      </c>
      <c r="E9" t="str">
        <f>HYPERLINK("http://nlpdeep.cs.uic.edu:8080/proofing/gsii/522936-assessment-and-plan-3-1.pdf","gsii/522936-assessment-and-plan-3-1.pdf")</f>
        <v>gsii/522936-assessment-and-plan-3-1.pdf</v>
      </c>
      <c r="F9">
        <v>120842</v>
      </c>
      <c r="G9">
        <v>522936</v>
      </c>
      <c r="H9" t="s">
        <v>9</v>
      </c>
      <c r="I9" t="s">
        <v>195</v>
      </c>
      <c r="J9" t="s">
        <v>2710</v>
      </c>
    </row>
    <row r="10" spans="1:10" x14ac:dyDescent="0.2">
      <c r="A10" t="s">
        <v>3622</v>
      </c>
      <c r="E10" t="str">
        <f>HYPERLINK("http://nlpdeep.cs.uic.edu:8080/proofing/t5/522936-assessment-and-plan-4-0.pdf","t5/522936-assessment-and-plan-4-0.pdf")</f>
        <v>t5/522936-assessment-and-plan-4-0.pdf</v>
      </c>
      <c r="F10">
        <v>120842</v>
      </c>
      <c r="G10">
        <v>522936</v>
      </c>
      <c r="H10" t="s">
        <v>9</v>
      </c>
      <c r="I10" t="s">
        <v>195</v>
      </c>
      <c r="J10" t="s">
        <v>2712</v>
      </c>
    </row>
    <row r="11" spans="1:10" x14ac:dyDescent="0.2">
      <c r="A11" t="s">
        <v>3622</v>
      </c>
      <c r="E11" t="str">
        <f>HYPERLINK("http://nlpdeep.cs.uic.edu:8080/proofing/gsii/522936-assessment-and-plan-4-0.pdf","gsii/522936-assessment-and-plan-4-0.pdf")</f>
        <v>gsii/522936-assessment-and-plan-4-0.pdf</v>
      </c>
      <c r="F11">
        <v>120842</v>
      </c>
      <c r="G11">
        <v>522936</v>
      </c>
      <c r="H11" t="s">
        <v>9</v>
      </c>
      <c r="I11" t="s">
        <v>195</v>
      </c>
      <c r="J11" t="s">
        <v>2712</v>
      </c>
    </row>
    <row r="12" spans="1:10" x14ac:dyDescent="0.2">
      <c r="A12" t="s">
        <v>3623</v>
      </c>
      <c r="B12">
        <v>5</v>
      </c>
      <c r="E12" t="str">
        <f>HYPERLINK("http://nlpdeep.cs.uic.edu:8080/proofing/t5/522936-assessment-and-plan-4-1.pdf","t5/522936-assessment-and-plan-4-1.pdf")</f>
        <v>t5/522936-assessment-and-plan-4-1.pdf</v>
      </c>
      <c r="F12">
        <v>120842</v>
      </c>
      <c r="G12">
        <v>522936</v>
      </c>
      <c r="H12" t="s">
        <v>9</v>
      </c>
      <c r="I12" t="s">
        <v>195</v>
      </c>
      <c r="J12" t="s">
        <v>2714</v>
      </c>
    </row>
    <row r="13" spans="1:10" x14ac:dyDescent="0.2">
      <c r="A13" t="s">
        <v>3623</v>
      </c>
      <c r="B13">
        <v>3</v>
      </c>
      <c r="C13" t="s">
        <v>5588</v>
      </c>
      <c r="E13" t="str">
        <f>HYPERLINK("http://nlpdeep.cs.uic.edu:8080/proofing/gsii/522936-assessment-and-plan-4-1.pdf","gsii/522936-assessment-and-plan-4-1.pdf")</f>
        <v>gsii/522936-assessment-and-plan-4-1.pdf</v>
      </c>
      <c r="F13">
        <v>120842</v>
      </c>
      <c r="G13">
        <v>522936</v>
      </c>
      <c r="H13" t="s">
        <v>9</v>
      </c>
      <c r="I13" t="s">
        <v>195</v>
      </c>
      <c r="J13" t="s">
        <v>2714</v>
      </c>
    </row>
    <row r="14" spans="1:10" x14ac:dyDescent="0.2">
      <c r="A14" t="s">
        <v>3624</v>
      </c>
      <c r="E14" t="str">
        <f>HYPERLINK("http://nlpdeep.cs.uic.edu:8080/proofing/t5/522936-assessment-and-plan-4-2.pdf","t5/522936-assessment-and-plan-4-2.pdf")</f>
        <v>t5/522936-assessment-and-plan-4-2.pdf</v>
      </c>
      <c r="F14">
        <v>120842</v>
      </c>
      <c r="G14">
        <v>522936</v>
      </c>
      <c r="H14" t="s">
        <v>9</v>
      </c>
      <c r="I14" t="s">
        <v>195</v>
      </c>
      <c r="J14" t="s">
        <v>2716</v>
      </c>
    </row>
    <row r="15" spans="1:10" x14ac:dyDescent="0.2">
      <c r="A15" t="s">
        <v>3624</v>
      </c>
      <c r="E15" t="str">
        <f>HYPERLINK("http://nlpdeep.cs.uic.edu:8080/proofing/gsii/522936-assessment-and-plan-4-2.pdf","gsii/522936-assessment-and-plan-4-2.pdf")</f>
        <v>gsii/522936-assessment-and-plan-4-2.pdf</v>
      </c>
      <c r="F15">
        <v>120842</v>
      </c>
      <c r="G15">
        <v>522936</v>
      </c>
      <c r="H15" t="s">
        <v>9</v>
      </c>
      <c r="I15" t="s">
        <v>195</v>
      </c>
      <c r="J15" t="s">
        <v>2716</v>
      </c>
    </row>
    <row r="16" spans="1:10" x14ac:dyDescent="0.2">
      <c r="A16" t="s">
        <v>3625</v>
      </c>
      <c r="E16" t="str">
        <f>HYPERLINK("http://nlpdeep.cs.uic.edu:8080/proofing/t5/522936-assessment-and-plan-5-0.pdf","t5/522936-assessment-and-plan-5-0.pdf")</f>
        <v>t5/522936-assessment-and-plan-5-0.pdf</v>
      </c>
      <c r="F16">
        <v>120842</v>
      </c>
      <c r="G16">
        <v>522936</v>
      </c>
      <c r="H16" t="s">
        <v>9</v>
      </c>
      <c r="I16" t="s">
        <v>195</v>
      </c>
      <c r="J16" t="s">
        <v>3213</v>
      </c>
    </row>
    <row r="17" spans="1:10" x14ac:dyDescent="0.2">
      <c r="A17" t="s">
        <v>3625</v>
      </c>
      <c r="E17" t="str">
        <f>HYPERLINK("http://nlpdeep.cs.uic.edu:8080/proofing/gsii/522936-assessment-and-plan-5-0.pdf","gsii/522936-assessment-and-plan-5-0.pdf")</f>
        <v>gsii/522936-assessment-and-plan-5-0.pdf</v>
      </c>
      <c r="F17">
        <v>120842</v>
      </c>
      <c r="G17">
        <v>522936</v>
      </c>
      <c r="H17" t="s">
        <v>9</v>
      </c>
      <c r="I17" t="s">
        <v>195</v>
      </c>
      <c r="J17" t="s">
        <v>3213</v>
      </c>
    </row>
    <row r="18" spans="1:10" x14ac:dyDescent="0.2">
      <c r="A18" t="s">
        <v>3626</v>
      </c>
      <c r="E18" t="str">
        <f>HYPERLINK("http://nlpdeep.cs.uic.edu:8080/proofing/t5/522936-code-status-0-0.pdf","t5/522936-code-status-0-0.pdf")</f>
        <v>t5/522936-code-status-0-0.pdf</v>
      </c>
      <c r="F18">
        <v>120842</v>
      </c>
      <c r="G18">
        <v>522936</v>
      </c>
      <c r="H18" t="s">
        <v>9</v>
      </c>
      <c r="I18" t="s">
        <v>201</v>
      </c>
      <c r="J18" t="s">
        <v>2720</v>
      </c>
    </row>
    <row r="19" spans="1:10" x14ac:dyDescent="0.2">
      <c r="A19" t="s">
        <v>3626</v>
      </c>
      <c r="E19" t="str">
        <f>HYPERLINK("http://nlpdeep.cs.uic.edu:8080/proofing/gsii/522936-code-status-0-0.pdf","gsii/522936-code-status-0-0.pdf")</f>
        <v>gsii/522936-code-status-0-0.pdf</v>
      </c>
      <c r="F19">
        <v>120842</v>
      </c>
      <c r="G19">
        <v>522936</v>
      </c>
      <c r="H19" t="s">
        <v>9</v>
      </c>
      <c r="I19" t="s">
        <v>201</v>
      </c>
      <c r="J19" t="s">
        <v>2720</v>
      </c>
    </row>
    <row r="20" spans="1:10" x14ac:dyDescent="0.2">
      <c r="A20" t="s">
        <v>3627</v>
      </c>
      <c r="E20" t="str">
        <f>HYPERLINK("http://nlpdeep.cs.uic.edu:8080/proofing/t5/522936-communication-0-0.pdf","t5/522936-communication-0-0.pdf")</f>
        <v>t5/522936-communication-0-0.pdf</v>
      </c>
      <c r="F20">
        <v>120842</v>
      </c>
      <c r="G20">
        <v>522936</v>
      </c>
      <c r="H20" t="s">
        <v>9</v>
      </c>
      <c r="I20" t="s">
        <v>198</v>
      </c>
      <c r="J20" t="s">
        <v>2722</v>
      </c>
    </row>
    <row r="21" spans="1:10" x14ac:dyDescent="0.2">
      <c r="A21" t="s">
        <v>3627</v>
      </c>
      <c r="E21" t="str">
        <f>HYPERLINK("http://nlpdeep.cs.uic.edu:8080/proofing/gsii/522936-communication-0-0.pdf","gsii/522936-communication-0-0.pdf")</f>
        <v>gsii/522936-communication-0-0.pdf</v>
      </c>
      <c r="F21">
        <v>120842</v>
      </c>
      <c r="G21">
        <v>522936</v>
      </c>
      <c r="H21" t="s">
        <v>9</v>
      </c>
      <c r="I21" t="s">
        <v>198</v>
      </c>
      <c r="J21" t="s">
        <v>2722</v>
      </c>
    </row>
    <row r="22" spans="1:10" x14ac:dyDescent="0.2">
      <c r="A22" t="s">
        <v>3628</v>
      </c>
      <c r="B22">
        <v>5</v>
      </c>
      <c r="E22" t="str">
        <f>HYPERLINK("http://nlpdeep.cs.uic.edu:8080/proofing/t5/522936-disposition-0-0.pdf","t5/522936-disposition-0-0.pdf")</f>
        <v>t5/522936-disposition-0-0.pdf</v>
      </c>
      <c r="F22">
        <v>120842</v>
      </c>
      <c r="G22">
        <v>522936</v>
      </c>
      <c r="H22" t="s">
        <v>9</v>
      </c>
      <c r="I22" t="s">
        <v>204</v>
      </c>
      <c r="J22" t="s">
        <v>3217</v>
      </c>
    </row>
    <row r="23" spans="1:10" x14ac:dyDescent="0.2">
      <c r="A23" t="s">
        <v>3628</v>
      </c>
      <c r="B23">
        <v>2</v>
      </c>
      <c r="C23" t="s">
        <v>5589</v>
      </c>
      <c r="E23" t="str">
        <f>HYPERLINK("http://nlpdeep.cs.uic.edu:8080/proofing/gsii/522936-disposition-0-0.pdf","gsii/522936-disposition-0-0.pdf")</f>
        <v>gsii/522936-disposition-0-0.pdf</v>
      </c>
      <c r="F23">
        <v>120842</v>
      </c>
      <c r="G23">
        <v>522936</v>
      </c>
      <c r="H23" t="s">
        <v>9</v>
      </c>
      <c r="I23" t="s">
        <v>204</v>
      </c>
      <c r="J23" t="s">
        <v>3217</v>
      </c>
    </row>
    <row r="24" spans="1:10" x14ac:dyDescent="0.2">
      <c r="A24" t="s">
        <v>3629</v>
      </c>
      <c r="B24">
        <v>4</v>
      </c>
      <c r="C24" t="s">
        <v>5594</v>
      </c>
      <c r="E24" t="str">
        <f>HYPERLINK("http://nlpdeep.cs.uic.edu:8080/proofing/t5/523069-24-hour-events-0-0.pdf","t5/523069-24-hour-events-0-0.pdf")</f>
        <v>t5/523069-24-hour-events-0-0.pdf</v>
      </c>
      <c r="F24">
        <v>120842</v>
      </c>
      <c r="G24">
        <v>523069</v>
      </c>
      <c r="H24" t="s">
        <v>9</v>
      </c>
      <c r="I24" t="s">
        <v>538</v>
      </c>
      <c r="J24" t="s">
        <v>3630</v>
      </c>
    </row>
    <row r="25" spans="1:10" x14ac:dyDescent="0.2">
      <c r="A25" t="s">
        <v>3629</v>
      </c>
      <c r="B25">
        <v>3</v>
      </c>
      <c r="C25" t="s">
        <v>5590</v>
      </c>
      <c r="E25" t="str">
        <f>HYPERLINK("http://nlpdeep.cs.uic.edu:8080/proofing/gsii/523069-24-hour-events-0-0.pdf","gsii/523069-24-hour-events-0-0.pdf")</f>
        <v>gsii/523069-24-hour-events-0-0.pdf</v>
      </c>
      <c r="F25">
        <v>120842</v>
      </c>
      <c r="G25">
        <v>523069</v>
      </c>
      <c r="H25" t="s">
        <v>9</v>
      </c>
      <c r="I25" t="s">
        <v>538</v>
      </c>
      <c r="J25" t="s">
        <v>3630</v>
      </c>
    </row>
    <row r="26" spans="1:10" x14ac:dyDescent="0.2">
      <c r="A26" t="s">
        <v>3631</v>
      </c>
      <c r="B26">
        <v>2</v>
      </c>
      <c r="C26" t="s">
        <v>5591</v>
      </c>
      <c r="D26" t="s">
        <v>5596</v>
      </c>
      <c r="E26" t="str">
        <f>HYPERLINK("http://nlpdeep.cs.uic.edu:8080/proofing/t5/523069-allergies-0-0.pdf","t5/523069-allergies-0-0.pdf")</f>
        <v>t5/523069-allergies-0-0.pdf</v>
      </c>
      <c r="F26">
        <v>120842</v>
      </c>
      <c r="G26">
        <v>523069</v>
      </c>
      <c r="H26" t="s">
        <v>9</v>
      </c>
      <c r="I26" t="s">
        <v>64</v>
      </c>
      <c r="J26" t="s">
        <v>2578</v>
      </c>
    </row>
    <row r="27" spans="1:10" x14ac:dyDescent="0.2">
      <c r="A27" t="s">
        <v>3631</v>
      </c>
      <c r="B27">
        <v>1</v>
      </c>
      <c r="C27" t="s">
        <v>5592</v>
      </c>
      <c r="D27" t="s">
        <v>5596</v>
      </c>
      <c r="E27" t="str">
        <f>HYPERLINK("http://nlpdeep.cs.uic.edu:8080/proofing/gsii/523069-allergies-0-0.pdf","gsii/523069-allergies-0-0.pdf")</f>
        <v>gsii/523069-allergies-0-0.pdf</v>
      </c>
      <c r="F27">
        <v>120842</v>
      </c>
      <c r="G27">
        <v>523069</v>
      </c>
      <c r="H27" t="s">
        <v>9</v>
      </c>
      <c r="I27" t="s">
        <v>64</v>
      </c>
      <c r="J27" t="s">
        <v>2578</v>
      </c>
    </row>
    <row r="28" spans="1:10" x14ac:dyDescent="0.2">
      <c r="A28" t="s">
        <v>3632</v>
      </c>
      <c r="B28">
        <v>4</v>
      </c>
      <c r="C28" t="s">
        <v>5597</v>
      </c>
      <c r="E28" t="str">
        <f>HYPERLINK("http://nlpdeep.cs.uic.edu:8080/proofing/t5/523069-other-medications-0-0.pdf","t5/523069-other-medications-0-0.pdf")</f>
        <v>t5/523069-other-medications-0-0.pdf</v>
      </c>
      <c r="F28">
        <v>120842</v>
      </c>
      <c r="G28">
        <v>523069</v>
      </c>
      <c r="H28" t="s">
        <v>9</v>
      </c>
      <c r="I28" t="s">
        <v>67</v>
      </c>
      <c r="J28" t="s">
        <v>2655</v>
      </c>
    </row>
    <row r="29" spans="1:10" x14ac:dyDescent="0.2">
      <c r="A29" t="s">
        <v>3632</v>
      </c>
      <c r="B29">
        <v>1</v>
      </c>
      <c r="C29" t="s">
        <v>5593</v>
      </c>
      <c r="E29" t="str">
        <f>HYPERLINK("http://nlpdeep.cs.uic.edu:8080/proofing/gsii/523069-other-medications-0-0.pdf","gsii/523069-other-medications-0-0.pdf")</f>
        <v>gsii/523069-other-medications-0-0.pdf</v>
      </c>
      <c r="F29">
        <v>120842</v>
      </c>
      <c r="G29">
        <v>523069</v>
      </c>
      <c r="H29" t="s">
        <v>9</v>
      </c>
      <c r="I29" t="s">
        <v>67</v>
      </c>
      <c r="J29" t="s">
        <v>2655</v>
      </c>
    </row>
    <row r="30" spans="1:10" x14ac:dyDescent="0.2">
      <c r="A30" t="s">
        <v>3633</v>
      </c>
      <c r="E30" t="str">
        <f>HYPERLINK("http://nlpdeep.cs.uic.edu:8080/proofing/t5/523069-past-medical-history-0-0.pdf","t5/523069-past-medical-history-0-0.pdf")</f>
        <v>t5/523069-past-medical-history-0-0.pdf</v>
      </c>
      <c r="F30">
        <v>120842</v>
      </c>
      <c r="G30">
        <v>523069</v>
      </c>
      <c r="H30" t="s">
        <v>9</v>
      </c>
      <c r="I30" t="s">
        <v>76</v>
      </c>
      <c r="J30" t="s">
        <v>3634</v>
      </c>
    </row>
    <row r="31" spans="1:10" x14ac:dyDescent="0.2">
      <c r="A31" t="s">
        <v>3633</v>
      </c>
      <c r="E31" t="str">
        <f>HYPERLINK("http://nlpdeep.cs.uic.edu:8080/proofing/gsii/523069-past-medical-history-0-0.pdf","gsii/523069-past-medical-history-0-0.pdf")</f>
        <v>gsii/523069-past-medical-history-0-0.pdf</v>
      </c>
      <c r="F31">
        <v>120842</v>
      </c>
      <c r="G31">
        <v>523069</v>
      </c>
      <c r="H31" t="s">
        <v>9</v>
      </c>
      <c r="I31" t="s">
        <v>76</v>
      </c>
      <c r="J31" t="s">
        <v>3634</v>
      </c>
    </row>
    <row r="32" spans="1:10" x14ac:dyDescent="0.2">
      <c r="A32" t="s">
        <v>3635</v>
      </c>
      <c r="E32" t="str">
        <f>HYPERLINK("http://nlpdeep.cs.uic.edu:8080/proofing/t5/523069-flowsheet-data-vitals-0-0.pdf","t5/523069-flowsheet-data-vitals-0-0.pdf")</f>
        <v>t5/523069-flowsheet-data-vitals-0-0.pdf</v>
      </c>
      <c r="F32">
        <v>120842</v>
      </c>
      <c r="G32">
        <v>523069</v>
      </c>
      <c r="H32" t="s">
        <v>9</v>
      </c>
      <c r="I32" t="s">
        <v>135</v>
      </c>
      <c r="J32" t="s">
        <v>2657</v>
      </c>
    </row>
    <row r="33" spans="1:10" x14ac:dyDescent="0.2">
      <c r="A33" t="s">
        <v>3635</v>
      </c>
      <c r="E33" t="str">
        <f>HYPERLINK("http://nlpdeep.cs.uic.edu:8080/proofing/gsii/523069-flowsheet-data-vitals-0-0.pdf","gsii/523069-flowsheet-data-vitals-0-0.pdf")</f>
        <v>gsii/523069-flowsheet-data-vitals-0-0.pdf</v>
      </c>
      <c r="F33">
        <v>120842</v>
      </c>
      <c r="G33">
        <v>523069</v>
      </c>
      <c r="H33" t="s">
        <v>9</v>
      </c>
      <c r="I33" t="s">
        <v>135</v>
      </c>
      <c r="J33" t="s">
        <v>2657</v>
      </c>
    </row>
    <row r="34" spans="1:10" x14ac:dyDescent="0.2">
      <c r="A34" t="s">
        <v>3636</v>
      </c>
      <c r="E34" t="str">
        <f>HYPERLINK("http://nlpdeep.cs.uic.edu:8080/proofing/t5/523069-physical-examination-0-0.pdf","t5/523069-physical-examination-0-0.pdf")</f>
        <v>t5/523069-physical-examination-0-0.pdf</v>
      </c>
      <c r="F34">
        <v>120842</v>
      </c>
      <c r="G34">
        <v>523069</v>
      </c>
      <c r="H34" t="s">
        <v>9</v>
      </c>
      <c r="I34" t="s">
        <v>138</v>
      </c>
      <c r="J34" t="s">
        <v>3637</v>
      </c>
    </row>
    <row r="35" spans="1:10" x14ac:dyDescent="0.2">
      <c r="A35" t="s">
        <v>3636</v>
      </c>
      <c r="E35" t="str">
        <f>HYPERLINK("http://nlpdeep.cs.uic.edu:8080/proofing/gsii/523069-physical-examination-0-0.pdf","gsii/523069-physical-examination-0-0.pdf")</f>
        <v>gsii/523069-physical-examination-0-0.pdf</v>
      </c>
      <c r="F35">
        <v>120842</v>
      </c>
      <c r="G35">
        <v>523069</v>
      </c>
      <c r="H35" t="s">
        <v>9</v>
      </c>
      <c r="I35" t="s">
        <v>138</v>
      </c>
      <c r="J35" t="s">
        <v>3637</v>
      </c>
    </row>
    <row r="36" spans="1:10" x14ac:dyDescent="0.2">
      <c r="A36" t="s">
        <v>3638</v>
      </c>
      <c r="E36" t="str">
        <f>HYPERLINK("http://nlpdeep.cs.uic.edu:8080/proofing/t5/523069-labs-imaging-0-0.pdf","t5/523069-labs-imaging-0-0.pdf")</f>
        <v>t5/523069-labs-imaging-0-0.pdf</v>
      </c>
      <c r="F36">
        <v>120842</v>
      </c>
      <c r="G36">
        <v>523069</v>
      </c>
      <c r="H36" t="s">
        <v>9</v>
      </c>
      <c r="I36" t="s">
        <v>147</v>
      </c>
      <c r="J36" t="s">
        <v>3639</v>
      </c>
    </row>
    <row r="37" spans="1:10" x14ac:dyDescent="0.2">
      <c r="A37" t="s">
        <v>3638</v>
      </c>
      <c r="E37" t="str">
        <f>HYPERLINK("http://nlpdeep.cs.uic.edu:8080/proofing/gsii/523069-labs-imaging-0-0.pdf","gsii/523069-labs-imaging-0-0.pdf")</f>
        <v>gsii/523069-labs-imaging-0-0.pdf</v>
      </c>
      <c r="F37">
        <v>120842</v>
      </c>
      <c r="G37">
        <v>523069</v>
      </c>
      <c r="H37" t="s">
        <v>9</v>
      </c>
      <c r="I37" t="s">
        <v>147</v>
      </c>
      <c r="J37" t="s">
        <v>3639</v>
      </c>
    </row>
    <row r="38" spans="1:10" x14ac:dyDescent="0.2">
      <c r="A38" t="s">
        <v>3640</v>
      </c>
      <c r="B38">
        <v>5</v>
      </c>
      <c r="C38" t="s">
        <v>5598</v>
      </c>
      <c r="E38" t="str">
        <f>HYPERLINK("http://nlpdeep.cs.uic.edu:8080/proofing/t5/523069-assessment-and-plan-0-0.pdf","t5/523069-assessment-and-plan-0-0.pdf")</f>
        <v>t5/523069-assessment-and-plan-0-0.pdf</v>
      </c>
      <c r="F38">
        <v>120842</v>
      </c>
      <c r="G38">
        <v>523069</v>
      </c>
      <c r="H38" t="s">
        <v>9</v>
      </c>
      <c r="I38" t="s">
        <v>195</v>
      </c>
      <c r="J38" t="s">
        <v>2663</v>
      </c>
    </row>
    <row r="39" spans="1:10" x14ac:dyDescent="0.2">
      <c r="A39" t="s">
        <v>3640</v>
      </c>
      <c r="B39">
        <v>2</v>
      </c>
      <c r="C39" t="s">
        <v>5599</v>
      </c>
      <c r="E39" t="str">
        <f>HYPERLINK("http://nlpdeep.cs.uic.edu:8080/proofing/gsii/523069-assessment-and-plan-0-0.pdf","gsii/523069-assessment-and-plan-0-0.pdf")</f>
        <v>gsii/523069-assessment-and-plan-0-0.pdf</v>
      </c>
      <c r="F39">
        <v>120842</v>
      </c>
      <c r="G39">
        <v>523069</v>
      </c>
      <c r="H39" t="s">
        <v>9</v>
      </c>
      <c r="I39" t="s">
        <v>195</v>
      </c>
      <c r="J39" t="s">
        <v>2663</v>
      </c>
    </row>
    <row r="40" spans="1:10" x14ac:dyDescent="0.2">
      <c r="A40" t="s">
        <v>3641</v>
      </c>
      <c r="E40" t="str">
        <f>HYPERLINK("http://nlpdeep.cs.uic.edu:8080/proofing/t5/523069-assessment-and-plan-0-1.pdf","t5/523069-assessment-and-plan-0-1.pdf")</f>
        <v>t5/523069-assessment-and-plan-0-1.pdf</v>
      </c>
      <c r="F40">
        <v>120842</v>
      </c>
      <c r="G40">
        <v>523069</v>
      </c>
      <c r="H40" t="s">
        <v>9</v>
      </c>
      <c r="I40" t="s">
        <v>195</v>
      </c>
      <c r="J40" t="s">
        <v>3642</v>
      </c>
    </row>
    <row r="41" spans="1:10" x14ac:dyDescent="0.2">
      <c r="A41" t="s">
        <v>3641</v>
      </c>
      <c r="E41" t="str">
        <f>HYPERLINK("http://nlpdeep.cs.uic.edu:8080/proofing/gsii/523069-assessment-and-plan-0-1.pdf","gsii/523069-assessment-and-plan-0-1.pdf")</f>
        <v>gsii/523069-assessment-and-plan-0-1.pdf</v>
      </c>
      <c r="F41">
        <v>120842</v>
      </c>
      <c r="G41">
        <v>523069</v>
      </c>
      <c r="H41" t="s">
        <v>9</v>
      </c>
      <c r="I41" t="s">
        <v>195</v>
      </c>
      <c r="J41" t="s">
        <v>3642</v>
      </c>
    </row>
    <row r="42" spans="1:10" x14ac:dyDescent="0.2">
      <c r="A42" t="s">
        <v>3643</v>
      </c>
      <c r="E42" t="str">
        <f>HYPERLINK("http://nlpdeep.cs.uic.edu:8080/proofing/t5/523069-assessment-and-plan-0-2.pdf","t5/523069-assessment-and-plan-0-2.pdf")</f>
        <v>t5/523069-assessment-and-plan-0-2.pdf</v>
      </c>
      <c r="F42">
        <v>120842</v>
      </c>
      <c r="G42">
        <v>523069</v>
      </c>
      <c r="H42" t="s">
        <v>9</v>
      </c>
      <c r="I42" t="s">
        <v>195</v>
      </c>
      <c r="J42" t="s">
        <v>3644</v>
      </c>
    </row>
    <row r="43" spans="1:10" x14ac:dyDescent="0.2">
      <c r="A43" t="s">
        <v>3643</v>
      </c>
      <c r="E43" t="str">
        <f>HYPERLINK("http://nlpdeep.cs.uic.edu:8080/proofing/gsii/523069-assessment-and-plan-0-2.pdf","gsii/523069-assessment-and-plan-0-2.pdf")</f>
        <v>gsii/523069-assessment-and-plan-0-2.pdf</v>
      </c>
      <c r="F43">
        <v>120842</v>
      </c>
      <c r="G43">
        <v>523069</v>
      </c>
      <c r="H43" t="s">
        <v>9</v>
      </c>
      <c r="I43" t="s">
        <v>195</v>
      </c>
      <c r="J43" t="s">
        <v>3644</v>
      </c>
    </row>
    <row r="44" spans="1:10" x14ac:dyDescent="0.2">
      <c r="A44" t="s">
        <v>3645</v>
      </c>
      <c r="E44" t="str">
        <f>HYPERLINK("http://nlpdeep.cs.uic.edu:8080/proofing/t5/523069-assessment-and-plan-0-3.pdf","t5/523069-assessment-and-plan-0-3.pdf")</f>
        <v>t5/523069-assessment-and-plan-0-3.pdf</v>
      </c>
      <c r="F44">
        <v>120842</v>
      </c>
      <c r="G44">
        <v>523069</v>
      </c>
      <c r="H44" t="s">
        <v>9</v>
      </c>
      <c r="I44" t="s">
        <v>195</v>
      </c>
      <c r="J44" t="s">
        <v>3646</v>
      </c>
    </row>
    <row r="45" spans="1:10" x14ac:dyDescent="0.2">
      <c r="A45" t="s">
        <v>3645</v>
      </c>
      <c r="E45" t="str">
        <f>HYPERLINK("http://nlpdeep.cs.uic.edu:8080/proofing/gsii/523069-assessment-and-plan-0-3.pdf","gsii/523069-assessment-and-plan-0-3.pdf")</f>
        <v>gsii/523069-assessment-and-plan-0-3.pdf</v>
      </c>
      <c r="F45">
        <v>120842</v>
      </c>
      <c r="G45">
        <v>523069</v>
      </c>
      <c r="H45" t="s">
        <v>9</v>
      </c>
      <c r="I45" t="s">
        <v>195</v>
      </c>
      <c r="J45" t="s">
        <v>3646</v>
      </c>
    </row>
    <row r="46" spans="1:10" x14ac:dyDescent="0.2">
      <c r="A46" t="s">
        <v>3647</v>
      </c>
      <c r="E46" t="str">
        <f>HYPERLINK("http://nlpdeep.cs.uic.edu:8080/proofing/t5/523069-assessment-and-plan-0-4.pdf","t5/523069-assessment-and-plan-0-4.pdf")</f>
        <v>t5/523069-assessment-and-plan-0-4.pdf</v>
      </c>
      <c r="F46">
        <v>120842</v>
      </c>
      <c r="G46">
        <v>523069</v>
      </c>
      <c r="H46" t="s">
        <v>9</v>
      </c>
      <c r="I46" t="s">
        <v>195</v>
      </c>
      <c r="J46" t="s">
        <v>3648</v>
      </c>
    </row>
    <row r="47" spans="1:10" x14ac:dyDescent="0.2">
      <c r="A47" t="s">
        <v>3647</v>
      </c>
      <c r="E47" t="str">
        <f>HYPERLINK("http://nlpdeep.cs.uic.edu:8080/proofing/gsii/523069-assessment-and-plan-0-4.pdf","gsii/523069-assessment-and-plan-0-4.pdf")</f>
        <v>gsii/523069-assessment-and-plan-0-4.pdf</v>
      </c>
      <c r="F47">
        <v>120842</v>
      </c>
      <c r="G47">
        <v>523069</v>
      </c>
      <c r="H47" t="s">
        <v>9</v>
      </c>
      <c r="I47" t="s">
        <v>195</v>
      </c>
      <c r="J47" t="s">
        <v>3648</v>
      </c>
    </row>
    <row r="48" spans="1:10" x14ac:dyDescent="0.2">
      <c r="A48" t="s">
        <v>3649</v>
      </c>
      <c r="E48" t="str">
        <f>HYPERLINK("http://nlpdeep.cs.uic.edu:8080/proofing/t5/523069-assessment-and-plan-0-5.pdf","t5/523069-assessment-and-plan-0-5.pdf")</f>
        <v>t5/523069-assessment-and-plan-0-5.pdf</v>
      </c>
      <c r="F48">
        <v>120842</v>
      </c>
      <c r="G48">
        <v>523069</v>
      </c>
      <c r="H48" t="s">
        <v>9</v>
      </c>
      <c r="I48" t="s">
        <v>195</v>
      </c>
      <c r="J48" t="s">
        <v>3650</v>
      </c>
    </row>
    <row r="49" spans="1:10" x14ac:dyDescent="0.2">
      <c r="A49" t="s">
        <v>3649</v>
      </c>
      <c r="E49" t="str">
        <f>HYPERLINK("http://nlpdeep.cs.uic.edu:8080/proofing/gsii/523069-assessment-and-plan-0-5.pdf","gsii/523069-assessment-and-plan-0-5.pdf")</f>
        <v>gsii/523069-assessment-and-plan-0-5.pdf</v>
      </c>
      <c r="F49">
        <v>120842</v>
      </c>
      <c r="G49">
        <v>523069</v>
      </c>
      <c r="H49" t="s">
        <v>9</v>
      </c>
      <c r="I49" t="s">
        <v>195</v>
      </c>
      <c r="J49" t="s">
        <v>3650</v>
      </c>
    </row>
    <row r="50" spans="1:10" x14ac:dyDescent="0.2">
      <c r="A50" t="s">
        <v>3651</v>
      </c>
      <c r="E50" t="str">
        <f>HYPERLINK("http://nlpdeep.cs.uic.edu:8080/proofing/t5/523069-assessment-and-plan-0-6.pdf","t5/523069-assessment-and-plan-0-6.pdf")</f>
        <v>t5/523069-assessment-and-plan-0-6.pdf</v>
      </c>
      <c r="F50">
        <v>120842</v>
      </c>
      <c r="G50">
        <v>523069</v>
      </c>
      <c r="H50" t="s">
        <v>9</v>
      </c>
      <c r="I50" t="s">
        <v>195</v>
      </c>
      <c r="J50" t="s">
        <v>2675</v>
      </c>
    </row>
    <row r="51" spans="1:10" x14ac:dyDescent="0.2">
      <c r="A51" t="s">
        <v>3651</v>
      </c>
      <c r="E51" t="str">
        <f>HYPERLINK("http://nlpdeep.cs.uic.edu:8080/proofing/gsii/523069-assessment-and-plan-0-6.pdf","gsii/523069-assessment-and-plan-0-6.pdf")</f>
        <v>gsii/523069-assessment-and-plan-0-6.pdf</v>
      </c>
      <c r="F51">
        <v>120842</v>
      </c>
      <c r="G51">
        <v>523069</v>
      </c>
      <c r="H51" t="s">
        <v>9</v>
      </c>
      <c r="I51" t="s">
        <v>195</v>
      </c>
      <c r="J51" t="s">
        <v>2675</v>
      </c>
    </row>
    <row r="52" spans="1:10" x14ac:dyDescent="0.2">
      <c r="A52" t="s">
        <v>3652</v>
      </c>
      <c r="E52" t="str">
        <f>HYPERLINK("http://nlpdeep.cs.uic.edu:8080/proofing/t5/523069-assessment-and-plan-0-7.pdf","t5/523069-assessment-and-plan-0-7.pdf")</f>
        <v>t5/523069-assessment-and-plan-0-7.pdf</v>
      </c>
      <c r="F52">
        <v>120842</v>
      </c>
      <c r="G52">
        <v>523069</v>
      </c>
      <c r="H52" t="s">
        <v>9</v>
      </c>
      <c r="I52" t="s">
        <v>195</v>
      </c>
      <c r="J52" t="s">
        <v>3653</v>
      </c>
    </row>
    <row r="53" spans="1:10" x14ac:dyDescent="0.2">
      <c r="A53" t="s">
        <v>3652</v>
      </c>
      <c r="E53" t="str">
        <f>HYPERLINK("http://nlpdeep.cs.uic.edu:8080/proofing/gsii/523069-assessment-and-plan-0-7.pdf","gsii/523069-assessment-and-plan-0-7.pdf")</f>
        <v>gsii/523069-assessment-and-plan-0-7.pdf</v>
      </c>
      <c r="F53">
        <v>120842</v>
      </c>
      <c r="G53">
        <v>523069</v>
      </c>
      <c r="H53" t="s">
        <v>9</v>
      </c>
      <c r="I53" t="s">
        <v>195</v>
      </c>
      <c r="J53" t="s">
        <v>3653</v>
      </c>
    </row>
    <row r="54" spans="1:10" x14ac:dyDescent="0.2">
      <c r="A54" t="s">
        <v>3654</v>
      </c>
      <c r="E54" t="str">
        <f>HYPERLINK("http://nlpdeep.cs.uic.edu:8080/proofing/t5/523069-assessment-and-plan-0-8.pdf","t5/523069-assessment-and-plan-0-8.pdf")</f>
        <v>t5/523069-assessment-and-plan-0-8.pdf</v>
      </c>
      <c r="F54">
        <v>120842</v>
      </c>
      <c r="G54">
        <v>523069</v>
      </c>
      <c r="H54" t="s">
        <v>9</v>
      </c>
      <c r="I54" t="s">
        <v>195</v>
      </c>
      <c r="J54" t="s">
        <v>3655</v>
      </c>
    </row>
    <row r="55" spans="1:10" x14ac:dyDescent="0.2">
      <c r="A55" t="s">
        <v>3654</v>
      </c>
      <c r="E55" t="str">
        <f>HYPERLINK("http://nlpdeep.cs.uic.edu:8080/proofing/gsii/523069-assessment-and-plan-0-8.pdf","gsii/523069-assessment-and-plan-0-8.pdf")</f>
        <v>gsii/523069-assessment-and-plan-0-8.pdf</v>
      </c>
      <c r="F55">
        <v>120842</v>
      </c>
      <c r="G55">
        <v>523069</v>
      </c>
      <c r="H55" t="s">
        <v>9</v>
      </c>
      <c r="I55" t="s">
        <v>195</v>
      </c>
      <c r="J55" t="s">
        <v>3655</v>
      </c>
    </row>
    <row r="56" spans="1:10" x14ac:dyDescent="0.2">
      <c r="A56" t="s">
        <v>3656</v>
      </c>
      <c r="E56" t="str">
        <f>HYPERLINK("http://nlpdeep.cs.uic.edu:8080/proofing/t5/523069-assessment-and-plan-0-9.pdf","t5/523069-assessment-and-plan-0-9.pdf")</f>
        <v>t5/523069-assessment-and-plan-0-9.pdf</v>
      </c>
      <c r="F56">
        <v>120842</v>
      </c>
      <c r="G56">
        <v>523069</v>
      </c>
      <c r="H56" t="s">
        <v>9</v>
      </c>
      <c r="I56" t="s">
        <v>195</v>
      </c>
      <c r="J56" t="s">
        <v>3657</v>
      </c>
    </row>
    <row r="57" spans="1:10" x14ac:dyDescent="0.2">
      <c r="A57" t="s">
        <v>3656</v>
      </c>
      <c r="E57" t="str">
        <f>HYPERLINK("http://nlpdeep.cs.uic.edu:8080/proofing/gsii/523069-assessment-and-plan-0-9.pdf","gsii/523069-assessment-and-plan-0-9.pdf")</f>
        <v>gsii/523069-assessment-and-plan-0-9.pdf</v>
      </c>
      <c r="F57">
        <v>120842</v>
      </c>
      <c r="G57">
        <v>523069</v>
      </c>
      <c r="H57" t="s">
        <v>9</v>
      </c>
      <c r="I57" t="s">
        <v>195</v>
      </c>
      <c r="J57" t="s">
        <v>3657</v>
      </c>
    </row>
    <row r="58" spans="1:10" x14ac:dyDescent="0.2">
      <c r="A58" t="s">
        <v>3658</v>
      </c>
      <c r="E58" t="str">
        <f>HYPERLINK("http://nlpdeep.cs.uic.edu:8080/proofing/t5/523069-assessment-and-plan-0-10.pdf","t5/523069-assessment-and-plan-0-10.pdf")</f>
        <v>t5/523069-assessment-and-plan-0-10.pdf</v>
      </c>
      <c r="F58">
        <v>120842</v>
      </c>
      <c r="G58">
        <v>523069</v>
      </c>
      <c r="H58" t="s">
        <v>9</v>
      </c>
      <c r="I58" t="s">
        <v>195</v>
      </c>
    </row>
    <row r="59" spans="1:10" x14ac:dyDescent="0.2">
      <c r="A59" t="s">
        <v>3658</v>
      </c>
      <c r="E59" t="str">
        <f>HYPERLINK("http://nlpdeep.cs.uic.edu:8080/proofing/gsii/523069-assessment-and-plan-0-10.pdf","gsii/523069-assessment-and-plan-0-10.pdf")</f>
        <v>gsii/523069-assessment-and-plan-0-10.pdf</v>
      </c>
      <c r="F59">
        <v>120842</v>
      </c>
      <c r="G59">
        <v>523069</v>
      </c>
      <c r="H59" t="s">
        <v>9</v>
      </c>
      <c r="I59" t="s">
        <v>195</v>
      </c>
    </row>
    <row r="60" spans="1:10" x14ac:dyDescent="0.2">
      <c r="A60" t="s">
        <v>3659</v>
      </c>
      <c r="E60" t="str">
        <f>HYPERLINK("http://nlpdeep.cs.uic.edu:8080/proofing/t5/523069-assessment-and-plan-1-0.pdf","t5/523069-assessment-and-plan-1-0.pdf")</f>
        <v>t5/523069-assessment-and-plan-1-0.pdf</v>
      </c>
      <c r="F60">
        <v>120842</v>
      </c>
      <c r="G60">
        <v>523069</v>
      </c>
      <c r="H60" t="s">
        <v>9</v>
      </c>
      <c r="I60" t="s">
        <v>195</v>
      </c>
      <c r="J60" t="s">
        <v>2684</v>
      </c>
    </row>
    <row r="61" spans="1:10" x14ac:dyDescent="0.2">
      <c r="A61" t="s">
        <v>3659</v>
      </c>
      <c r="E61" t="str">
        <f>HYPERLINK("http://nlpdeep.cs.uic.edu:8080/proofing/gsii/523069-assessment-and-plan-1-0.pdf","gsii/523069-assessment-and-plan-1-0.pdf")</f>
        <v>gsii/523069-assessment-and-plan-1-0.pdf</v>
      </c>
      <c r="F61">
        <v>120842</v>
      </c>
      <c r="G61">
        <v>523069</v>
      </c>
      <c r="H61" t="s">
        <v>9</v>
      </c>
      <c r="I61" t="s">
        <v>195</v>
      </c>
      <c r="J61" t="s">
        <v>2684</v>
      </c>
    </row>
    <row r="62" spans="1:10" x14ac:dyDescent="0.2">
      <c r="A62" t="s">
        <v>3660</v>
      </c>
      <c r="E62" t="str">
        <f>HYPERLINK("http://nlpdeep.cs.uic.edu:8080/proofing/t5/523069-assessment-and-plan-1-1.pdf","t5/523069-assessment-and-plan-1-1.pdf")</f>
        <v>t5/523069-assessment-and-plan-1-1.pdf</v>
      </c>
      <c r="F62">
        <v>120842</v>
      </c>
      <c r="G62">
        <v>523069</v>
      </c>
      <c r="H62" t="s">
        <v>9</v>
      </c>
      <c r="I62" t="s">
        <v>195</v>
      </c>
      <c r="J62" t="s">
        <v>3661</v>
      </c>
    </row>
    <row r="63" spans="1:10" x14ac:dyDescent="0.2">
      <c r="A63" t="s">
        <v>3660</v>
      </c>
      <c r="E63" t="str">
        <f>HYPERLINK("http://nlpdeep.cs.uic.edu:8080/proofing/gsii/523069-assessment-and-plan-1-1.pdf","gsii/523069-assessment-and-plan-1-1.pdf")</f>
        <v>gsii/523069-assessment-and-plan-1-1.pdf</v>
      </c>
      <c r="F63">
        <v>120842</v>
      </c>
      <c r="G63">
        <v>523069</v>
      </c>
      <c r="H63" t="s">
        <v>9</v>
      </c>
      <c r="I63" t="s">
        <v>195</v>
      </c>
      <c r="J63" t="s">
        <v>3661</v>
      </c>
    </row>
    <row r="64" spans="1:10" x14ac:dyDescent="0.2">
      <c r="A64" t="s">
        <v>3662</v>
      </c>
      <c r="E64" t="str">
        <f>HYPERLINK("http://nlpdeep.cs.uic.edu:8080/proofing/t5/523069-assessment-and-plan-1-2.pdf","t5/523069-assessment-and-plan-1-2.pdf")</f>
        <v>t5/523069-assessment-and-plan-1-2.pdf</v>
      </c>
      <c r="F64">
        <v>120842</v>
      </c>
      <c r="G64">
        <v>523069</v>
      </c>
      <c r="H64" t="s">
        <v>9</v>
      </c>
      <c r="I64" t="s">
        <v>195</v>
      </c>
      <c r="J64" t="s">
        <v>3663</v>
      </c>
    </row>
    <row r="65" spans="1:10" x14ac:dyDescent="0.2">
      <c r="A65" t="s">
        <v>3662</v>
      </c>
      <c r="E65" t="str">
        <f>HYPERLINK("http://nlpdeep.cs.uic.edu:8080/proofing/gsii/523069-assessment-and-plan-1-2.pdf","gsii/523069-assessment-and-plan-1-2.pdf")</f>
        <v>gsii/523069-assessment-and-plan-1-2.pdf</v>
      </c>
      <c r="F65">
        <v>120842</v>
      </c>
      <c r="G65">
        <v>523069</v>
      </c>
      <c r="H65" t="s">
        <v>9</v>
      </c>
      <c r="I65" t="s">
        <v>195</v>
      </c>
      <c r="J65" t="s">
        <v>3663</v>
      </c>
    </row>
    <row r="66" spans="1:10" x14ac:dyDescent="0.2">
      <c r="A66" t="s">
        <v>3664</v>
      </c>
      <c r="E66" t="str">
        <f>HYPERLINK("http://nlpdeep.cs.uic.edu:8080/proofing/t5/523069-assessment-and-plan-1-3.pdf","t5/523069-assessment-and-plan-1-3.pdf")</f>
        <v>t5/523069-assessment-and-plan-1-3.pdf</v>
      </c>
      <c r="F66">
        <v>120842</v>
      </c>
      <c r="G66">
        <v>523069</v>
      </c>
      <c r="H66" t="s">
        <v>9</v>
      </c>
      <c r="I66" t="s">
        <v>195</v>
      </c>
      <c r="J66" t="s">
        <v>3665</v>
      </c>
    </row>
    <row r="67" spans="1:10" x14ac:dyDescent="0.2">
      <c r="A67" t="s">
        <v>3664</v>
      </c>
      <c r="E67" t="str">
        <f>HYPERLINK("http://nlpdeep.cs.uic.edu:8080/proofing/gsii/523069-assessment-and-plan-1-3.pdf","gsii/523069-assessment-and-plan-1-3.pdf")</f>
        <v>gsii/523069-assessment-and-plan-1-3.pdf</v>
      </c>
      <c r="F67">
        <v>120842</v>
      </c>
      <c r="G67">
        <v>523069</v>
      </c>
      <c r="H67" t="s">
        <v>9</v>
      </c>
      <c r="I67" t="s">
        <v>195</v>
      </c>
      <c r="J67" t="s">
        <v>3665</v>
      </c>
    </row>
    <row r="68" spans="1:10" x14ac:dyDescent="0.2">
      <c r="A68" t="s">
        <v>3666</v>
      </c>
      <c r="E68" t="str">
        <f>HYPERLINK("http://nlpdeep.cs.uic.edu:8080/proofing/t5/523069-assessment-and-plan-1-4.pdf","t5/523069-assessment-and-plan-1-4.pdf")</f>
        <v>t5/523069-assessment-and-plan-1-4.pdf</v>
      </c>
      <c r="F68">
        <v>120842</v>
      </c>
      <c r="G68">
        <v>523069</v>
      </c>
      <c r="H68" t="s">
        <v>9</v>
      </c>
      <c r="I68" t="s">
        <v>195</v>
      </c>
      <c r="J68" t="s">
        <v>3667</v>
      </c>
    </row>
    <row r="69" spans="1:10" x14ac:dyDescent="0.2">
      <c r="A69" t="s">
        <v>3666</v>
      </c>
      <c r="E69" t="str">
        <f>HYPERLINK("http://nlpdeep.cs.uic.edu:8080/proofing/gsii/523069-assessment-and-plan-1-4.pdf","gsii/523069-assessment-and-plan-1-4.pdf")</f>
        <v>gsii/523069-assessment-and-plan-1-4.pdf</v>
      </c>
      <c r="F69">
        <v>120842</v>
      </c>
      <c r="G69">
        <v>523069</v>
      </c>
      <c r="H69" t="s">
        <v>9</v>
      </c>
      <c r="I69" t="s">
        <v>195</v>
      </c>
      <c r="J69" t="s">
        <v>3667</v>
      </c>
    </row>
    <row r="70" spans="1:10" x14ac:dyDescent="0.2">
      <c r="A70" t="s">
        <v>3668</v>
      </c>
      <c r="E70" t="str">
        <f>HYPERLINK("http://nlpdeep.cs.uic.edu:8080/proofing/t5/523069-assessment-and-plan-1-5.pdf","t5/523069-assessment-and-plan-1-5.pdf")</f>
        <v>t5/523069-assessment-and-plan-1-5.pdf</v>
      </c>
      <c r="F70">
        <v>120842</v>
      </c>
      <c r="G70">
        <v>523069</v>
      </c>
      <c r="H70" t="s">
        <v>9</v>
      </c>
      <c r="I70" t="s">
        <v>195</v>
      </c>
      <c r="J70" t="s">
        <v>3669</v>
      </c>
    </row>
    <row r="71" spans="1:10" x14ac:dyDescent="0.2">
      <c r="A71" t="s">
        <v>3668</v>
      </c>
      <c r="E71" t="str">
        <f>HYPERLINK("http://nlpdeep.cs.uic.edu:8080/proofing/gsii/523069-assessment-and-plan-1-5.pdf","gsii/523069-assessment-and-plan-1-5.pdf")</f>
        <v>gsii/523069-assessment-and-plan-1-5.pdf</v>
      </c>
      <c r="F71">
        <v>120842</v>
      </c>
      <c r="G71">
        <v>523069</v>
      </c>
      <c r="H71" t="s">
        <v>9</v>
      </c>
      <c r="I71" t="s">
        <v>195</v>
      </c>
      <c r="J71" t="s">
        <v>3669</v>
      </c>
    </row>
    <row r="72" spans="1:10" x14ac:dyDescent="0.2">
      <c r="A72" t="s">
        <v>3670</v>
      </c>
      <c r="E72" t="str">
        <f>HYPERLINK("http://nlpdeep.cs.uic.edu:8080/proofing/t5/523069-assessment-and-plan-1-6.pdf","t5/523069-assessment-and-plan-1-6.pdf")</f>
        <v>t5/523069-assessment-and-plan-1-6.pdf</v>
      </c>
      <c r="F72">
        <v>120842</v>
      </c>
      <c r="G72">
        <v>523069</v>
      </c>
      <c r="H72" t="s">
        <v>9</v>
      </c>
      <c r="I72" t="s">
        <v>195</v>
      </c>
      <c r="J72" t="s">
        <v>3671</v>
      </c>
    </row>
    <row r="73" spans="1:10" x14ac:dyDescent="0.2">
      <c r="A73" t="s">
        <v>3670</v>
      </c>
      <c r="E73" t="str">
        <f>HYPERLINK("http://nlpdeep.cs.uic.edu:8080/proofing/gsii/523069-assessment-and-plan-1-6.pdf","gsii/523069-assessment-and-plan-1-6.pdf")</f>
        <v>gsii/523069-assessment-and-plan-1-6.pdf</v>
      </c>
      <c r="F73">
        <v>120842</v>
      </c>
      <c r="G73">
        <v>523069</v>
      </c>
      <c r="H73" t="s">
        <v>9</v>
      </c>
      <c r="I73" t="s">
        <v>195</v>
      </c>
      <c r="J73" t="s">
        <v>3671</v>
      </c>
    </row>
    <row r="74" spans="1:10" x14ac:dyDescent="0.2">
      <c r="A74" t="s">
        <v>3672</v>
      </c>
      <c r="E74" t="str">
        <f>HYPERLINK("http://nlpdeep.cs.uic.edu:8080/proofing/t5/523069-assessment-and-plan-1-7.pdf","t5/523069-assessment-and-plan-1-7.pdf")</f>
        <v>t5/523069-assessment-and-plan-1-7.pdf</v>
      </c>
      <c r="F74">
        <v>120842</v>
      </c>
      <c r="G74">
        <v>523069</v>
      </c>
      <c r="H74" t="s">
        <v>9</v>
      </c>
      <c r="I74" t="s">
        <v>195</v>
      </c>
      <c r="J74" t="s">
        <v>3673</v>
      </c>
    </row>
    <row r="75" spans="1:10" x14ac:dyDescent="0.2">
      <c r="A75" t="s">
        <v>3672</v>
      </c>
      <c r="E75" t="str">
        <f>HYPERLINK("http://nlpdeep.cs.uic.edu:8080/proofing/gsii/523069-assessment-and-plan-1-7.pdf","gsii/523069-assessment-and-plan-1-7.pdf")</f>
        <v>gsii/523069-assessment-and-plan-1-7.pdf</v>
      </c>
      <c r="F75">
        <v>120842</v>
      </c>
      <c r="G75">
        <v>523069</v>
      </c>
      <c r="H75" t="s">
        <v>9</v>
      </c>
      <c r="I75" t="s">
        <v>195</v>
      </c>
      <c r="J75" t="s">
        <v>3673</v>
      </c>
    </row>
    <row r="76" spans="1:10" x14ac:dyDescent="0.2">
      <c r="A76" t="s">
        <v>3674</v>
      </c>
      <c r="E76" t="str">
        <f>HYPERLINK("http://nlpdeep.cs.uic.edu:8080/proofing/t5/523069-assessment-and-plan-1-8.pdf","t5/523069-assessment-and-plan-1-8.pdf")</f>
        <v>t5/523069-assessment-and-plan-1-8.pdf</v>
      </c>
      <c r="F76">
        <v>120842</v>
      </c>
      <c r="G76">
        <v>523069</v>
      </c>
      <c r="H76" t="s">
        <v>9</v>
      </c>
      <c r="I76" t="s">
        <v>195</v>
      </c>
      <c r="J76" t="s">
        <v>2694</v>
      </c>
    </row>
    <row r="77" spans="1:10" x14ac:dyDescent="0.2">
      <c r="A77" t="s">
        <v>3674</v>
      </c>
      <c r="E77" t="str">
        <f>HYPERLINK("http://nlpdeep.cs.uic.edu:8080/proofing/gsii/523069-assessment-and-plan-1-8.pdf","gsii/523069-assessment-and-plan-1-8.pdf")</f>
        <v>gsii/523069-assessment-and-plan-1-8.pdf</v>
      </c>
      <c r="F77">
        <v>120842</v>
      </c>
      <c r="G77">
        <v>523069</v>
      </c>
      <c r="H77" t="s">
        <v>9</v>
      </c>
      <c r="I77" t="s">
        <v>195</v>
      </c>
      <c r="J77" t="s">
        <v>2694</v>
      </c>
    </row>
    <row r="78" spans="1:10" x14ac:dyDescent="0.2">
      <c r="A78" t="s">
        <v>3675</v>
      </c>
      <c r="E78" t="str">
        <f>HYPERLINK("http://nlpdeep.cs.uic.edu:8080/proofing/t5/523069-assessment-and-plan-1-9.pdf","t5/523069-assessment-and-plan-1-9.pdf")</f>
        <v>t5/523069-assessment-and-plan-1-9.pdf</v>
      </c>
      <c r="F78">
        <v>120842</v>
      </c>
      <c r="G78">
        <v>523069</v>
      </c>
      <c r="H78" t="s">
        <v>9</v>
      </c>
      <c r="I78" t="s">
        <v>195</v>
      </c>
      <c r="J78" t="s">
        <v>2696</v>
      </c>
    </row>
    <row r="79" spans="1:10" x14ac:dyDescent="0.2">
      <c r="A79" t="s">
        <v>3675</v>
      </c>
      <c r="E79" t="str">
        <f>HYPERLINK("http://nlpdeep.cs.uic.edu:8080/proofing/gsii/523069-assessment-and-plan-1-9.pdf","gsii/523069-assessment-and-plan-1-9.pdf")</f>
        <v>gsii/523069-assessment-and-plan-1-9.pdf</v>
      </c>
      <c r="F79">
        <v>120842</v>
      </c>
      <c r="G79">
        <v>523069</v>
      </c>
      <c r="H79" t="s">
        <v>9</v>
      </c>
      <c r="I79" t="s">
        <v>195</v>
      </c>
      <c r="J79" t="s">
        <v>2696</v>
      </c>
    </row>
    <row r="80" spans="1:10" x14ac:dyDescent="0.2">
      <c r="A80" t="s">
        <v>3676</v>
      </c>
      <c r="E80" t="str">
        <f>HYPERLINK("http://nlpdeep.cs.uic.edu:8080/proofing/t5/523069-assessment-and-plan-1-10.pdf","t5/523069-assessment-and-plan-1-10.pdf")</f>
        <v>t5/523069-assessment-and-plan-1-10.pdf</v>
      </c>
      <c r="F80">
        <v>120842</v>
      </c>
      <c r="G80">
        <v>523069</v>
      </c>
      <c r="H80" t="s">
        <v>9</v>
      </c>
      <c r="I80" t="s">
        <v>195</v>
      </c>
      <c r="J80" t="s">
        <v>3677</v>
      </c>
    </row>
    <row r="81" spans="1:10" x14ac:dyDescent="0.2">
      <c r="A81" t="s">
        <v>3676</v>
      </c>
      <c r="E81" t="str">
        <f>HYPERLINK("http://nlpdeep.cs.uic.edu:8080/proofing/gsii/523069-assessment-and-plan-1-10.pdf","gsii/523069-assessment-and-plan-1-10.pdf")</f>
        <v>gsii/523069-assessment-and-plan-1-10.pdf</v>
      </c>
      <c r="F81">
        <v>120842</v>
      </c>
      <c r="G81">
        <v>523069</v>
      </c>
      <c r="H81" t="s">
        <v>9</v>
      </c>
      <c r="I81" t="s">
        <v>195</v>
      </c>
      <c r="J81" t="s">
        <v>3677</v>
      </c>
    </row>
    <row r="82" spans="1:10" x14ac:dyDescent="0.2">
      <c r="A82" t="s">
        <v>3678</v>
      </c>
      <c r="E82" t="str">
        <f>HYPERLINK("http://nlpdeep.cs.uic.edu:8080/proofing/t5/523069-assessment-and-plan-1-11.pdf","t5/523069-assessment-and-plan-1-11.pdf")</f>
        <v>t5/523069-assessment-and-plan-1-11.pdf</v>
      </c>
      <c r="F82">
        <v>120842</v>
      </c>
      <c r="G82">
        <v>523069</v>
      </c>
      <c r="H82" t="s">
        <v>9</v>
      </c>
      <c r="I82" t="s">
        <v>195</v>
      </c>
      <c r="J82" t="s">
        <v>3679</v>
      </c>
    </row>
    <row r="83" spans="1:10" x14ac:dyDescent="0.2">
      <c r="A83" t="s">
        <v>3678</v>
      </c>
      <c r="E83" t="str">
        <f>HYPERLINK("http://nlpdeep.cs.uic.edu:8080/proofing/gsii/523069-assessment-and-plan-1-11.pdf","gsii/523069-assessment-and-plan-1-11.pdf")</f>
        <v>gsii/523069-assessment-and-plan-1-11.pdf</v>
      </c>
      <c r="F83">
        <v>120842</v>
      </c>
      <c r="G83">
        <v>523069</v>
      </c>
      <c r="H83" t="s">
        <v>9</v>
      </c>
      <c r="I83" t="s">
        <v>195</v>
      </c>
      <c r="J83" t="s">
        <v>3679</v>
      </c>
    </row>
    <row r="84" spans="1:10" x14ac:dyDescent="0.2">
      <c r="A84" t="s">
        <v>3680</v>
      </c>
      <c r="E84" t="str">
        <f>HYPERLINK("http://nlpdeep.cs.uic.edu:8080/proofing/t5/523069-assessment-and-plan-1-12.pdf","t5/523069-assessment-and-plan-1-12.pdf")</f>
        <v>t5/523069-assessment-and-plan-1-12.pdf</v>
      </c>
      <c r="F84">
        <v>120842</v>
      </c>
      <c r="G84">
        <v>523069</v>
      </c>
      <c r="H84" t="s">
        <v>9</v>
      </c>
      <c r="I84" t="s">
        <v>195</v>
      </c>
      <c r="J84" t="s">
        <v>3681</v>
      </c>
    </row>
    <row r="85" spans="1:10" x14ac:dyDescent="0.2">
      <c r="A85" t="s">
        <v>3680</v>
      </c>
      <c r="E85" t="str">
        <f>HYPERLINK("http://nlpdeep.cs.uic.edu:8080/proofing/gsii/523069-assessment-and-plan-1-12.pdf","gsii/523069-assessment-and-plan-1-12.pdf")</f>
        <v>gsii/523069-assessment-and-plan-1-12.pdf</v>
      </c>
      <c r="F85">
        <v>120842</v>
      </c>
      <c r="G85">
        <v>523069</v>
      </c>
      <c r="H85" t="s">
        <v>9</v>
      </c>
      <c r="I85" t="s">
        <v>195</v>
      </c>
      <c r="J85" t="s">
        <v>3681</v>
      </c>
    </row>
    <row r="86" spans="1:10" x14ac:dyDescent="0.2">
      <c r="A86" t="s">
        <v>3682</v>
      </c>
      <c r="E86" t="str">
        <f>HYPERLINK("http://nlpdeep.cs.uic.edu:8080/proofing/t5/523069-assessment-and-plan-1-13.pdf","t5/523069-assessment-and-plan-1-13.pdf")</f>
        <v>t5/523069-assessment-and-plan-1-13.pdf</v>
      </c>
      <c r="F86">
        <v>120842</v>
      </c>
      <c r="G86">
        <v>523069</v>
      </c>
      <c r="H86" t="s">
        <v>9</v>
      </c>
      <c r="I86" t="s">
        <v>195</v>
      </c>
    </row>
    <row r="87" spans="1:10" x14ac:dyDescent="0.2">
      <c r="A87" t="s">
        <v>3682</v>
      </c>
      <c r="E87" t="str">
        <f>HYPERLINK("http://nlpdeep.cs.uic.edu:8080/proofing/gsii/523069-assessment-and-plan-1-13.pdf","gsii/523069-assessment-and-plan-1-13.pdf")</f>
        <v>gsii/523069-assessment-and-plan-1-13.pdf</v>
      </c>
      <c r="F87">
        <v>120842</v>
      </c>
      <c r="G87">
        <v>523069</v>
      </c>
      <c r="H87" t="s">
        <v>9</v>
      </c>
      <c r="I87" t="s">
        <v>195</v>
      </c>
    </row>
    <row r="88" spans="1:10" x14ac:dyDescent="0.2">
      <c r="A88" t="s">
        <v>3683</v>
      </c>
      <c r="E88" t="str">
        <f>HYPERLINK("http://nlpdeep.cs.uic.edu:8080/proofing/t5/523069-assessment-and-plan-2-0.pdf","t5/523069-assessment-and-plan-2-0.pdf")</f>
        <v>t5/523069-assessment-and-plan-2-0.pdf</v>
      </c>
      <c r="F88">
        <v>120842</v>
      </c>
      <c r="G88">
        <v>523069</v>
      </c>
      <c r="H88" t="s">
        <v>9</v>
      </c>
      <c r="I88" t="s">
        <v>195</v>
      </c>
      <c r="J88" t="s">
        <v>2708</v>
      </c>
    </row>
    <row r="89" spans="1:10" x14ac:dyDescent="0.2">
      <c r="A89" t="s">
        <v>3683</v>
      </c>
      <c r="E89" t="str">
        <f>HYPERLINK("http://nlpdeep.cs.uic.edu:8080/proofing/gsii/523069-assessment-and-plan-2-0.pdf","gsii/523069-assessment-and-plan-2-0.pdf")</f>
        <v>gsii/523069-assessment-and-plan-2-0.pdf</v>
      </c>
      <c r="F89">
        <v>120842</v>
      </c>
      <c r="G89">
        <v>523069</v>
      </c>
      <c r="H89" t="s">
        <v>9</v>
      </c>
      <c r="I89" t="s">
        <v>195</v>
      </c>
      <c r="J89" t="s">
        <v>2708</v>
      </c>
    </row>
    <row r="90" spans="1:10" x14ac:dyDescent="0.2">
      <c r="A90" t="s">
        <v>3684</v>
      </c>
      <c r="E90" t="str">
        <f>HYPERLINK("http://nlpdeep.cs.uic.edu:8080/proofing/t5/523069-assessment-and-plan-2-1.pdf","t5/523069-assessment-and-plan-2-1.pdf")</f>
        <v>t5/523069-assessment-and-plan-2-1.pdf</v>
      </c>
      <c r="F90">
        <v>120842</v>
      </c>
      <c r="G90">
        <v>523069</v>
      </c>
      <c r="H90" t="s">
        <v>9</v>
      </c>
      <c r="I90" t="s">
        <v>195</v>
      </c>
      <c r="J90" t="s">
        <v>3685</v>
      </c>
    </row>
    <row r="91" spans="1:10" x14ac:dyDescent="0.2">
      <c r="A91" t="s">
        <v>3684</v>
      </c>
      <c r="E91" t="str">
        <f>HYPERLINK("http://nlpdeep.cs.uic.edu:8080/proofing/gsii/523069-assessment-and-plan-2-1.pdf","gsii/523069-assessment-and-plan-2-1.pdf")</f>
        <v>gsii/523069-assessment-and-plan-2-1.pdf</v>
      </c>
      <c r="F91">
        <v>120842</v>
      </c>
      <c r="G91">
        <v>523069</v>
      </c>
      <c r="H91" t="s">
        <v>9</v>
      </c>
      <c r="I91" t="s">
        <v>195</v>
      </c>
      <c r="J91" t="s">
        <v>3685</v>
      </c>
    </row>
    <row r="92" spans="1:10" x14ac:dyDescent="0.2">
      <c r="A92" t="s">
        <v>3686</v>
      </c>
      <c r="E92" t="str">
        <f>HYPERLINK("http://nlpdeep.cs.uic.edu:8080/proofing/t5/523069-assessment-and-plan-2-2.pdf","t5/523069-assessment-and-plan-2-2.pdf")</f>
        <v>t5/523069-assessment-and-plan-2-2.pdf</v>
      </c>
      <c r="F92">
        <v>120842</v>
      </c>
      <c r="G92">
        <v>523069</v>
      </c>
      <c r="H92" t="s">
        <v>9</v>
      </c>
      <c r="I92" t="s">
        <v>195</v>
      </c>
    </row>
    <row r="93" spans="1:10" x14ac:dyDescent="0.2">
      <c r="A93" t="s">
        <v>3686</v>
      </c>
      <c r="E93" t="str">
        <f>HYPERLINK("http://nlpdeep.cs.uic.edu:8080/proofing/gsii/523069-assessment-and-plan-2-2.pdf","gsii/523069-assessment-and-plan-2-2.pdf")</f>
        <v>gsii/523069-assessment-and-plan-2-2.pdf</v>
      </c>
      <c r="F93">
        <v>120842</v>
      </c>
      <c r="G93">
        <v>523069</v>
      </c>
      <c r="H93" t="s">
        <v>9</v>
      </c>
      <c r="I93" t="s">
        <v>195</v>
      </c>
    </row>
    <row r="94" spans="1:10" x14ac:dyDescent="0.2">
      <c r="A94" t="s">
        <v>3687</v>
      </c>
      <c r="E94" t="str">
        <f>HYPERLINK("http://nlpdeep.cs.uic.edu:8080/proofing/t5/523069-assessment-and-plan-3-0.pdf","t5/523069-assessment-and-plan-3-0.pdf")</f>
        <v>t5/523069-assessment-and-plan-3-0.pdf</v>
      </c>
      <c r="F94">
        <v>120842</v>
      </c>
      <c r="G94">
        <v>523069</v>
      </c>
      <c r="H94" t="s">
        <v>9</v>
      </c>
      <c r="I94" t="s">
        <v>195</v>
      </c>
      <c r="J94" t="s">
        <v>2712</v>
      </c>
    </row>
    <row r="95" spans="1:10" x14ac:dyDescent="0.2">
      <c r="A95" t="s">
        <v>3687</v>
      </c>
      <c r="E95" t="str">
        <f>HYPERLINK("http://nlpdeep.cs.uic.edu:8080/proofing/gsii/523069-assessment-and-plan-3-0.pdf","gsii/523069-assessment-and-plan-3-0.pdf")</f>
        <v>gsii/523069-assessment-and-plan-3-0.pdf</v>
      </c>
      <c r="F95">
        <v>120842</v>
      </c>
      <c r="G95">
        <v>523069</v>
      </c>
      <c r="H95" t="s">
        <v>9</v>
      </c>
      <c r="I95" t="s">
        <v>195</v>
      </c>
      <c r="J95" t="s">
        <v>2712</v>
      </c>
    </row>
    <row r="96" spans="1:10" x14ac:dyDescent="0.2">
      <c r="A96" t="s">
        <v>3688</v>
      </c>
      <c r="E96" t="str">
        <f>HYPERLINK("http://nlpdeep.cs.uic.edu:8080/proofing/t5/523069-assessment-and-plan-3-1.pdf","t5/523069-assessment-and-plan-3-1.pdf")</f>
        <v>t5/523069-assessment-and-plan-3-1.pdf</v>
      </c>
      <c r="F96">
        <v>120842</v>
      </c>
      <c r="G96">
        <v>523069</v>
      </c>
      <c r="H96" t="s">
        <v>9</v>
      </c>
      <c r="I96" t="s">
        <v>195</v>
      </c>
      <c r="J96" t="s">
        <v>2714</v>
      </c>
    </row>
    <row r="97" spans="1:10" x14ac:dyDescent="0.2">
      <c r="A97" t="s">
        <v>3688</v>
      </c>
      <c r="E97" t="str">
        <f>HYPERLINK("http://nlpdeep.cs.uic.edu:8080/proofing/gsii/523069-assessment-and-plan-3-1.pdf","gsii/523069-assessment-and-plan-3-1.pdf")</f>
        <v>gsii/523069-assessment-and-plan-3-1.pdf</v>
      </c>
      <c r="F97">
        <v>120842</v>
      </c>
      <c r="G97">
        <v>523069</v>
      </c>
      <c r="H97" t="s">
        <v>9</v>
      </c>
      <c r="I97" t="s">
        <v>195</v>
      </c>
      <c r="J97" t="s">
        <v>2714</v>
      </c>
    </row>
    <row r="98" spans="1:10" x14ac:dyDescent="0.2">
      <c r="A98" t="s">
        <v>3689</v>
      </c>
      <c r="E98" t="str">
        <f>HYPERLINK("http://nlpdeep.cs.uic.edu:8080/proofing/t5/523069-assessment-and-plan-3-2.pdf","t5/523069-assessment-and-plan-3-2.pdf")</f>
        <v>t5/523069-assessment-and-plan-3-2.pdf</v>
      </c>
      <c r="F98">
        <v>120842</v>
      </c>
      <c r="G98">
        <v>523069</v>
      </c>
      <c r="H98" t="s">
        <v>9</v>
      </c>
      <c r="I98" t="s">
        <v>195</v>
      </c>
      <c r="J98" t="s">
        <v>2716</v>
      </c>
    </row>
    <row r="99" spans="1:10" x14ac:dyDescent="0.2">
      <c r="A99" t="s">
        <v>3689</v>
      </c>
      <c r="E99" t="str">
        <f>HYPERLINK("http://nlpdeep.cs.uic.edu:8080/proofing/gsii/523069-assessment-and-plan-3-2.pdf","gsii/523069-assessment-and-plan-3-2.pdf")</f>
        <v>gsii/523069-assessment-and-plan-3-2.pdf</v>
      </c>
      <c r="F99">
        <v>120842</v>
      </c>
      <c r="G99">
        <v>523069</v>
      </c>
      <c r="H99" t="s">
        <v>9</v>
      </c>
      <c r="I99" t="s">
        <v>195</v>
      </c>
      <c r="J99" t="s">
        <v>2716</v>
      </c>
    </row>
    <row r="100" spans="1:10" x14ac:dyDescent="0.2">
      <c r="A100" t="s">
        <v>3690</v>
      </c>
      <c r="E100" t="str">
        <f>HYPERLINK("http://nlpdeep.cs.uic.edu:8080/proofing/t5/523069-assessment-and-plan-4-0.pdf","t5/523069-assessment-and-plan-4-0.pdf")</f>
        <v>t5/523069-assessment-and-plan-4-0.pdf</v>
      </c>
      <c r="F100">
        <v>120842</v>
      </c>
      <c r="G100">
        <v>523069</v>
      </c>
      <c r="H100" t="s">
        <v>9</v>
      </c>
      <c r="I100" t="s">
        <v>195</v>
      </c>
      <c r="J100" t="s">
        <v>2718</v>
      </c>
    </row>
    <row r="101" spans="1:10" x14ac:dyDescent="0.2">
      <c r="A101" t="s">
        <v>3690</v>
      </c>
      <c r="E101" t="str">
        <f>HYPERLINK("http://nlpdeep.cs.uic.edu:8080/proofing/gsii/523069-assessment-and-plan-4-0.pdf","gsii/523069-assessment-and-plan-4-0.pdf")</f>
        <v>gsii/523069-assessment-and-plan-4-0.pdf</v>
      </c>
      <c r="F101">
        <v>120842</v>
      </c>
      <c r="G101">
        <v>523069</v>
      </c>
      <c r="H101" t="s">
        <v>9</v>
      </c>
      <c r="I101" t="s">
        <v>195</v>
      </c>
      <c r="J101" t="s">
        <v>2718</v>
      </c>
    </row>
    <row r="102" spans="1:10" x14ac:dyDescent="0.2">
      <c r="A102" t="s">
        <v>3691</v>
      </c>
      <c r="E102" t="str">
        <f>HYPERLINK("http://nlpdeep.cs.uic.edu:8080/proofing/t5/523069-code-status-0-0.pdf","t5/523069-code-status-0-0.pdf")</f>
        <v>t5/523069-code-status-0-0.pdf</v>
      </c>
      <c r="F102">
        <v>120842</v>
      </c>
      <c r="G102">
        <v>523069</v>
      </c>
      <c r="H102" t="s">
        <v>9</v>
      </c>
      <c r="I102" t="s">
        <v>201</v>
      </c>
      <c r="J102" t="s">
        <v>2720</v>
      </c>
    </row>
    <row r="103" spans="1:10" x14ac:dyDescent="0.2">
      <c r="A103" t="s">
        <v>3691</v>
      </c>
      <c r="E103" t="str">
        <f>HYPERLINK("http://nlpdeep.cs.uic.edu:8080/proofing/gsii/523069-code-status-0-0.pdf","gsii/523069-code-status-0-0.pdf")</f>
        <v>gsii/523069-code-status-0-0.pdf</v>
      </c>
      <c r="F103">
        <v>120842</v>
      </c>
      <c r="G103">
        <v>523069</v>
      </c>
      <c r="H103" t="s">
        <v>9</v>
      </c>
      <c r="I103" t="s">
        <v>201</v>
      </c>
      <c r="J103" t="s">
        <v>2720</v>
      </c>
    </row>
    <row r="104" spans="1:10" x14ac:dyDescent="0.2">
      <c r="A104" t="s">
        <v>3692</v>
      </c>
      <c r="E104" t="str">
        <f>HYPERLINK("http://nlpdeep.cs.uic.edu:8080/proofing/t5/523069-communication-0-0.pdf","t5/523069-communication-0-0.pdf")</f>
        <v>t5/523069-communication-0-0.pdf</v>
      </c>
      <c r="F104">
        <v>120842</v>
      </c>
      <c r="G104">
        <v>523069</v>
      </c>
      <c r="H104" t="s">
        <v>9</v>
      </c>
      <c r="I104" t="s">
        <v>198</v>
      </c>
      <c r="J104" t="s">
        <v>2722</v>
      </c>
    </row>
    <row r="105" spans="1:10" x14ac:dyDescent="0.2">
      <c r="A105" t="s">
        <v>3692</v>
      </c>
      <c r="E105" t="str">
        <f>HYPERLINK("http://nlpdeep.cs.uic.edu:8080/proofing/gsii/523069-communication-0-0.pdf","gsii/523069-communication-0-0.pdf")</f>
        <v>gsii/523069-communication-0-0.pdf</v>
      </c>
      <c r="F105">
        <v>120842</v>
      </c>
      <c r="G105">
        <v>523069</v>
      </c>
      <c r="H105" t="s">
        <v>9</v>
      </c>
      <c r="I105" t="s">
        <v>198</v>
      </c>
      <c r="J105" t="s">
        <v>2722</v>
      </c>
    </row>
    <row r="106" spans="1:10" x14ac:dyDescent="0.2">
      <c r="A106" t="s">
        <v>3693</v>
      </c>
      <c r="E106" t="str">
        <f>HYPERLINK("http://nlpdeep.cs.uic.edu:8080/proofing/t5/523069-disposition-0-0.pdf","t5/523069-disposition-0-0.pdf")</f>
        <v>t5/523069-disposition-0-0.pdf</v>
      </c>
      <c r="F106">
        <v>120842</v>
      </c>
      <c r="G106">
        <v>523069</v>
      </c>
      <c r="H106" t="s">
        <v>9</v>
      </c>
      <c r="I106" t="s">
        <v>204</v>
      </c>
      <c r="J106" t="s">
        <v>2724</v>
      </c>
    </row>
    <row r="107" spans="1:10" x14ac:dyDescent="0.2">
      <c r="A107" t="s">
        <v>3693</v>
      </c>
      <c r="E107" t="str">
        <f>HYPERLINK("http://nlpdeep.cs.uic.edu:8080/proofing/gsii/523069-disposition-0-0.pdf","gsii/523069-disposition-0-0.pdf")</f>
        <v>gsii/523069-disposition-0-0.pdf</v>
      </c>
      <c r="F107">
        <v>120842</v>
      </c>
      <c r="G107">
        <v>523069</v>
      </c>
      <c r="H107" t="s">
        <v>9</v>
      </c>
      <c r="I107" t="s">
        <v>204</v>
      </c>
      <c r="J107" t="s">
        <v>2724</v>
      </c>
    </row>
    <row r="108" spans="1:10" x14ac:dyDescent="0.2">
      <c r="A108" t="s">
        <v>3694</v>
      </c>
      <c r="E108" t="str">
        <f>HYPERLINK("http://nlpdeep.cs.uic.edu:8080/proofing/t5/522935-chief-complaint-0-0.pdf","t5/522935-chief-complaint-0-0.pdf")</f>
        <v>t5/522935-chief-complaint-0-0.pdf</v>
      </c>
      <c r="F108">
        <v>120842</v>
      </c>
      <c r="G108">
        <v>522935</v>
      </c>
      <c r="H108" t="s">
        <v>9</v>
      </c>
      <c r="I108" t="s">
        <v>10</v>
      </c>
    </row>
    <row r="109" spans="1:10" x14ac:dyDescent="0.2">
      <c r="A109" t="s">
        <v>3694</v>
      </c>
      <c r="E109" t="str">
        <f>HYPERLINK("http://nlpdeep.cs.uic.edu:8080/proofing/gsii/522935-chief-complaint-0-0.pdf","gsii/522935-chief-complaint-0-0.pdf")</f>
        <v>gsii/522935-chief-complaint-0-0.pdf</v>
      </c>
      <c r="F109">
        <v>120842</v>
      </c>
      <c r="G109">
        <v>522935</v>
      </c>
      <c r="H109" t="s">
        <v>9</v>
      </c>
      <c r="I109" t="s">
        <v>10</v>
      </c>
    </row>
    <row r="110" spans="1:10" x14ac:dyDescent="0.2">
      <c r="A110" t="s">
        <v>3695</v>
      </c>
      <c r="E110" t="str">
        <f>HYPERLINK("http://nlpdeep.cs.uic.edu:8080/proofing/t5/522935-chief-complaint-1-0.pdf","t5/522935-chief-complaint-1-0.pdf")</f>
        <v>t5/522935-chief-complaint-1-0.pdf</v>
      </c>
      <c r="F110">
        <v>120842</v>
      </c>
      <c r="G110">
        <v>522935</v>
      </c>
      <c r="H110" t="s">
        <v>9</v>
      </c>
      <c r="I110" t="s">
        <v>10</v>
      </c>
      <c r="J110" t="s">
        <v>3696</v>
      </c>
    </row>
    <row r="111" spans="1:10" x14ac:dyDescent="0.2">
      <c r="A111" t="s">
        <v>3695</v>
      </c>
      <c r="E111" t="str">
        <f>HYPERLINK("http://nlpdeep.cs.uic.edu:8080/proofing/gsii/522935-chief-complaint-1-0.pdf","gsii/522935-chief-complaint-1-0.pdf")</f>
        <v>gsii/522935-chief-complaint-1-0.pdf</v>
      </c>
      <c r="F111">
        <v>120842</v>
      </c>
      <c r="G111">
        <v>522935</v>
      </c>
      <c r="H111" t="s">
        <v>9</v>
      </c>
      <c r="I111" t="s">
        <v>10</v>
      </c>
      <c r="J111" t="s">
        <v>3696</v>
      </c>
    </row>
    <row r="112" spans="1:10" x14ac:dyDescent="0.2">
      <c r="A112" t="s">
        <v>3697</v>
      </c>
      <c r="E112" t="str">
        <f>HYPERLINK("http://nlpdeep.cs.uic.edu:8080/proofing/t5/522935-history-of-present-illness-0-0.pdf","t5/522935-history-of-present-illness-0-0.pdf")</f>
        <v>t5/522935-history-of-present-illness-0-0.pdf</v>
      </c>
      <c r="F112">
        <v>120842</v>
      </c>
      <c r="G112">
        <v>522935</v>
      </c>
      <c r="H112" t="s">
        <v>9</v>
      </c>
      <c r="I112" t="s">
        <v>13</v>
      </c>
      <c r="J112" t="s">
        <v>2814</v>
      </c>
    </row>
    <row r="113" spans="1:10" x14ac:dyDescent="0.2">
      <c r="A113" t="s">
        <v>3697</v>
      </c>
      <c r="E113" t="str">
        <f>HYPERLINK("http://nlpdeep.cs.uic.edu:8080/proofing/gsii/522935-history-of-present-illness-0-0.pdf","gsii/522935-history-of-present-illness-0-0.pdf")</f>
        <v>gsii/522935-history-of-present-illness-0-0.pdf</v>
      </c>
      <c r="F113">
        <v>120842</v>
      </c>
      <c r="G113">
        <v>522935</v>
      </c>
      <c r="H113" t="s">
        <v>9</v>
      </c>
      <c r="I113" t="s">
        <v>13</v>
      </c>
      <c r="J113" t="s">
        <v>2814</v>
      </c>
    </row>
    <row r="114" spans="1:10" x14ac:dyDescent="0.2">
      <c r="A114" t="s">
        <v>3698</v>
      </c>
      <c r="E114" t="str">
        <f>HYPERLINK("http://nlpdeep.cs.uic.edu:8080/proofing/t5/522935-current-medications-0-0.pdf","t5/522935-current-medications-0-0.pdf")</f>
        <v>t5/522935-current-medications-0-0.pdf</v>
      </c>
      <c r="F114">
        <v>120842</v>
      </c>
      <c r="G114">
        <v>522935</v>
      </c>
      <c r="H114" t="s">
        <v>9</v>
      </c>
      <c r="I114" t="s">
        <v>365</v>
      </c>
      <c r="J114" t="s">
        <v>3699</v>
      </c>
    </row>
    <row r="115" spans="1:10" x14ac:dyDescent="0.2">
      <c r="A115" t="s">
        <v>3698</v>
      </c>
      <c r="E115" t="str">
        <f>HYPERLINK("http://nlpdeep.cs.uic.edu:8080/proofing/gsii/522935-current-medications-0-0.pdf","gsii/522935-current-medications-0-0.pdf")</f>
        <v>gsii/522935-current-medications-0-0.pdf</v>
      </c>
      <c r="F115">
        <v>120842</v>
      </c>
      <c r="G115">
        <v>522935</v>
      </c>
      <c r="H115" t="s">
        <v>9</v>
      </c>
      <c r="I115" t="s">
        <v>365</v>
      </c>
      <c r="J115" t="s">
        <v>3699</v>
      </c>
    </row>
    <row r="116" spans="1:10" x14ac:dyDescent="0.2">
      <c r="A116" t="s">
        <v>3700</v>
      </c>
      <c r="E116" t="str">
        <f>HYPERLINK("http://nlpdeep.cs.uic.edu:8080/proofing/t5/522935-medication-history-0-0.pdf","t5/522935-medication-history-0-0.pdf")</f>
        <v>t5/522935-medication-history-0-0.pdf</v>
      </c>
      <c r="F116">
        <v>120842</v>
      </c>
      <c r="G116">
        <v>522935</v>
      </c>
      <c r="H116" t="s">
        <v>9</v>
      </c>
      <c r="I116" t="s">
        <v>336</v>
      </c>
      <c r="J116" t="s">
        <v>3701</v>
      </c>
    </row>
    <row r="117" spans="1:10" x14ac:dyDescent="0.2">
      <c r="A117" t="s">
        <v>3700</v>
      </c>
      <c r="E117" t="str">
        <f>HYPERLINK("http://nlpdeep.cs.uic.edu:8080/proofing/gsii/522935-medication-history-0-0.pdf","gsii/522935-medication-history-0-0.pdf")</f>
        <v>gsii/522935-medication-history-0-0.pdf</v>
      </c>
      <c r="F117">
        <v>120842</v>
      </c>
      <c r="G117">
        <v>522935</v>
      </c>
      <c r="H117" t="s">
        <v>9</v>
      </c>
      <c r="I117" t="s">
        <v>336</v>
      </c>
      <c r="J117" t="s">
        <v>3701</v>
      </c>
    </row>
    <row r="118" spans="1:10" x14ac:dyDescent="0.2">
      <c r="A118" t="s">
        <v>3702</v>
      </c>
      <c r="E118" t="str">
        <f>HYPERLINK("http://nlpdeep.cs.uic.edu:8080/proofing/t5/522935-medication-history-0-1.pdf","t5/522935-medication-history-0-1.pdf")</f>
        <v>t5/522935-medication-history-0-1.pdf</v>
      </c>
      <c r="F118">
        <v>120842</v>
      </c>
      <c r="G118">
        <v>522935</v>
      </c>
      <c r="H118" t="s">
        <v>9</v>
      </c>
      <c r="I118" t="s">
        <v>336</v>
      </c>
      <c r="J118" t="s">
        <v>2772</v>
      </c>
    </row>
    <row r="119" spans="1:10" x14ac:dyDescent="0.2">
      <c r="A119" t="s">
        <v>3702</v>
      </c>
      <c r="E119" t="str">
        <f>HYPERLINK("http://nlpdeep.cs.uic.edu:8080/proofing/gsii/522935-medication-history-0-1.pdf","gsii/522935-medication-history-0-1.pdf")</f>
        <v>gsii/522935-medication-history-0-1.pdf</v>
      </c>
      <c r="F119">
        <v>120842</v>
      </c>
      <c r="G119">
        <v>522935</v>
      </c>
      <c r="H119" t="s">
        <v>9</v>
      </c>
      <c r="I119" t="s">
        <v>336</v>
      </c>
      <c r="J119" t="s">
        <v>2772</v>
      </c>
    </row>
    <row r="120" spans="1:10" x14ac:dyDescent="0.2">
      <c r="A120" t="s">
        <v>3703</v>
      </c>
      <c r="E120" t="str">
        <f>HYPERLINK("http://nlpdeep.cs.uic.edu:8080/proofing/t5/522935-medication-history-0-2.pdf","t5/522935-medication-history-0-2.pdf")</f>
        <v>t5/522935-medication-history-0-2.pdf</v>
      </c>
      <c r="F120">
        <v>120842</v>
      </c>
      <c r="G120">
        <v>522935</v>
      </c>
      <c r="H120" t="s">
        <v>9</v>
      </c>
      <c r="I120" t="s">
        <v>336</v>
      </c>
      <c r="J120" t="s">
        <v>2774</v>
      </c>
    </row>
    <row r="121" spans="1:10" x14ac:dyDescent="0.2">
      <c r="A121" t="s">
        <v>3703</v>
      </c>
      <c r="E121" t="str">
        <f>HYPERLINK("http://nlpdeep.cs.uic.edu:8080/proofing/gsii/522935-medication-history-0-2.pdf","gsii/522935-medication-history-0-2.pdf")</f>
        <v>gsii/522935-medication-history-0-2.pdf</v>
      </c>
      <c r="F121">
        <v>120842</v>
      </c>
      <c r="G121">
        <v>522935</v>
      </c>
      <c r="H121" t="s">
        <v>9</v>
      </c>
      <c r="I121" t="s">
        <v>336</v>
      </c>
      <c r="J121" t="s">
        <v>2774</v>
      </c>
    </row>
    <row r="122" spans="1:10" x14ac:dyDescent="0.2">
      <c r="A122" t="s">
        <v>3704</v>
      </c>
      <c r="E122" t="str">
        <f>HYPERLINK("http://nlpdeep.cs.uic.edu:8080/proofing/t5/522935-medication-history-0-3.pdf","t5/522935-medication-history-0-3.pdf")</f>
        <v>t5/522935-medication-history-0-3.pdf</v>
      </c>
      <c r="F122">
        <v>120842</v>
      </c>
      <c r="G122">
        <v>522935</v>
      </c>
      <c r="H122" t="s">
        <v>9</v>
      </c>
      <c r="I122" t="s">
        <v>336</v>
      </c>
      <c r="J122" t="s">
        <v>3129</v>
      </c>
    </row>
    <row r="123" spans="1:10" x14ac:dyDescent="0.2">
      <c r="A123" t="s">
        <v>3704</v>
      </c>
      <c r="E123" t="str">
        <f>HYPERLINK("http://nlpdeep.cs.uic.edu:8080/proofing/gsii/522935-medication-history-0-3.pdf","gsii/522935-medication-history-0-3.pdf")</f>
        <v>gsii/522935-medication-history-0-3.pdf</v>
      </c>
      <c r="F123">
        <v>120842</v>
      </c>
      <c r="G123">
        <v>522935</v>
      </c>
      <c r="H123" t="s">
        <v>9</v>
      </c>
      <c r="I123" t="s">
        <v>336</v>
      </c>
      <c r="J123" t="s">
        <v>3129</v>
      </c>
    </row>
    <row r="124" spans="1:10" x14ac:dyDescent="0.2">
      <c r="A124" t="s">
        <v>3705</v>
      </c>
      <c r="E124" t="str">
        <f>HYPERLINK("http://nlpdeep.cs.uic.edu:8080/proofing/t5/522935-medication-history-0-4.pdf","t5/522935-medication-history-0-4.pdf")</f>
        <v>t5/522935-medication-history-0-4.pdf</v>
      </c>
      <c r="F124">
        <v>120842</v>
      </c>
      <c r="G124">
        <v>522935</v>
      </c>
      <c r="H124" t="s">
        <v>9</v>
      </c>
      <c r="I124" t="s">
        <v>336</v>
      </c>
      <c r="J124" t="s">
        <v>3131</v>
      </c>
    </row>
    <row r="125" spans="1:10" x14ac:dyDescent="0.2">
      <c r="A125" t="s">
        <v>3705</v>
      </c>
      <c r="E125" t="str">
        <f>HYPERLINK("http://nlpdeep.cs.uic.edu:8080/proofing/gsii/522935-medication-history-0-4.pdf","gsii/522935-medication-history-0-4.pdf")</f>
        <v>gsii/522935-medication-history-0-4.pdf</v>
      </c>
      <c r="F125">
        <v>120842</v>
      </c>
      <c r="G125">
        <v>522935</v>
      </c>
      <c r="H125" t="s">
        <v>9</v>
      </c>
      <c r="I125" t="s">
        <v>336</v>
      </c>
      <c r="J125" t="s">
        <v>3131</v>
      </c>
    </row>
    <row r="126" spans="1:10" x14ac:dyDescent="0.2">
      <c r="A126" t="s">
        <v>3706</v>
      </c>
      <c r="E126" t="str">
        <f>HYPERLINK("http://nlpdeep.cs.uic.edu:8080/proofing/t5/522935-medication-history-0-5.pdf","t5/522935-medication-history-0-5.pdf")</f>
        <v>t5/522935-medication-history-0-5.pdf</v>
      </c>
      <c r="F126">
        <v>120842</v>
      </c>
      <c r="G126">
        <v>522935</v>
      </c>
      <c r="H126" t="s">
        <v>9</v>
      </c>
      <c r="I126" t="s">
        <v>336</v>
      </c>
      <c r="J126" t="s">
        <v>3133</v>
      </c>
    </row>
    <row r="127" spans="1:10" x14ac:dyDescent="0.2">
      <c r="A127" t="s">
        <v>3706</v>
      </c>
      <c r="E127" t="str">
        <f>HYPERLINK("http://nlpdeep.cs.uic.edu:8080/proofing/gsii/522935-medication-history-0-5.pdf","gsii/522935-medication-history-0-5.pdf")</f>
        <v>gsii/522935-medication-history-0-5.pdf</v>
      </c>
      <c r="F127">
        <v>120842</v>
      </c>
      <c r="G127">
        <v>522935</v>
      </c>
      <c r="H127" t="s">
        <v>9</v>
      </c>
      <c r="I127" t="s">
        <v>336</v>
      </c>
      <c r="J127" t="s">
        <v>3133</v>
      </c>
    </row>
    <row r="128" spans="1:10" x14ac:dyDescent="0.2">
      <c r="A128" t="s">
        <v>3707</v>
      </c>
      <c r="E128" t="str">
        <f>HYPERLINK("http://nlpdeep.cs.uic.edu:8080/proofing/t5/522935-past-medical-history-0-0.pdf","t5/522935-past-medical-history-0-0.pdf")</f>
        <v>t5/522935-past-medical-history-0-0.pdf</v>
      </c>
      <c r="F128">
        <v>120842</v>
      </c>
      <c r="G128">
        <v>522935</v>
      </c>
      <c r="H128" t="s">
        <v>9</v>
      </c>
      <c r="I128" t="s">
        <v>76</v>
      </c>
      <c r="J128" t="s">
        <v>2787</v>
      </c>
    </row>
    <row r="129" spans="1:10" x14ac:dyDescent="0.2">
      <c r="A129" t="s">
        <v>3707</v>
      </c>
      <c r="E129" t="str">
        <f>HYPERLINK("http://nlpdeep.cs.uic.edu:8080/proofing/gsii/522935-past-medical-history-0-0.pdf","gsii/522935-past-medical-history-0-0.pdf")</f>
        <v>gsii/522935-past-medical-history-0-0.pdf</v>
      </c>
      <c r="F129">
        <v>120842</v>
      </c>
      <c r="G129">
        <v>522935</v>
      </c>
      <c r="H129" t="s">
        <v>9</v>
      </c>
      <c r="I129" t="s">
        <v>76</v>
      </c>
      <c r="J129" t="s">
        <v>2787</v>
      </c>
    </row>
    <row r="130" spans="1:10" x14ac:dyDescent="0.2">
      <c r="A130" t="s">
        <v>3708</v>
      </c>
      <c r="E130" t="str">
        <f>HYPERLINK("http://nlpdeep.cs.uic.edu:8080/proofing/t5/522935-past-medical-history-0-1.pdf","t5/522935-past-medical-history-0-1.pdf")</f>
        <v>t5/522935-past-medical-history-0-1.pdf</v>
      </c>
      <c r="F130">
        <v>120842</v>
      </c>
      <c r="G130">
        <v>522935</v>
      </c>
      <c r="H130" t="s">
        <v>9</v>
      </c>
      <c r="I130" t="s">
        <v>76</v>
      </c>
      <c r="J130" t="s">
        <v>2789</v>
      </c>
    </row>
    <row r="131" spans="1:10" x14ac:dyDescent="0.2">
      <c r="A131" t="s">
        <v>3708</v>
      </c>
      <c r="E131" t="str">
        <f>HYPERLINK("http://nlpdeep.cs.uic.edu:8080/proofing/gsii/522935-past-medical-history-0-1.pdf","gsii/522935-past-medical-history-0-1.pdf")</f>
        <v>gsii/522935-past-medical-history-0-1.pdf</v>
      </c>
      <c r="F131">
        <v>120842</v>
      </c>
      <c r="G131">
        <v>522935</v>
      </c>
      <c r="H131" t="s">
        <v>9</v>
      </c>
      <c r="I131" t="s">
        <v>76</v>
      </c>
      <c r="J131" t="s">
        <v>2789</v>
      </c>
    </row>
    <row r="132" spans="1:10" x14ac:dyDescent="0.2">
      <c r="A132" t="s">
        <v>3709</v>
      </c>
      <c r="E132" t="str">
        <f>HYPERLINK("http://nlpdeep.cs.uic.edu:8080/proofing/t5/522935-past-medical-history-0-2.pdf","t5/522935-past-medical-history-0-2.pdf")</f>
        <v>t5/522935-past-medical-history-0-2.pdf</v>
      </c>
      <c r="F132">
        <v>120842</v>
      </c>
      <c r="G132">
        <v>522935</v>
      </c>
      <c r="H132" t="s">
        <v>9</v>
      </c>
      <c r="I132" t="s">
        <v>76</v>
      </c>
      <c r="J132" t="s">
        <v>2791</v>
      </c>
    </row>
    <row r="133" spans="1:10" x14ac:dyDescent="0.2">
      <c r="A133" t="s">
        <v>3709</v>
      </c>
      <c r="E133" t="str">
        <f>HYPERLINK("http://nlpdeep.cs.uic.edu:8080/proofing/gsii/522935-past-medical-history-0-2.pdf","gsii/522935-past-medical-history-0-2.pdf")</f>
        <v>gsii/522935-past-medical-history-0-2.pdf</v>
      </c>
      <c r="F133">
        <v>120842</v>
      </c>
      <c r="G133">
        <v>522935</v>
      </c>
      <c r="H133" t="s">
        <v>9</v>
      </c>
      <c r="I133" t="s">
        <v>76</v>
      </c>
      <c r="J133" t="s">
        <v>2791</v>
      </c>
    </row>
    <row r="134" spans="1:10" x14ac:dyDescent="0.2">
      <c r="A134" t="s">
        <v>3710</v>
      </c>
      <c r="E134" t="str">
        <f>HYPERLINK("http://nlpdeep.cs.uic.edu:8080/proofing/t5/522935-past-medical-history-0-3.pdf","t5/522935-past-medical-history-0-3.pdf")</f>
        <v>t5/522935-past-medical-history-0-3.pdf</v>
      </c>
      <c r="F134">
        <v>120842</v>
      </c>
      <c r="G134">
        <v>522935</v>
      </c>
      <c r="H134" t="s">
        <v>9</v>
      </c>
      <c r="I134" t="s">
        <v>76</v>
      </c>
      <c r="J134" t="s">
        <v>2793</v>
      </c>
    </row>
    <row r="135" spans="1:10" x14ac:dyDescent="0.2">
      <c r="A135" t="s">
        <v>3710</v>
      </c>
      <c r="E135" t="str">
        <f>HYPERLINK("http://nlpdeep.cs.uic.edu:8080/proofing/gsii/522935-past-medical-history-0-3.pdf","gsii/522935-past-medical-history-0-3.pdf")</f>
        <v>gsii/522935-past-medical-history-0-3.pdf</v>
      </c>
      <c r="F135">
        <v>120842</v>
      </c>
      <c r="G135">
        <v>522935</v>
      </c>
      <c r="H135" t="s">
        <v>9</v>
      </c>
      <c r="I135" t="s">
        <v>76</v>
      </c>
      <c r="J135" t="s">
        <v>2793</v>
      </c>
    </row>
    <row r="136" spans="1:10" x14ac:dyDescent="0.2">
      <c r="A136" t="s">
        <v>3711</v>
      </c>
      <c r="E136" t="str">
        <f>HYPERLINK("http://nlpdeep.cs.uic.edu:8080/proofing/t5/522935-past-medical-history-0-4.pdf","t5/522935-past-medical-history-0-4.pdf")</f>
        <v>t5/522935-past-medical-history-0-4.pdf</v>
      </c>
      <c r="F136">
        <v>120842</v>
      </c>
      <c r="G136">
        <v>522935</v>
      </c>
      <c r="H136" t="s">
        <v>9</v>
      </c>
      <c r="I136" t="s">
        <v>76</v>
      </c>
      <c r="J136" t="s">
        <v>2795</v>
      </c>
    </row>
    <row r="137" spans="1:10" x14ac:dyDescent="0.2">
      <c r="A137" t="s">
        <v>3711</v>
      </c>
      <c r="E137" t="str">
        <f>HYPERLINK("http://nlpdeep.cs.uic.edu:8080/proofing/gsii/522935-past-medical-history-0-4.pdf","gsii/522935-past-medical-history-0-4.pdf")</f>
        <v>gsii/522935-past-medical-history-0-4.pdf</v>
      </c>
      <c r="F137">
        <v>120842</v>
      </c>
      <c r="G137">
        <v>522935</v>
      </c>
      <c r="H137" t="s">
        <v>9</v>
      </c>
      <c r="I137" t="s">
        <v>76</v>
      </c>
      <c r="J137" t="s">
        <v>2795</v>
      </c>
    </row>
    <row r="138" spans="1:10" x14ac:dyDescent="0.2">
      <c r="A138" t="s">
        <v>3712</v>
      </c>
      <c r="E138" t="str">
        <f>HYPERLINK("http://nlpdeep.cs.uic.edu:8080/proofing/t5/522935-past-medical-history-0-5.pdf","t5/522935-past-medical-history-0-5.pdf")</f>
        <v>t5/522935-past-medical-history-0-5.pdf</v>
      </c>
      <c r="F138">
        <v>120842</v>
      </c>
      <c r="G138">
        <v>522935</v>
      </c>
      <c r="H138" t="s">
        <v>9</v>
      </c>
      <c r="I138" t="s">
        <v>76</v>
      </c>
      <c r="J138" t="s">
        <v>3140</v>
      </c>
    </row>
    <row r="139" spans="1:10" x14ac:dyDescent="0.2">
      <c r="A139" t="s">
        <v>3712</v>
      </c>
      <c r="E139" t="str">
        <f>HYPERLINK("http://nlpdeep.cs.uic.edu:8080/proofing/gsii/522935-past-medical-history-0-5.pdf","gsii/522935-past-medical-history-0-5.pdf")</f>
        <v>gsii/522935-past-medical-history-0-5.pdf</v>
      </c>
      <c r="F139">
        <v>120842</v>
      </c>
      <c r="G139">
        <v>522935</v>
      </c>
      <c r="H139" t="s">
        <v>9</v>
      </c>
      <c r="I139" t="s">
        <v>76</v>
      </c>
      <c r="J139" t="s">
        <v>3140</v>
      </c>
    </row>
    <row r="140" spans="1:10" x14ac:dyDescent="0.2">
      <c r="A140" t="s">
        <v>3713</v>
      </c>
      <c r="E140" t="str">
        <f>HYPERLINK("http://nlpdeep.cs.uic.edu:8080/proofing/t5/522935-social-history-0-0.pdf","t5/522935-social-history-0-0.pdf")</f>
        <v>t5/522935-social-history-0-0.pdf</v>
      </c>
      <c r="F140">
        <v>120842</v>
      </c>
      <c r="G140">
        <v>522935</v>
      </c>
      <c r="H140" t="s">
        <v>9</v>
      </c>
      <c r="I140" t="s">
        <v>118</v>
      </c>
      <c r="J140" t="s">
        <v>2800</v>
      </c>
    </row>
    <row r="141" spans="1:10" x14ac:dyDescent="0.2">
      <c r="A141" t="s">
        <v>3713</v>
      </c>
      <c r="E141" t="str">
        <f>HYPERLINK("http://nlpdeep.cs.uic.edu:8080/proofing/gsii/522935-social-history-0-0.pdf","gsii/522935-social-history-0-0.pdf")</f>
        <v>gsii/522935-social-history-0-0.pdf</v>
      </c>
      <c r="F141">
        <v>120842</v>
      </c>
      <c r="G141">
        <v>522935</v>
      </c>
      <c r="H141" t="s">
        <v>9</v>
      </c>
      <c r="I141" t="s">
        <v>118</v>
      </c>
      <c r="J141" t="s">
        <v>2800</v>
      </c>
    </row>
    <row r="142" spans="1:10" x14ac:dyDescent="0.2">
      <c r="A142" t="s">
        <v>3714</v>
      </c>
      <c r="E142" t="str">
        <f>HYPERLINK("http://nlpdeep.cs.uic.edu:8080/proofing/t5/522935-social-history-0-1.pdf","t5/522935-social-history-0-1.pdf")</f>
        <v>t5/522935-social-history-0-1.pdf</v>
      </c>
      <c r="F142">
        <v>120842</v>
      </c>
      <c r="G142">
        <v>522935</v>
      </c>
      <c r="H142" t="s">
        <v>9</v>
      </c>
      <c r="I142" t="s">
        <v>118</v>
      </c>
      <c r="J142" t="s">
        <v>3715</v>
      </c>
    </row>
    <row r="143" spans="1:10" x14ac:dyDescent="0.2">
      <c r="A143" t="s">
        <v>3714</v>
      </c>
      <c r="E143" t="str">
        <f>HYPERLINK("http://nlpdeep.cs.uic.edu:8080/proofing/gsii/522935-social-history-0-1.pdf","gsii/522935-social-history-0-1.pdf")</f>
        <v>gsii/522935-social-history-0-1.pdf</v>
      </c>
      <c r="F143">
        <v>120842</v>
      </c>
      <c r="G143">
        <v>522935</v>
      </c>
      <c r="H143" t="s">
        <v>9</v>
      </c>
      <c r="I143" t="s">
        <v>118</v>
      </c>
      <c r="J143" t="s">
        <v>3715</v>
      </c>
    </row>
    <row r="144" spans="1:10" x14ac:dyDescent="0.2">
      <c r="A144" t="s">
        <v>3716</v>
      </c>
      <c r="E144" t="str">
        <f>HYPERLINK("http://nlpdeep.cs.uic.edu:8080/proofing/t5/522935-social-history-0-2.pdf","t5/522935-social-history-0-2.pdf")</f>
        <v>t5/522935-social-history-0-2.pdf</v>
      </c>
      <c r="F144">
        <v>120842</v>
      </c>
      <c r="G144">
        <v>522935</v>
      </c>
      <c r="H144" t="s">
        <v>9</v>
      </c>
      <c r="I144" t="s">
        <v>118</v>
      </c>
      <c r="J144" t="s">
        <v>3717</v>
      </c>
    </row>
    <row r="145" spans="1:10" x14ac:dyDescent="0.2">
      <c r="A145" t="s">
        <v>3716</v>
      </c>
      <c r="E145" t="str">
        <f>HYPERLINK("http://nlpdeep.cs.uic.edu:8080/proofing/gsii/522935-social-history-0-2.pdf","gsii/522935-social-history-0-2.pdf")</f>
        <v>gsii/522935-social-history-0-2.pdf</v>
      </c>
      <c r="F145">
        <v>120842</v>
      </c>
      <c r="G145">
        <v>522935</v>
      </c>
      <c r="H145" t="s">
        <v>9</v>
      </c>
      <c r="I145" t="s">
        <v>118</v>
      </c>
      <c r="J145" t="s">
        <v>3717</v>
      </c>
    </row>
    <row r="146" spans="1:10" x14ac:dyDescent="0.2">
      <c r="A146" t="s">
        <v>3718</v>
      </c>
      <c r="E146" t="str">
        <f>HYPERLINK("http://nlpdeep.cs.uic.edu:8080/proofing/t5/522935-social-history-0-3.pdf","t5/522935-social-history-0-3.pdf")</f>
        <v>t5/522935-social-history-0-3.pdf</v>
      </c>
      <c r="F146">
        <v>120842</v>
      </c>
      <c r="G146">
        <v>522935</v>
      </c>
      <c r="H146" t="s">
        <v>9</v>
      </c>
      <c r="I146" t="s">
        <v>118</v>
      </c>
      <c r="J146" t="s">
        <v>3719</v>
      </c>
    </row>
    <row r="147" spans="1:10" x14ac:dyDescent="0.2">
      <c r="A147" t="s">
        <v>3718</v>
      </c>
      <c r="E147" t="str">
        <f>HYPERLINK("http://nlpdeep.cs.uic.edu:8080/proofing/gsii/522935-social-history-0-3.pdf","gsii/522935-social-history-0-3.pdf")</f>
        <v>gsii/522935-social-history-0-3.pdf</v>
      </c>
      <c r="F147">
        <v>120842</v>
      </c>
      <c r="G147">
        <v>522935</v>
      </c>
      <c r="H147" t="s">
        <v>9</v>
      </c>
      <c r="I147" t="s">
        <v>118</v>
      </c>
      <c r="J147" t="s">
        <v>3719</v>
      </c>
    </row>
    <row r="148" spans="1:10" x14ac:dyDescent="0.2">
      <c r="A148" t="s">
        <v>3720</v>
      </c>
      <c r="E148" t="str">
        <f>HYPERLINK("http://nlpdeep.cs.uic.edu:8080/proofing/t5/522935-social-history-0-4.pdf","t5/522935-social-history-0-4.pdf")</f>
        <v>t5/522935-social-history-0-4.pdf</v>
      </c>
      <c r="F148">
        <v>120842</v>
      </c>
      <c r="G148">
        <v>522935</v>
      </c>
      <c r="H148" t="s">
        <v>9</v>
      </c>
      <c r="I148" t="s">
        <v>118</v>
      </c>
      <c r="J148" t="s">
        <v>2764</v>
      </c>
    </row>
    <row r="149" spans="1:10" x14ac:dyDescent="0.2">
      <c r="A149" t="s">
        <v>3720</v>
      </c>
      <c r="E149" t="str">
        <f>HYPERLINK("http://nlpdeep.cs.uic.edu:8080/proofing/gsii/522935-social-history-0-4.pdf","gsii/522935-social-history-0-4.pdf")</f>
        <v>gsii/522935-social-history-0-4.pdf</v>
      </c>
      <c r="F149">
        <v>120842</v>
      </c>
      <c r="G149">
        <v>522935</v>
      </c>
      <c r="H149" t="s">
        <v>9</v>
      </c>
      <c r="I149" t="s">
        <v>118</v>
      </c>
      <c r="J149" t="s">
        <v>2764</v>
      </c>
    </row>
    <row r="150" spans="1:10" x14ac:dyDescent="0.2">
      <c r="A150" t="s">
        <v>3721</v>
      </c>
      <c r="E150" t="str">
        <f>HYPERLINK("http://nlpdeep.cs.uic.edu:8080/proofing/t5/522935-physical-examination-0-0.pdf","t5/522935-physical-examination-0-0.pdf")</f>
        <v>t5/522935-physical-examination-0-0.pdf</v>
      </c>
      <c r="F150">
        <v>120842</v>
      </c>
      <c r="G150">
        <v>522935</v>
      </c>
      <c r="H150" t="s">
        <v>9</v>
      </c>
      <c r="I150" t="s">
        <v>138</v>
      </c>
      <c r="J150" t="s">
        <v>3722</v>
      </c>
    </row>
    <row r="151" spans="1:10" x14ac:dyDescent="0.2">
      <c r="A151" t="s">
        <v>3721</v>
      </c>
      <c r="E151" t="str">
        <f>HYPERLINK("http://nlpdeep.cs.uic.edu:8080/proofing/gsii/522935-physical-examination-0-0.pdf","gsii/522935-physical-examination-0-0.pdf")</f>
        <v>gsii/522935-physical-examination-0-0.pdf</v>
      </c>
      <c r="F151">
        <v>120842</v>
      </c>
      <c r="G151">
        <v>522935</v>
      </c>
      <c r="H151" t="s">
        <v>9</v>
      </c>
      <c r="I151" t="s">
        <v>138</v>
      </c>
      <c r="J151" t="s">
        <v>3722</v>
      </c>
    </row>
    <row r="152" spans="1:10" x14ac:dyDescent="0.2">
      <c r="A152" t="s">
        <v>3723</v>
      </c>
      <c r="E152" t="str">
        <f>HYPERLINK("http://nlpdeep.cs.uic.edu:8080/proofing/t5/522935-physical-examination-0-1.pdf","t5/522935-physical-examination-0-1.pdf")</f>
        <v>t5/522935-physical-examination-0-1.pdf</v>
      </c>
      <c r="F152">
        <v>120842</v>
      </c>
      <c r="G152">
        <v>522935</v>
      </c>
      <c r="H152" t="s">
        <v>9</v>
      </c>
      <c r="I152" t="s">
        <v>138</v>
      </c>
      <c r="J152" t="s">
        <v>3724</v>
      </c>
    </row>
    <row r="153" spans="1:10" x14ac:dyDescent="0.2">
      <c r="A153" t="s">
        <v>3723</v>
      </c>
      <c r="E153" t="str">
        <f>HYPERLINK("http://nlpdeep.cs.uic.edu:8080/proofing/gsii/522935-physical-examination-0-1.pdf","gsii/522935-physical-examination-0-1.pdf")</f>
        <v>gsii/522935-physical-examination-0-1.pdf</v>
      </c>
      <c r="F153">
        <v>120842</v>
      </c>
      <c r="G153">
        <v>522935</v>
      </c>
      <c r="H153" t="s">
        <v>9</v>
      </c>
      <c r="I153" t="s">
        <v>138</v>
      </c>
      <c r="J153" t="s">
        <v>3724</v>
      </c>
    </row>
    <row r="154" spans="1:10" x14ac:dyDescent="0.2">
      <c r="A154" t="s">
        <v>3725</v>
      </c>
      <c r="E154" t="str">
        <f>HYPERLINK("http://nlpdeep.cs.uic.edu:8080/proofing/t5/522935-labs-imaging-0-0.pdf","t5/522935-labs-imaging-0-0.pdf")</f>
        <v>t5/522935-labs-imaging-0-0.pdf</v>
      </c>
      <c r="F154">
        <v>120842</v>
      </c>
      <c r="G154">
        <v>522935</v>
      </c>
      <c r="H154" t="s">
        <v>9</v>
      </c>
      <c r="I154" t="s">
        <v>147</v>
      </c>
      <c r="J154" t="s">
        <v>3726</v>
      </c>
    </row>
    <row r="155" spans="1:10" x14ac:dyDescent="0.2">
      <c r="A155" t="s">
        <v>3725</v>
      </c>
      <c r="E155" t="str">
        <f>HYPERLINK("http://nlpdeep.cs.uic.edu:8080/proofing/gsii/522935-labs-imaging-0-0.pdf","gsii/522935-labs-imaging-0-0.pdf")</f>
        <v>gsii/522935-labs-imaging-0-0.pdf</v>
      </c>
      <c r="F155">
        <v>120842</v>
      </c>
      <c r="G155">
        <v>522935</v>
      </c>
      <c r="H155" t="s">
        <v>9</v>
      </c>
      <c r="I155" t="s">
        <v>147</v>
      </c>
      <c r="J155" t="s">
        <v>3726</v>
      </c>
    </row>
    <row r="156" spans="1:10" x14ac:dyDescent="0.2">
      <c r="A156" t="s">
        <v>3727</v>
      </c>
      <c r="E156" t="str">
        <f>HYPERLINK("http://nlpdeep.cs.uic.edu:8080/proofing/t5/522935-labs-imaging-0-1.pdf","t5/522935-labs-imaging-0-1.pdf")</f>
        <v>t5/522935-labs-imaging-0-1.pdf</v>
      </c>
      <c r="F156">
        <v>120842</v>
      </c>
      <c r="G156">
        <v>522935</v>
      </c>
      <c r="H156" t="s">
        <v>9</v>
      </c>
      <c r="I156" t="s">
        <v>147</v>
      </c>
      <c r="J156" t="s">
        <v>3171</v>
      </c>
    </row>
    <row r="157" spans="1:10" x14ac:dyDescent="0.2">
      <c r="A157" t="s">
        <v>3727</v>
      </c>
      <c r="E157" t="str">
        <f>HYPERLINK("http://nlpdeep.cs.uic.edu:8080/proofing/gsii/522935-labs-imaging-0-1.pdf","gsii/522935-labs-imaging-0-1.pdf")</f>
        <v>gsii/522935-labs-imaging-0-1.pdf</v>
      </c>
      <c r="F157">
        <v>120842</v>
      </c>
      <c r="G157">
        <v>522935</v>
      </c>
      <c r="H157" t="s">
        <v>9</v>
      </c>
      <c r="I157" t="s">
        <v>147</v>
      </c>
      <c r="J157" t="s">
        <v>3171</v>
      </c>
    </row>
    <row r="158" spans="1:10" x14ac:dyDescent="0.2">
      <c r="A158" t="s">
        <v>3728</v>
      </c>
      <c r="E158" t="str">
        <f>HYPERLINK("http://nlpdeep.cs.uic.edu:8080/proofing/t5/522935-labs-imaging-0-2.pdf","t5/522935-labs-imaging-0-2.pdf")</f>
        <v>t5/522935-labs-imaging-0-2.pdf</v>
      </c>
      <c r="F158">
        <v>120842</v>
      </c>
      <c r="G158">
        <v>522935</v>
      </c>
      <c r="H158" t="s">
        <v>9</v>
      </c>
      <c r="I158" t="s">
        <v>147</v>
      </c>
      <c r="J158" t="s">
        <v>3173</v>
      </c>
    </row>
    <row r="159" spans="1:10" x14ac:dyDescent="0.2">
      <c r="A159" t="s">
        <v>3728</v>
      </c>
      <c r="E159" t="str">
        <f>HYPERLINK("http://nlpdeep.cs.uic.edu:8080/proofing/gsii/522935-labs-imaging-0-2.pdf","gsii/522935-labs-imaging-0-2.pdf")</f>
        <v>gsii/522935-labs-imaging-0-2.pdf</v>
      </c>
      <c r="F159">
        <v>120842</v>
      </c>
      <c r="G159">
        <v>522935</v>
      </c>
      <c r="H159" t="s">
        <v>9</v>
      </c>
      <c r="I159" t="s">
        <v>147</v>
      </c>
      <c r="J159" t="s">
        <v>3173</v>
      </c>
    </row>
    <row r="160" spans="1:10" x14ac:dyDescent="0.2">
      <c r="A160" t="s">
        <v>3729</v>
      </c>
      <c r="E160" t="str">
        <f>HYPERLINK("http://nlpdeep.cs.uic.edu:8080/proofing/t5/522935-labs-imaging-0-3.pdf","t5/522935-labs-imaging-0-3.pdf")</f>
        <v>t5/522935-labs-imaging-0-3.pdf</v>
      </c>
      <c r="F160">
        <v>120842</v>
      </c>
      <c r="G160">
        <v>522935</v>
      </c>
      <c r="H160" t="s">
        <v>9</v>
      </c>
      <c r="I160" t="s">
        <v>147</v>
      </c>
      <c r="J160" t="s">
        <v>3175</v>
      </c>
    </row>
    <row r="161" spans="1:10" x14ac:dyDescent="0.2">
      <c r="A161" t="s">
        <v>3729</v>
      </c>
      <c r="E161" t="str">
        <f>HYPERLINK("http://nlpdeep.cs.uic.edu:8080/proofing/gsii/522935-labs-imaging-0-3.pdf","gsii/522935-labs-imaging-0-3.pdf")</f>
        <v>gsii/522935-labs-imaging-0-3.pdf</v>
      </c>
      <c r="F161">
        <v>120842</v>
      </c>
      <c r="G161">
        <v>522935</v>
      </c>
      <c r="H161" t="s">
        <v>9</v>
      </c>
      <c r="I161" t="s">
        <v>147</v>
      </c>
      <c r="J161" t="s">
        <v>3175</v>
      </c>
    </row>
    <row r="162" spans="1:10" x14ac:dyDescent="0.2">
      <c r="A162" t="s">
        <v>3730</v>
      </c>
      <c r="E162" t="str">
        <f>HYPERLINK("http://nlpdeep.cs.uic.edu:8080/proofing/t5/522935-labs-imaging-0-4.pdf","t5/522935-labs-imaging-0-4.pdf")</f>
        <v>t5/522935-labs-imaging-0-4.pdf</v>
      </c>
      <c r="F162">
        <v>120842</v>
      </c>
      <c r="G162">
        <v>522935</v>
      </c>
      <c r="H162" t="s">
        <v>9</v>
      </c>
      <c r="I162" t="s">
        <v>147</v>
      </c>
      <c r="J162" t="s">
        <v>3177</v>
      </c>
    </row>
    <row r="163" spans="1:10" x14ac:dyDescent="0.2">
      <c r="A163" t="s">
        <v>3730</v>
      </c>
      <c r="E163" t="str">
        <f>HYPERLINK("http://nlpdeep.cs.uic.edu:8080/proofing/gsii/522935-labs-imaging-0-4.pdf","gsii/522935-labs-imaging-0-4.pdf")</f>
        <v>gsii/522935-labs-imaging-0-4.pdf</v>
      </c>
      <c r="F163">
        <v>120842</v>
      </c>
      <c r="G163">
        <v>522935</v>
      </c>
      <c r="H163" t="s">
        <v>9</v>
      </c>
      <c r="I163" t="s">
        <v>147</v>
      </c>
      <c r="J163" t="s">
        <v>3177</v>
      </c>
    </row>
    <row r="164" spans="1:10" x14ac:dyDescent="0.2">
      <c r="A164" t="s">
        <v>3731</v>
      </c>
      <c r="E164" t="str">
        <f>HYPERLINK("http://nlpdeep.cs.uic.edu:8080/proofing/t5/522935-labs-imaging-0-5.pdf","t5/522935-labs-imaging-0-5.pdf")</f>
        <v>t5/522935-labs-imaging-0-5.pdf</v>
      </c>
      <c r="F164">
        <v>120842</v>
      </c>
      <c r="G164">
        <v>522935</v>
      </c>
      <c r="H164" t="s">
        <v>9</v>
      </c>
      <c r="I164" t="s">
        <v>147</v>
      </c>
      <c r="J164" t="s">
        <v>3179</v>
      </c>
    </row>
    <row r="165" spans="1:10" x14ac:dyDescent="0.2">
      <c r="A165" t="s">
        <v>3731</v>
      </c>
      <c r="E165" t="str">
        <f>HYPERLINK("http://nlpdeep.cs.uic.edu:8080/proofing/gsii/522935-labs-imaging-0-5.pdf","gsii/522935-labs-imaging-0-5.pdf")</f>
        <v>gsii/522935-labs-imaging-0-5.pdf</v>
      </c>
      <c r="F165">
        <v>120842</v>
      </c>
      <c r="G165">
        <v>522935</v>
      </c>
      <c r="H165" t="s">
        <v>9</v>
      </c>
      <c r="I165" t="s">
        <v>147</v>
      </c>
      <c r="J165" t="s">
        <v>3179</v>
      </c>
    </row>
    <row r="166" spans="1:10" x14ac:dyDescent="0.2">
      <c r="A166" t="s">
        <v>3732</v>
      </c>
      <c r="E166" t="str">
        <f>HYPERLINK("http://nlpdeep.cs.uic.edu:8080/proofing/t5/522935-labs-imaging-0-6.pdf","t5/522935-labs-imaging-0-6.pdf")</f>
        <v>t5/522935-labs-imaging-0-6.pdf</v>
      </c>
      <c r="F166">
        <v>120842</v>
      </c>
      <c r="G166">
        <v>522935</v>
      </c>
      <c r="H166" t="s">
        <v>9</v>
      </c>
      <c r="I166" t="s">
        <v>147</v>
      </c>
      <c r="J166" t="s">
        <v>3181</v>
      </c>
    </row>
    <row r="167" spans="1:10" x14ac:dyDescent="0.2">
      <c r="A167" t="s">
        <v>3732</v>
      </c>
      <c r="E167" t="str">
        <f>HYPERLINK("http://nlpdeep.cs.uic.edu:8080/proofing/gsii/522935-labs-imaging-0-6.pdf","gsii/522935-labs-imaging-0-6.pdf")</f>
        <v>gsii/522935-labs-imaging-0-6.pdf</v>
      </c>
      <c r="F167">
        <v>120842</v>
      </c>
      <c r="G167">
        <v>522935</v>
      </c>
      <c r="H167" t="s">
        <v>9</v>
      </c>
      <c r="I167" t="s">
        <v>147</v>
      </c>
      <c r="J167" t="s">
        <v>3181</v>
      </c>
    </row>
    <row r="168" spans="1:10" x14ac:dyDescent="0.2">
      <c r="A168" t="s">
        <v>3733</v>
      </c>
      <c r="E168" t="str">
        <f>HYPERLINK("http://nlpdeep.cs.uic.edu:8080/proofing/t5/522935-assessment-and-plan-0-0.pdf","t5/522935-assessment-and-plan-0-0.pdf")</f>
        <v>t5/522935-assessment-and-plan-0-0.pdf</v>
      </c>
      <c r="F168">
        <v>120842</v>
      </c>
      <c r="G168">
        <v>522935</v>
      </c>
      <c r="H168" t="s">
        <v>9</v>
      </c>
      <c r="I168" t="s">
        <v>195</v>
      </c>
      <c r="J168" t="s">
        <v>3734</v>
      </c>
    </row>
    <row r="169" spans="1:10" x14ac:dyDescent="0.2">
      <c r="A169" t="s">
        <v>3733</v>
      </c>
      <c r="E169" t="str">
        <f>HYPERLINK("http://nlpdeep.cs.uic.edu:8080/proofing/gsii/522935-assessment-and-plan-0-0.pdf","gsii/522935-assessment-and-plan-0-0.pdf")</f>
        <v>gsii/522935-assessment-and-plan-0-0.pdf</v>
      </c>
      <c r="F169">
        <v>120842</v>
      </c>
      <c r="G169">
        <v>522935</v>
      </c>
      <c r="H169" t="s">
        <v>9</v>
      </c>
      <c r="I169" t="s">
        <v>195</v>
      </c>
      <c r="J169" t="s">
        <v>3734</v>
      </c>
    </row>
    <row r="170" spans="1:10" x14ac:dyDescent="0.2">
      <c r="A170" t="s">
        <v>3735</v>
      </c>
      <c r="E170" t="str">
        <f>HYPERLINK("http://nlpdeep.cs.uic.edu:8080/proofing/t5/522935-assessment-and-plan-0-1.pdf","t5/522935-assessment-and-plan-0-1.pdf")</f>
        <v>t5/522935-assessment-and-plan-0-1.pdf</v>
      </c>
      <c r="F170">
        <v>120842</v>
      </c>
      <c r="G170">
        <v>522935</v>
      </c>
      <c r="H170" t="s">
        <v>9</v>
      </c>
      <c r="I170" t="s">
        <v>195</v>
      </c>
      <c r="J170" t="s">
        <v>2665</v>
      </c>
    </row>
    <row r="171" spans="1:10" x14ac:dyDescent="0.2">
      <c r="A171" t="s">
        <v>3735</v>
      </c>
      <c r="E171" t="str">
        <f>HYPERLINK("http://nlpdeep.cs.uic.edu:8080/proofing/gsii/522935-assessment-and-plan-0-1.pdf","gsii/522935-assessment-and-plan-0-1.pdf")</f>
        <v>gsii/522935-assessment-and-plan-0-1.pdf</v>
      </c>
      <c r="F171">
        <v>120842</v>
      </c>
      <c r="G171">
        <v>522935</v>
      </c>
      <c r="H171" t="s">
        <v>9</v>
      </c>
      <c r="I171" t="s">
        <v>195</v>
      </c>
      <c r="J171" t="s">
        <v>2665</v>
      </c>
    </row>
    <row r="172" spans="1:10" x14ac:dyDescent="0.2">
      <c r="A172" t="s">
        <v>3736</v>
      </c>
      <c r="E172" t="str">
        <f>HYPERLINK("http://nlpdeep.cs.uic.edu:8080/proofing/t5/522935-assessment-and-plan-0-2.pdf","t5/522935-assessment-and-plan-0-2.pdf")</f>
        <v>t5/522935-assessment-and-plan-0-2.pdf</v>
      </c>
      <c r="F172">
        <v>120842</v>
      </c>
      <c r="G172">
        <v>522935</v>
      </c>
      <c r="H172" t="s">
        <v>9</v>
      </c>
      <c r="I172" t="s">
        <v>195</v>
      </c>
      <c r="J172" t="s">
        <v>2667</v>
      </c>
    </row>
    <row r="173" spans="1:10" x14ac:dyDescent="0.2">
      <c r="A173" t="s">
        <v>3736</v>
      </c>
      <c r="E173" t="str">
        <f>HYPERLINK("http://nlpdeep.cs.uic.edu:8080/proofing/gsii/522935-assessment-and-plan-0-2.pdf","gsii/522935-assessment-and-plan-0-2.pdf")</f>
        <v>gsii/522935-assessment-and-plan-0-2.pdf</v>
      </c>
      <c r="F173">
        <v>120842</v>
      </c>
      <c r="G173">
        <v>522935</v>
      </c>
      <c r="H173" t="s">
        <v>9</v>
      </c>
      <c r="I173" t="s">
        <v>195</v>
      </c>
      <c r="J173" t="s">
        <v>2667</v>
      </c>
    </row>
    <row r="174" spans="1:10" x14ac:dyDescent="0.2">
      <c r="A174" t="s">
        <v>3737</v>
      </c>
      <c r="E174" t="str">
        <f>HYPERLINK("http://nlpdeep.cs.uic.edu:8080/proofing/t5/522935-assessment-and-plan-0-3.pdf","t5/522935-assessment-and-plan-0-3.pdf")</f>
        <v>t5/522935-assessment-and-plan-0-3.pdf</v>
      </c>
      <c r="F174">
        <v>120842</v>
      </c>
      <c r="G174">
        <v>522935</v>
      </c>
      <c r="H174" t="s">
        <v>9</v>
      </c>
      <c r="I174" t="s">
        <v>195</v>
      </c>
      <c r="J174" t="s">
        <v>2669</v>
      </c>
    </row>
    <row r="175" spans="1:10" x14ac:dyDescent="0.2">
      <c r="A175" t="s">
        <v>3737</v>
      </c>
      <c r="E175" t="str">
        <f>HYPERLINK("http://nlpdeep.cs.uic.edu:8080/proofing/gsii/522935-assessment-and-plan-0-3.pdf","gsii/522935-assessment-and-plan-0-3.pdf")</f>
        <v>gsii/522935-assessment-and-plan-0-3.pdf</v>
      </c>
      <c r="F175">
        <v>120842</v>
      </c>
      <c r="G175">
        <v>522935</v>
      </c>
      <c r="H175" t="s">
        <v>9</v>
      </c>
      <c r="I175" t="s">
        <v>195</v>
      </c>
      <c r="J175" t="s">
        <v>2669</v>
      </c>
    </row>
    <row r="176" spans="1:10" x14ac:dyDescent="0.2">
      <c r="A176" t="s">
        <v>3738</v>
      </c>
      <c r="E176" t="str">
        <f>HYPERLINK("http://nlpdeep.cs.uic.edu:8080/proofing/t5/522935-assessment-and-plan-0-4.pdf","t5/522935-assessment-and-plan-0-4.pdf")</f>
        <v>t5/522935-assessment-and-plan-0-4.pdf</v>
      </c>
      <c r="F176">
        <v>120842</v>
      </c>
      <c r="G176">
        <v>522935</v>
      </c>
      <c r="H176" t="s">
        <v>9</v>
      </c>
      <c r="I176" t="s">
        <v>195</v>
      </c>
      <c r="J176" t="s">
        <v>2671</v>
      </c>
    </row>
    <row r="177" spans="1:10" x14ac:dyDescent="0.2">
      <c r="A177" t="s">
        <v>3738</v>
      </c>
      <c r="E177" t="str">
        <f>HYPERLINK("http://nlpdeep.cs.uic.edu:8080/proofing/gsii/522935-assessment-and-plan-0-4.pdf","gsii/522935-assessment-and-plan-0-4.pdf")</f>
        <v>gsii/522935-assessment-and-plan-0-4.pdf</v>
      </c>
      <c r="F177">
        <v>120842</v>
      </c>
      <c r="G177">
        <v>522935</v>
      </c>
      <c r="H177" t="s">
        <v>9</v>
      </c>
      <c r="I177" t="s">
        <v>195</v>
      </c>
      <c r="J177" t="s">
        <v>2671</v>
      </c>
    </row>
    <row r="178" spans="1:10" x14ac:dyDescent="0.2">
      <c r="A178" t="s">
        <v>3739</v>
      </c>
      <c r="E178" t="str">
        <f>HYPERLINK("http://nlpdeep.cs.uic.edu:8080/proofing/t5/522935-assessment-and-plan-0-5.pdf","t5/522935-assessment-and-plan-0-5.pdf")</f>
        <v>t5/522935-assessment-and-plan-0-5.pdf</v>
      </c>
      <c r="F178">
        <v>120842</v>
      </c>
      <c r="G178">
        <v>522935</v>
      </c>
      <c r="H178" t="s">
        <v>9</v>
      </c>
      <c r="I178" t="s">
        <v>195</v>
      </c>
      <c r="J178" t="s">
        <v>2673</v>
      </c>
    </row>
    <row r="179" spans="1:10" x14ac:dyDescent="0.2">
      <c r="A179" t="s">
        <v>3739</v>
      </c>
      <c r="E179" t="str">
        <f>HYPERLINK("http://nlpdeep.cs.uic.edu:8080/proofing/gsii/522935-assessment-and-plan-0-5.pdf","gsii/522935-assessment-and-plan-0-5.pdf")</f>
        <v>gsii/522935-assessment-and-plan-0-5.pdf</v>
      </c>
      <c r="F179">
        <v>120842</v>
      </c>
      <c r="G179">
        <v>522935</v>
      </c>
      <c r="H179" t="s">
        <v>9</v>
      </c>
      <c r="I179" t="s">
        <v>195</v>
      </c>
      <c r="J179" t="s">
        <v>2673</v>
      </c>
    </row>
    <row r="180" spans="1:10" x14ac:dyDescent="0.2">
      <c r="A180" t="s">
        <v>3740</v>
      </c>
      <c r="E180" t="str">
        <f>HYPERLINK("http://nlpdeep.cs.uic.edu:8080/proofing/t5/522935-assessment-and-plan-0-6.pdf","t5/522935-assessment-and-plan-0-6.pdf")</f>
        <v>t5/522935-assessment-and-plan-0-6.pdf</v>
      </c>
      <c r="F180">
        <v>120842</v>
      </c>
      <c r="G180">
        <v>522935</v>
      </c>
      <c r="H180" t="s">
        <v>9</v>
      </c>
      <c r="I180" t="s">
        <v>195</v>
      </c>
      <c r="J180" t="s">
        <v>2675</v>
      </c>
    </row>
    <row r="181" spans="1:10" x14ac:dyDescent="0.2">
      <c r="A181" t="s">
        <v>3740</v>
      </c>
      <c r="E181" t="str">
        <f>HYPERLINK("http://nlpdeep.cs.uic.edu:8080/proofing/gsii/522935-assessment-and-plan-0-6.pdf","gsii/522935-assessment-and-plan-0-6.pdf")</f>
        <v>gsii/522935-assessment-and-plan-0-6.pdf</v>
      </c>
      <c r="F181">
        <v>120842</v>
      </c>
      <c r="G181">
        <v>522935</v>
      </c>
      <c r="H181" t="s">
        <v>9</v>
      </c>
      <c r="I181" t="s">
        <v>195</v>
      </c>
      <c r="J181" t="s">
        <v>2675</v>
      </c>
    </row>
    <row r="182" spans="1:10" x14ac:dyDescent="0.2">
      <c r="A182" t="s">
        <v>3741</v>
      </c>
      <c r="E182" t="str">
        <f>HYPERLINK("http://nlpdeep.cs.uic.edu:8080/proofing/t5/522935-assessment-and-plan-0-7.pdf","t5/522935-assessment-and-plan-0-7.pdf")</f>
        <v>t5/522935-assessment-and-plan-0-7.pdf</v>
      </c>
      <c r="F182">
        <v>120842</v>
      </c>
      <c r="G182">
        <v>522935</v>
      </c>
      <c r="H182" t="s">
        <v>9</v>
      </c>
      <c r="I182" t="s">
        <v>195</v>
      </c>
      <c r="J182" t="s">
        <v>2677</v>
      </c>
    </row>
    <row r="183" spans="1:10" x14ac:dyDescent="0.2">
      <c r="A183" t="s">
        <v>3741</v>
      </c>
      <c r="E183" t="str">
        <f>HYPERLINK("http://nlpdeep.cs.uic.edu:8080/proofing/gsii/522935-assessment-and-plan-0-7.pdf","gsii/522935-assessment-and-plan-0-7.pdf")</f>
        <v>gsii/522935-assessment-and-plan-0-7.pdf</v>
      </c>
      <c r="F183">
        <v>120842</v>
      </c>
      <c r="G183">
        <v>522935</v>
      </c>
      <c r="H183" t="s">
        <v>9</v>
      </c>
      <c r="I183" t="s">
        <v>195</v>
      </c>
      <c r="J183" t="s">
        <v>2677</v>
      </c>
    </row>
    <row r="184" spans="1:10" x14ac:dyDescent="0.2">
      <c r="A184" t="s">
        <v>3742</v>
      </c>
      <c r="E184" t="str">
        <f>HYPERLINK("http://nlpdeep.cs.uic.edu:8080/proofing/t5/522935-assessment-and-plan-0-8.pdf","t5/522935-assessment-and-plan-0-8.pdf")</f>
        <v>t5/522935-assessment-and-plan-0-8.pdf</v>
      </c>
      <c r="F184">
        <v>120842</v>
      </c>
      <c r="G184">
        <v>522935</v>
      </c>
      <c r="H184" t="s">
        <v>9</v>
      </c>
      <c r="I184" t="s">
        <v>195</v>
      </c>
      <c r="J184" t="s">
        <v>2679</v>
      </c>
    </row>
    <row r="185" spans="1:10" x14ac:dyDescent="0.2">
      <c r="A185" t="s">
        <v>3742</v>
      </c>
      <c r="E185" t="str">
        <f>HYPERLINK("http://nlpdeep.cs.uic.edu:8080/proofing/gsii/522935-assessment-and-plan-0-8.pdf","gsii/522935-assessment-and-plan-0-8.pdf")</f>
        <v>gsii/522935-assessment-and-plan-0-8.pdf</v>
      </c>
      <c r="F185">
        <v>120842</v>
      </c>
      <c r="G185">
        <v>522935</v>
      </c>
      <c r="H185" t="s">
        <v>9</v>
      </c>
      <c r="I185" t="s">
        <v>195</v>
      </c>
      <c r="J185" t="s">
        <v>2679</v>
      </c>
    </row>
    <row r="186" spans="1:10" x14ac:dyDescent="0.2">
      <c r="A186" t="s">
        <v>3743</v>
      </c>
      <c r="E186" t="str">
        <f>HYPERLINK("http://nlpdeep.cs.uic.edu:8080/proofing/t5/522935-assessment-and-plan-0-9.pdf","t5/522935-assessment-and-plan-0-9.pdf")</f>
        <v>t5/522935-assessment-and-plan-0-9.pdf</v>
      </c>
      <c r="F186">
        <v>120842</v>
      </c>
      <c r="G186">
        <v>522935</v>
      </c>
      <c r="H186" t="s">
        <v>9</v>
      </c>
      <c r="I186" t="s">
        <v>195</v>
      </c>
      <c r="J186" t="s">
        <v>2681</v>
      </c>
    </row>
    <row r="187" spans="1:10" x14ac:dyDescent="0.2">
      <c r="A187" t="s">
        <v>3743</v>
      </c>
      <c r="E187" t="str">
        <f>HYPERLINK("http://nlpdeep.cs.uic.edu:8080/proofing/gsii/522935-assessment-and-plan-0-9.pdf","gsii/522935-assessment-and-plan-0-9.pdf")</f>
        <v>gsii/522935-assessment-and-plan-0-9.pdf</v>
      </c>
      <c r="F187">
        <v>120842</v>
      </c>
      <c r="G187">
        <v>522935</v>
      </c>
      <c r="H187" t="s">
        <v>9</v>
      </c>
      <c r="I187" t="s">
        <v>195</v>
      </c>
      <c r="J187" t="s">
        <v>2681</v>
      </c>
    </row>
    <row r="188" spans="1:10" x14ac:dyDescent="0.2">
      <c r="A188" t="s">
        <v>3744</v>
      </c>
      <c r="E188" t="str">
        <f>HYPERLINK("http://nlpdeep.cs.uic.edu:8080/proofing/t5/522935-assessment-and-plan-0-10.pdf","t5/522935-assessment-and-plan-0-10.pdf")</f>
        <v>t5/522935-assessment-and-plan-0-10.pdf</v>
      </c>
      <c r="F188">
        <v>120842</v>
      </c>
      <c r="G188">
        <v>522935</v>
      </c>
      <c r="H188" t="s">
        <v>9</v>
      </c>
      <c r="I188" t="s">
        <v>195</v>
      </c>
    </row>
    <row r="189" spans="1:10" x14ac:dyDescent="0.2">
      <c r="A189" t="s">
        <v>3744</v>
      </c>
      <c r="E189" t="str">
        <f>HYPERLINK("http://nlpdeep.cs.uic.edu:8080/proofing/gsii/522935-assessment-and-plan-0-10.pdf","gsii/522935-assessment-and-plan-0-10.pdf")</f>
        <v>gsii/522935-assessment-and-plan-0-10.pdf</v>
      </c>
      <c r="F189">
        <v>120842</v>
      </c>
      <c r="G189">
        <v>522935</v>
      </c>
      <c r="H189" t="s">
        <v>9</v>
      </c>
      <c r="I189" t="s">
        <v>195</v>
      </c>
    </row>
    <row r="190" spans="1:10" x14ac:dyDescent="0.2">
      <c r="A190" t="s">
        <v>3745</v>
      </c>
      <c r="E190" t="str">
        <f>HYPERLINK("http://nlpdeep.cs.uic.edu:8080/proofing/t5/522935-assessment-and-plan-1-0.pdf","t5/522935-assessment-and-plan-1-0.pdf")</f>
        <v>t5/522935-assessment-and-plan-1-0.pdf</v>
      </c>
      <c r="F190">
        <v>120842</v>
      </c>
      <c r="G190">
        <v>522935</v>
      </c>
      <c r="H190" t="s">
        <v>9</v>
      </c>
      <c r="I190" t="s">
        <v>195</v>
      </c>
      <c r="J190" t="s">
        <v>2684</v>
      </c>
    </row>
    <row r="191" spans="1:10" x14ac:dyDescent="0.2">
      <c r="A191" t="s">
        <v>3745</v>
      </c>
      <c r="E191" t="str">
        <f>HYPERLINK("http://nlpdeep.cs.uic.edu:8080/proofing/gsii/522935-assessment-and-plan-1-0.pdf","gsii/522935-assessment-and-plan-1-0.pdf")</f>
        <v>gsii/522935-assessment-and-plan-1-0.pdf</v>
      </c>
      <c r="F191">
        <v>120842</v>
      </c>
      <c r="G191">
        <v>522935</v>
      </c>
      <c r="H191" t="s">
        <v>9</v>
      </c>
      <c r="I191" t="s">
        <v>195</v>
      </c>
      <c r="J191" t="s">
        <v>2684</v>
      </c>
    </row>
    <row r="192" spans="1:10" x14ac:dyDescent="0.2">
      <c r="A192" t="s">
        <v>3746</v>
      </c>
      <c r="E192" t="str">
        <f>HYPERLINK("http://nlpdeep.cs.uic.edu:8080/proofing/t5/522935-assessment-and-plan-1-1.pdf","t5/522935-assessment-and-plan-1-1.pdf")</f>
        <v>t5/522935-assessment-and-plan-1-1.pdf</v>
      </c>
      <c r="F192">
        <v>120842</v>
      </c>
      <c r="G192">
        <v>522935</v>
      </c>
      <c r="H192" t="s">
        <v>9</v>
      </c>
      <c r="I192" t="s">
        <v>195</v>
      </c>
      <c r="J192" t="s">
        <v>2686</v>
      </c>
    </row>
    <row r="193" spans="1:10" x14ac:dyDescent="0.2">
      <c r="A193" t="s">
        <v>3746</v>
      </c>
      <c r="E193" t="str">
        <f>HYPERLINK("http://nlpdeep.cs.uic.edu:8080/proofing/gsii/522935-assessment-and-plan-1-1.pdf","gsii/522935-assessment-and-plan-1-1.pdf")</f>
        <v>gsii/522935-assessment-and-plan-1-1.pdf</v>
      </c>
      <c r="F193">
        <v>120842</v>
      </c>
      <c r="G193">
        <v>522935</v>
      </c>
      <c r="H193" t="s">
        <v>9</v>
      </c>
      <c r="I193" t="s">
        <v>195</v>
      </c>
      <c r="J193" t="s">
        <v>2686</v>
      </c>
    </row>
    <row r="194" spans="1:10" x14ac:dyDescent="0.2">
      <c r="A194" t="s">
        <v>3747</v>
      </c>
      <c r="E194" t="str">
        <f>HYPERLINK("http://nlpdeep.cs.uic.edu:8080/proofing/t5/522935-assessment-and-plan-1-2.pdf","t5/522935-assessment-and-plan-1-2.pdf")</f>
        <v>t5/522935-assessment-and-plan-1-2.pdf</v>
      </c>
      <c r="F194">
        <v>120842</v>
      </c>
      <c r="G194">
        <v>522935</v>
      </c>
      <c r="H194" t="s">
        <v>9</v>
      </c>
      <c r="I194" t="s">
        <v>195</v>
      </c>
      <c r="J194" t="s">
        <v>2688</v>
      </c>
    </row>
    <row r="195" spans="1:10" x14ac:dyDescent="0.2">
      <c r="A195" t="s">
        <v>3747</v>
      </c>
      <c r="E195" t="str">
        <f>HYPERLINK("http://nlpdeep.cs.uic.edu:8080/proofing/gsii/522935-assessment-and-plan-1-2.pdf","gsii/522935-assessment-and-plan-1-2.pdf")</f>
        <v>gsii/522935-assessment-and-plan-1-2.pdf</v>
      </c>
      <c r="F195">
        <v>120842</v>
      </c>
      <c r="G195">
        <v>522935</v>
      </c>
      <c r="H195" t="s">
        <v>9</v>
      </c>
      <c r="I195" t="s">
        <v>195</v>
      </c>
      <c r="J195" t="s">
        <v>2688</v>
      </c>
    </row>
    <row r="196" spans="1:10" x14ac:dyDescent="0.2">
      <c r="A196" t="s">
        <v>3748</v>
      </c>
      <c r="E196" t="str">
        <f>HYPERLINK("http://nlpdeep.cs.uic.edu:8080/proofing/t5/522935-assessment-and-plan-1-3.pdf","t5/522935-assessment-and-plan-1-3.pdf")</f>
        <v>t5/522935-assessment-and-plan-1-3.pdf</v>
      </c>
      <c r="F196">
        <v>120842</v>
      </c>
      <c r="G196">
        <v>522935</v>
      </c>
      <c r="H196" t="s">
        <v>9</v>
      </c>
      <c r="I196" t="s">
        <v>195</v>
      </c>
      <c r="J196" t="s">
        <v>2690</v>
      </c>
    </row>
    <row r="197" spans="1:10" x14ac:dyDescent="0.2">
      <c r="A197" t="s">
        <v>3748</v>
      </c>
      <c r="E197" t="str">
        <f>HYPERLINK("http://nlpdeep.cs.uic.edu:8080/proofing/gsii/522935-assessment-and-plan-1-3.pdf","gsii/522935-assessment-and-plan-1-3.pdf")</f>
        <v>gsii/522935-assessment-and-plan-1-3.pdf</v>
      </c>
      <c r="F197">
        <v>120842</v>
      </c>
      <c r="G197">
        <v>522935</v>
      </c>
      <c r="H197" t="s">
        <v>9</v>
      </c>
      <c r="I197" t="s">
        <v>195</v>
      </c>
      <c r="J197" t="s">
        <v>2690</v>
      </c>
    </row>
    <row r="198" spans="1:10" x14ac:dyDescent="0.2">
      <c r="A198" t="s">
        <v>3749</v>
      </c>
      <c r="E198" t="str">
        <f>HYPERLINK("http://nlpdeep.cs.uic.edu:8080/proofing/t5/522935-assessment-and-plan-1-4.pdf","t5/522935-assessment-and-plan-1-4.pdf")</f>
        <v>t5/522935-assessment-and-plan-1-4.pdf</v>
      </c>
      <c r="F198">
        <v>120842</v>
      </c>
      <c r="G198">
        <v>522935</v>
      </c>
      <c r="H198" t="s">
        <v>9</v>
      </c>
      <c r="I198" t="s">
        <v>195</v>
      </c>
      <c r="J198" t="s">
        <v>2692</v>
      </c>
    </row>
    <row r="199" spans="1:10" x14ac:dyDescent="0.2">
      <c r="A199" t="s">
        <v>3749</v>
      </c>
      <c r="E199" t="str">
        <f>HYPERLINK("http://nlpdeep.cs.uic.edu:8080/proofing/gsii/522935-assessment-and-plan-1-4.pdf","gsii/522935-assessment-and-plan-1-4.pdf")</f>
        <v>gsii/522935-assessment-and-plan-1-4.pdf</v>
      </c>
      <c r="F199">
        <v>120842</v>
      </c>
      <c r="G199">
        <v>522935</v>
      </c>
      <c r="H199" t="s">
        <v>9</v>
      </c>
      <c r="I199" t="s">
        <v>195</v>
      </c>
      <c r="J199" t="s">
        <v>2692</v>
      </c>
    </row>
    <row r="200" spans="1:10" x14ac:dyDescent="0.2">
      <c r="A200" t="s">
        <v>3750</v>
      </c>
      <c r="E200" t="str">
        <f>HYPERLINK("http://nlpdeep.cs.uic.edu:8080/proofing/t5/522935-assessment-and-plan-1-5.pdf","t5/522935-assessment-and-plan-1-5.pdf")</f>
        <v>t5/522935-assessment-and-plan-1-5.pdf</v>
      </c>
      <c r="F200">
        <v>120842</v>
      </c>
      <c r="G200">
        <v>522935</v>
      </c>
      <c r="H200" t="s">
        <v>9</v>
      </c>
      <c r="I200" t="s">
        <v>195</v>
      </c>
      <c r="J200" t="s">
        <v>2694</v>
      </c>
    </row>
    <row r="201" spans="1:10" x14ac:dyDescent="0.2">
      <c r="A201" t="s">
        <v>3750</v>
      </c>
      <c r="E201" t="str">
        <f>HYPERLINK("http://nlpdeep.cs.uic.edu:8080/proofing/gsii/522935-assessment-and-plan-1-5.pdf","gsii/522935-assessment-and-plan-1-5.pdf")</f>
        <v>gsii/522935-assessment-and-plan-1-5.pdf</v>
      </c>
      <c r="F201">
        <v>120842</v>
      </c>
      <c r="G201">
        <v>522935</v>
      </c>
      <c r="H201" t="s">
        <v>9</v>
      </c>
      <c r="I201" t="s">
        <v>195</v>
      </c>
      <c r="J201" t="s">
        <v>2694</v>
      </c>
    </row>
    <row r="202" spans="1:10" x14ac:dyDescent="0.2">
      <c r="A202" t="s">
        <v>3751</v>
      </c>
      <c r="E202" t="str">
        <f>HYPERLINK("http://nlpdeep.cs.uic.edu:8080/proofing/t5/522935-assessment-and-plan-1-6.pdf","t5/522935-assessment-and-plan-1-6.pdf")</f>
        <v>t5/522935-assessment-and-plan-1-6.pdf</v>
      </c>
      <c r="F202">
        <v>120842</v>
      </c>
      <c r="G202">
        <v>522935</v>
      </c>
      <c r="H202" t="s">
        <v>9</v>
      </c>
      <c r="I202" t="s">
        <v>195</v>
      </c>
      <c r="J202" t="s">
        <v>2696</v>
      </c>
    </row>
    <row r="203" spans="1:10" x14ac:dyDescent="0.2">
      <c r="A203" t="s">
        <v>3751</v>
      </c>
      <c r="E203" t="str">
        <f>HYPERLINK("http://nlpdeep.cs.uic.edu:8080/proofing/gsii/522935-assessment-and-plan-1-6.pdf","gsii/522935-assessment-and-plan-1-6.pdf")</f>
        <v>gsii/522935-assessment-and-plan-1-6.pdf</v>
      </c>
      <c r="F203">
        <v>120842</v>
      </c>
      <c r="G203">
        <v>522935</v>
      </c>
      <c r="H203" t="s">
        <v>9</v>
      </c>
      <c r="I203" t="s">
        <v>195</v>
      </c>
      <c r="J203" t="s">
        <v>2696</v>
      </c>
    </row>
    <row r="204" spans="1:10" x14ac:dyDescent="0.2">
      <c r="A204" t="s">
        <v>3752</v>
      </c>
      <c r="E204" t="str">
        <f>HYPERLINK("http://nlpdeep.cs.uic.edu:8080/proofing/t5/522935-assessment-and-plan-1-7.pdf","t5/522935-assessment-and-plan-1-7.pdf")</f>
        <v>t5/522935-assessment-and-plan-1-7.pdf</v>
      </c>
      <c r="F204">
        <v>120842</v>
      </c>
      <c r="G204">
        <v>522935</v>
      </c>
      <c r="H204" t="s">
        <v>9</v>
      </c>
      <c r="I204" t="s">
        <v>195</v>
      </c>
      <c r="J204" t="s">
        <v>2698</v>
      </c>
    </row>
    <row r="205" spans="1:10" x14ac:dyDescent="0.2">
      <c r="A205" t="s">
        <v>3752</v>
      </c>
      <c r="E205" t="str">
        <f>HYPERLINK("http://nlpdeep.cs.uic.edu:8080/proofing/gsii/522935-assessment-and-plan-1-7.pdf","gsii/522935-assessment-and-plan-1-7.pdf")</f>
        <v>gsii/522935-assessment-and-plan-1-7.pdf</v>
      </c>
      <c r="F205">
        <v>120842</v>
      </c>
      <c r="G205">
        <v>522935</v>
      </c>
      <c r="H205" t="s">
        <v>9</v>
      </c>
      <c r="I205" t="s">
        <v>195</v>
      </c>
      <c r="J205" t="s">
        <v>2698</v>
      </c>
    </row>
    <row r="206" spans="1:10" x14ac:dyDescent="0.2">
      <c r="A206" t="s">
        <v>3753</v>
      </c>
      <c r="E206" t="str">
        <f>HYPERLINK("http://nlpdeep.cs.uic.edu:8080/proofing/t5/522935-assessment-and-plan-1-8.pdf","t5/522935-assessment-and-plan-1-8.pdf")</f>
        <v>t5/522935-assessment-and-plan-1-8.pdf</v>
      </c>
      <c r="F206">
        <v>120842</v>
      </c>
      <c r="G206">
        <v>522935</v>
      </c>
      <c r="H206" t="s">
        <v>9</v>
      </c>
      <c r="I206" t="s">
        <v>195</v>
      </c>
    </row>
    <row r="207" spans="1:10" x14ac:dyDescent="0.2">
      <c r="A207" t="s">
        <v>3753</v>
      </c>
      <c r="E207" t="str">
        <f>HYPERLINK("http://nlpdeep.cs.uic.edu:8080/proofing/gsii/522935-assessment-and-plan-1-8.pdf","gsii/522935-assessment-and-plan-1-8.pdf")</f>
        <v>gsii/522935-assessment-and-plan-1-8.pdf</v>
      </c>
      <c r="F207">
        <v>120842</v>
      </c>
      <c r="G207">
        <v>522935</v>
      </c>
      <c r="H207" t="s">
        <v>9</v>
      </c>
      <c r="I207" t="s">
        <v>195</v>
      </c>
    </row>
    <row r="208" spans="1:10" x14ac:dyDescent="0.2">
      <c r="A208" t="s">
        <v>3754</v>
      </c>
      <c r="E208" t="str">
        <f>HYPERLINK("http://nlpdeep.cs.uic.edu:8080/proofing/t5/522935-assessment-and-plan-2-0.pdf","t5/522935-assessment-and-plan-2-0.pdf")</f>
        <v>t5/522935-assessment-and-plan-2-0.pdf</v>
      </c>
      <c r="F208">
        <v>120842</v>
      </c>
      <c r="G208">
        <v>522935</v>
      </c>
      <c r="H208" t="s">
        <v>9</v>
      </c>
      <c r="I208" t="s">
        <v>195</v>
      </c>
      <c r="J208" t="s">
        <v>3203</v>
      </c>
    </row>
    <row r="209" spans="1:10" x14ac:dyDescent="0.2">
      <c r="A209" t="s">
        <v>3754</v>
      </c>
      <c r="E209" t="str">
        <f>HYPERLINK("http://nlpdeep.cs.uic.edu:8080/proofing/gsii/522935-assessment-and-plan-2-0.pdf","gsii/522935-assessment-and-plan-2-0.pdf")</f>
        <v>gsii/522935-assessment-and-plan-2-0.pdf</v>
      </c>
      <c r="F209">
        <v>120842</v>
      </c>
      <c r="G209">
        <v>522935</v>
      </c>
      <c r="H209" t="s">
        <v>9</v>
      </c>
      <c r="I209" t="s">
        <v>195</v>
      </c>
      <c r="J209" t="s">
        <v>3203</v>
      </c>
    </row>
    <row r="210" spans="1:10" x14ac:dyDescent="0.2">
      <c r="A210" t="s">
        <v>3755</v>
      </c>
      <c r="E210" t="str">
        <f>HYPERLINK("http://nlpdeep.cs.uic.edu:8080/proofing/t5/522935-assessment-and-plan-2-1.pdf","t5/522935-assessment-and-plan-2-1.pdf")</f>
        <v>t5/522935-assessment-and-plan-2-1.pdf</v>
      </c>
      <c r="F210">
        <v>120842</v>
      </c>
      <c r="G210">
        <v>522935</v>
      </c>
      <c r="H210" t="s">
        <v>9</v>
      </c>
      <c r="I210" t="s">
        <v>195</v>
      </c>
      <c r="J210" t="s">
        <v>2702</v>
      </c>
    </row>
    <row r="211" spans="1:10" x14ac:dyDescent="0.2">
      <c r="A211" t="s">
        <v>3755</v>
      </c>
      <c r="E211" t="str">
        <f>HYPERLINK("http://nlpdeep.cs.uic.edu:8080/proofing/gsii/522935-assessment-and-plan-2-1.pdf","gsii/522935-assessment-and-plan-2-1.pdf")</f>
        <v>gsii/522935-assessment-and-plan-2-1.pdf</v>
      </c>
      <c r="F211">
        <v>120842</v>
      </c>
      <c r="G211">
        <v>522935</v>
      </c>
      <c r="H211" t="s">
        <v>9</v>
      </c>
      <c r="I211" t="s">
        <v>195</v>
      </c>
      <c r="J211" t="s">
        <v>2702</v>
      </c>
    </row>
    <row r="212" spans="1:10" x14ac:dyDescent="0.2">
      <c r="A212" t="s">
        <v>3756</v>
      </c>
      <c r="E212" t="str">
        <f>HYPERLINK("http://nlpdeep.cs.uic.edu:8080/proofing/t5/522935-assessment-and-plan-2-2.pdf","t5/522935-assessment-and-plan-2-2.pdf")</f>
        <v>t5/522935-assessment-and-plan-2-2.pdf</v>
      </c>
      <c r="F212">
        <v>120842</v>
      </c>
      <c r="G212">
        <v>522935</v>
      </c>
      <c r="H212" t="s">
        <v>9</v>
      </c>
      <c r="I212" t="s">
        <v>195</v>
      </c>
      <c r="J212" t="s">
        <v>2704</v>
      </c>
    </row>
    <row r="213" spans="1:10" x14ac:dyDescent="0.2">
      <c r="A213" t="s">
        <v>3756</v>
      </c>
      <c r="E213" t="str">
        <f>HYPERLINK("http://nlpdeep.cs.uic.edu:8080/proofing/gsii/522935-assessment-and-plan-2-2.pdf","gsii/522935-assessment-and-plan-2-2.pdf")</f>
        <v>gsii/522935-assessment-and-plan-2-2.pdf</v>
      </c>
      <c r="F213">
        <v>120842</v>
      </c>
      <c r="G213">
        <v>522935</v>
      </c>
      <c r="H213" t="s">
        <v>9</v>
      </c>
      <c r="I213" t="s">
        <v>195</v>
      </c>
      <c r="J213" t="s">
        <v>2704</v>
      </c>
    </row>
    <row r="214" spans="1:10" x14ac:dyDescent="0.2">
      <c r="A214" t="s">
        <v>3757</v>
      </c>
      <c r="E214" t="str">
        <f>HYPERLINK("http://nlpdeep.cs.uic.edu:8080/proofing/t5/522935-assessment-and-plan-2-3.pdf","t5/522935-assessment-and-plan-2-3.pdf")</f>
        <v>t5/522935-assessment-and-plan-2-3.pdf</v>
      </c>
      <c r="F214">
        <v>120842</v>
      </c>
      <c r="G214">
        <v>522935</v>
      </c>
      <c r="H214" t="s">
        <v>9</v>
      </c>
      <c r="I214" t="s">
        <v>195</v>
      </c>
      <c r="J214" t="s">
        <v>2706</v>
      </c>
    </row>
    <row r="215" spans="1:10" x14ac:dyDescent="0.2">
      <c r="A215" t="s">
        <v>3757</v>
      </c>
      <c r="E215" t="str">
        <f>HYPERLINK("http://nlpdeep.cs.uic.edu:8080/proofing/gsii/522935-assessment-and-plan-2-3.pdf","gsii/522935-assessment-and-plan-2-3.pdf")</f>
        <v>gsii/522935-assessment-and-plan-2-3.pdf</v>
      </c>
      <c r="F215">
        <v>120842</v>
      </c>
      <c r="G215">
        <v>522935</v>
      </c>
      <c r="H215" t="s">
        <v>9</v>
      </c>
      <c r="I215" t="s">
        <v>195</v>
      </c>
      <c r="J215" t="s">
        <v>2706</v>
      </c>
    </row>
    <row r="216" spans="1:10" x14ac:dyDescent="0.2">
      <c r="A216" t="s">
        <v>3758</v>
      </c>
      <c r="E216" t="str">
        <f>HYPERLINK("http://nlpdeep.cs.uic.edu:8080/proofing/t5/522935-assessment-and-plan-3-0.pdf","t5/522935-assessment-and-plan-3-0.pdf")</f>
        <v>t5/522935-assessment-and-plan-3-0.pdf</v>
      </c>
      <c r="F216">
        <v>120842</v>
      </c>
      <c r="G216">
        <v>522935</v>
      </c>
      <c r="H216" t="s">
        <v>9</v>
      </c>
      <c r="I216" t="s">
        <v>195</v>
      </c>
      <c r="J216" t="s">
        <v>2708</v>
      </c>
    </row>
    <row r="217" spans="1:10" x14ac:dyDescent="0.2">
      <c r="A217" t="s">
        <v>3758</v>
      </c>
      <c r="E217" t="str">
        <f>HYPERLINK("http://nlpdeep.cs.uic.edu:8080/proofing/gsii/522935-assessment-and-plan-3-0.pdf","gsii/522935-assessment-and-plan-3-0.pdf")</f>
        <v>gsii/522935-assessment-and-plan-3-0.pdf</v>
      </c>
      <c r="F217">
        <v>120842</v>
      </c>
      <c r="G217">
        <v>522935</v>
      </c>
      <c r="H217" t="s">
        <v>9</v>
      </c>
      <c r="I217" t="s">
        <v>195</v>
      </c>
      <c r="J217" t="s">
        <v>2708</v>
      </c>
    </row>
    <row r="218" spans="1:10" x14ac:dyDescent="0.2">
      <c r="A218" t="s">
        <v>3759</v>
      </c>
      <c r="E218" t="str">
        <f>HYPERLINK("http://nlpdeep.cs.uic.edu:8080/proofing/t5/522935-assessment-and-plan-3-1.pdf","t5/522935-assessment-and-plan-3-1.pdf")</f>
        <v>t5/522935-assessment-and-plan-3-1.pdf</v>
      </c>
      <c r="F218">
        <v>120842</v>
      </c>
      <c r="G218">
        <v>522935</v>
      </c>
      <c r="H218" t="s">
        <v>9</v>
      </c>
      <c r="I218" t="s">
        <v>195</v>
      </c>
      <c r="J218" t="s">
        <v>2710</v>
      </c>
    </row>
    <row r="219" spans="1:10" x14ac:dyDescent="0.2">
      <c r="A219" t="s">
        <v>3759</v>
      </c>
      <c r="E219" t="str">
        <f>HYPERLINK("http://nlpdeep.cs.uic.edu:8080/proofing/gsii/522935-assessment-and-plan-3-1.pdf","gsii/522935-assessment-and-plan-3-1.pdf")</f>
        <v>gsii/522935-assessment-and-plan-3-1.pdf</v>
      </c>
      <c r="F219">
        <v>120842</v>
      </c>
      <c r="G219">
        <v>522935</v>
      </c>
      <c r="H219" t="s">
        <v>9</v>
      </c>
      <c r="I219" t="s">
        <v>195</v>
      </c>
      <c r="J219" t="s">
        <v>2710</v>
      </c>
    </row>
    <row r="220" spans="1:10" x14ac:dyDescent="0.2">
      <c r="A220" t="s">
        <v>3760</v>
      </c>
      <c r="E220" t="str">
        <f>HYPERLINK("http://nlpdeep.cs.uic.edu:8080/proofing/t5/522935-assessment-and-plan-4-0.pdf","t5/522935-assessment-and-plan-4-0.pdf")</f>
        <v>t5/522935-assessment-and-plan-4-0.pdf</v>
      </c>
      <c r="F220">
        <v>120842</v>
      </c>
      <c r="G220">
        <v>522935</v>
      </c>
      <c r="H220" t="s">
        <v>9</v>
      </c>
      <c r="I220" t="s">
        <v>195</v>
      </c>
      <c r="J220" t="s">
        <v>2712</v>
      </c>
    </row>
    <row r="221" spans="1:10" x14ac:dyDescent="0.2">
      <c r="A221" t="s">
        <v>3760</v>
      </c>
      <c r="E221" t="str">
        <f>HYPERLINK("http://nlpdeep.cs.uic.edu:8080/proofing/gsii/522935-assessment-and-plan-4-0.pdf","gsii/522935-assessment-and-plan-4-0.pdf")</f>
        <v>gsii/522935-assessment-and-plan-4-0.pdf</v>
      </c>
      <c r="F221">
        <v>120842</v>
      </c>
      <c r="G221">
        <v>522935</v>
      </c>
      <c r="H221" t="s">
        <v>9</v>
      </c>
      <c r="I221" t="s">
        <v>195</v>
      </c>
      <c r="J221" t="s">
        <v>2712</v>
      </c>
    </row>
    <row r="222" spans="1:10" x14ac:dyDescent="0.2">
      <c r="A222" t="s">
        <v>3761</v>
      </c>
      <c r="E222" t="str">
        <f>HYPERLINK("http://nlpdeep.cs.uic.edu:8080/proofing/t5/522935-assessment-and-plan-4-1.pdf","t5/522935-assessment-and-plan-4-1.pdf")</f>
        <v>t5/522935-assessment-and-plan-4-1.pdf</v>
      </c>
      <c r="F222">
        <v>120842</v>
      </c>
      <c r="G222">
        <v>522935</v>
      </c>
      <c r="H222" t="s">
        <v>9</v>
      </c>
      <c r="I222" t="s">
        <v>195</v>
      </c>
      <c r="J222" t="s">
        <v>2714</v>
      </c>
    </row>
    <row r="223" spans="1:10" x14ac:dyDescent="0.2">
      <c r="A223" t="s">
        <v>3761</v>
      </c>
      <c r="E223" t="str">
        <f>HYPERLINK("http://nlpdeep.cs.uic.edu:8080/proofing/gsii/522935-assessment-and-plan-4-1.pdf","gsii/522935-assessment-and-plan-4-1.pdf")</f>
        <v>gsii/522935-assessment-and-plan-4-1.pdf</v>
      </c>
      <c r="F223">
        <v>120842</v>
      </c>
      <c r="G223">
        <v>522935</v>
      </c>
      <c r="H223" t="s">
        <v>9</v>
      </c>
      <c r="I223" t="s">
        <v>195</v>
      </c>
      <c r="J223" t="s">
        <v>2714</v>
      </c>
    </row>
    <row r="224" spans="1:10" x14ac:dyDescent="0.2">
      <c r="A224" t="s">
        <v>3762</v>
      </c>
      <c r="E224" t="str">
        <f>HYPERLINK("http://nlpdeep.cs.uic.edu:8080/proofing/t5/522935-assessment-and-plan-4-2.pdf","t5/522935-assessment-and-plan-4-2.pdf")</f>
        <v>t5/522935-assessment-and-plan-4-2.pdf</v>
      </c>
      <c r="F224">
        <v>120842</v>
      </c>
      <c r="G224">
        <v>522935</v>
      </c>
      <c r="H224" t="s">
        <v>9</v>
      </c>
      <c r="I224" t="s">
        <v>195</v>
      </c>
      <c r="J224" t="s">
        <v>2716</v>
      </c>
    </row>
    <row r="225" spans="1:10" x14ac:dyDescent="0.2">
      <c r="A225" t="s">
        <v>3762</v>
      </c>
      <c r="E225" t="str">
        <f>HYPERLINK("http://nlpdeep.cs.uic.edu:8080/proofing/gsii/522935-assessment-and-plan-4-2.pdf","gsii/522935-assessment-and-plan-4-2.pdf")</f>
        <v>gsii/522935-assessment-and-plan-4-2.pdf</v>
      </c>
      <c r="F225">
        <v>120842</v>
      </c>
      <c r="G225">
        <v>522935</v>
      </c>
      <c r="H225" t="s">
        <v>9</v>
      </c>
      <c r="I225" t="s">
        <v>195</v>
      </c>
      <c r="J225" t="s">
        <v>2716</v>
      </c>
    </row>
    <row r="226" spans="1:10" x14ac:dyDescent="0.2">
      <c r="A226" t="s">
        <v>3763</v>
      </c>
      <c r="E226" t="str">
        <f>HYPERLINK("http://nlpdeep.cs.uic.edu:8080/proofing/t5/522935-assessment-and-plan-5-0.pdf","t5/522935-assessment-and-plan-5-0.pdf")</f>
        <v>t5/522935-assessment-and-plan-5-0.pdf</v>
      </c>
      <c r="F226">
        <v>120842</v>
      </c>
      <c r="G226">
        <v>522935</v>
      </c>
      <c r="H226" t="s">
        <v>9</v>
      </c>
      <c r="I226" t="s">
        <v>195</v>
      </c>
      <c r="J226" t="s">
        <v>3764</v>
      </c>
    </row>
    <row r="227" spans="1:10" x14ac:dyDescent="0.2">
      <c r="A227" t="s">
        <v>3763</v>
      </c>
      <c r="E227" t="str">
        <f>HYPERLINK("http://nlpdeep.cs.uic.edu:8080/proofing/gsii/522935-assessment-and-plan-5-0.pdf","gsii/522935-assessment-and-plan-5-0.pdf")</f>
        <v>gsii/522935-assessment-and-plan-5-0.pdf</v>
      </c>
      <c r="F227">
        <v>120842</v>
      </c>
      <c r="G227">
        <v>522935</v>
      </c>
      <c r="H227" t="s">
        <v>9</v>
      </c>
      <c r="I227" t="s">
        <v>195</v>
      </c>
      <c r="J227" t="s">
        <v>3764</v>
      </c>
    </row>
    <row r="228" spans="1:10" x14ac:dyDescent="0.2">
      <c r="A228" t="s">
        <v>3765</v>
      </c>
      <c r="E228" t="str">
        <f>HYPERLINK("http://nlpdeep.cs.uic.edu:8080/proofing/t5/522935-review-of-systems-0-0.pdf","t5/522935-review-of-systems-0-0.pdf")</f>
        <v>t5/522935-review-of-systems-0-0.pdf</v>
      </c>
      <c r="F228">
        <v>120842</v>
      </c>
      <c r="G228">
        <v>522935</v>
      </c>
      <c r="H228" t="s">
        <v>9</v>
      </c>
      <c r="I228" t="s">
        <v>393</v>
      </c>
      <c r="J228" t="s">
        <v>3147</v>
      </c>
    </row>
    <row r="229" spans="1:10" x14ac:dyDescent="0.2">
      <c r="A229" t="s">
        <v>3765</v>
      </c>
      <c r="E229" t="str">
        <f>HYPERLINK("http://nlpdeep.cs.uic.edu:8080/proofing/gsii/522935-review-of-systems-0-0.pdf","gsii/522935-review-of-systems-0-0.pdf")</f>
        <v>gsii/522935-review-of-systems-0-0.pdf</v>
      </c>
      <c r="F229">
        <v>120842</v>
      </c>
      <c r="G229">
        <v>522935</v>
      </c>
      <c r="H229" t="s">
        <v>9</v>
      </c>
      <c r="I229" t="s">
        <v>393</v>
      </c>
      <c r="J229" t="s">
        <v>3147</v>
      </c>
    </row>
    <row r="230" spans="1:10" x14ac:dyDescent="0.2">
      <c r="A230" t="s">
        <v>3766</v>
      </c>
      <c r="E230" t="str">
        <f>HYPERLINK("http://nlpdeep.cs.uic.edu:8080/proofing/t5/522935-review-of-systems-0-1.pdf","t5/522935-review-of-systems-0-1.pdf")</f>
        <v>t5/522935-review-of-systems-0-1.pdf</v>
      </c>
      <c r="F230">
        <v>120842</v>
      </c>
      <c r="G230">
        <v>522935</v>
      </c>
      <c r="H230" t="s">
        <v>9</v>
      </c>
      <c r="I230" t="s">
        <v>393</v>
      </c>
      <c r="J230" t="s">
        <v>3149</v>
      </c>
    </row>
    <row r="231" spans="1:10" x14ac:dyDescent="0.2">
      <c r="A231" t="s">
        <v>3766</v>
      </c>
      <c r="E231" t="str">
        <f>HYPERLINK("http://nlpdeep.cs.uic.edu:8080/proofing/gsii/522935-review-of-systems-0-1.pdf","gsii/522935-review-of-systems-0-1.pdf")</f>
        <v>gsii/522935-review-of-systems-0-1.pdf</v>
      </c>
      <c r="F231">
        <v>120842</v>
      </c>
      <c r="G231">
        <v>522935</v>
      </c>
      <c r="H231" t="s">
        <v>9</v>
      </c>
      <c r="I231" t="s">
        <v>393</v>
      </c>
      <c r="J231" t="s">
        <v>3149</v>
      </c>
    </row>
    <row r="232" spans="1:10" x14ac:dyDescent="0.2">
      <c r="A232" t="s">
        <v>3767</v>
      </c>
      <c r="E232" t="str">
        <f>HYPERLINK("http://nlpdeep.cs.uic.edu:8080/proofing/t5/522935-review-of-systems-0-2.pdf","t5/522935-review-of-systems-0-2.pdf")</f>
        <v>t5/522935-review-of-systems-0-2.pdf</v>
      </c>
      <c r="F232">
        <v>120842</v>
      </c>
      <c r="G232">
        <v>522935</v>
      </c>
      <c r="H232" t="s">
        <v>9</v>
      </c>
      <c r="I232" t="s">
        <v>393</v>
      </c>
      <c r="J232" t="s">
        <v>3151</v>
      </c>
    </row>
    <row r="233" spans="1:10" x14ac:dyDescent="0.2">
      <c r="A233" t="s">
        <v>3767</v>
      </c>
      <c r="E233" t="str">
        <f>HYPERLINK("http://nlpdeep.cs.uic.edu:8080/proofing/gsii/522935-review-of-systems-0-2.pdf","gsii/522935-review-of-systems-0-2.pdf")</f>
        <v>gsii/522935-review-of-systems-0-2.pdf</v>
      </c>
      <c r="F233">
        <v>120842</v>
      </c>
      <c r="G233">
        <v>522935</v>
      </c>
      <c r="H233" t="s">
        <v>9</v>
      </c>
      <c r="I233" t="s">
        <v>393</v>
      </c>
      <c r="J233" t="s">
        <v>3151</v>
      </c>
    </row>
    <row r="234" spans="1:10" x14ac:dyDescent="0.2">
      <c r="A234" t="s">
        <v>3768</v>
      </c>
      <c r="E234" t="str">
        <f>HYPERLINK("http://nlpdeep.cs.uic.edu:8080/proofing/t5/522935-review-of-systems-0-3.pdf","t5/522935-review-of-systems-0-3.pdf")</f>
        <v>t5/522935-review-of-systems-0-3.pdf</v>
      </c>
      <c r="F234">
        <v>120842</v>
      </c>
      <c r="G234">
        <v>522935</v>
      </c>
      <c r="H234" t="s">
        <v>9</v>
      </c>
      <c r="I234" t="s">
        <v>393</v>
      </c>
      <c r="J234" t="s">
        <v>3153</v>
      </c>
    </row>
    <row r="235" spans="1:10" x14ac:dyDescent="0.2">
      <c r="A235" t="s">
        <v>3768</v>
      </c>
      <c r="E235" t="str">
        <f>HYPERLINK("http://nlpdeep.cs.uic.edu:8080/proofing/gsii/522935-review-of-systems-0-3.pdf","gsii/522935-review-of-systems-0-3.pdf")</f>
        <v>gsii/522935-review-of-systems-0-3.pdf</v>
      </c>
      <c r="F235">
        <v>120842</v>
      </c>
      <c r="G235">
        <v>522935</v>
      </c>
      <c r="H235" t="s">
        <v>9</v>
      </c>
      <c r="I235" t="s">
        <v>393</v>
      </c>
      <c r="J235" t="s">
        <v>3153</v>
      </c>
    </row>
    <row r="236" spans="1:10" x14ac:dyDescent="0.2">
      <c r="A236" t="s">
        <v>3769</v>
      </c>
      <c r="E236" t="str">
        <f>HYPERLINK("http://nlpdeep.cs.uic.edu:8080/proofing/t5/522935-review-of-systems-0-4.pdf","t5/522935-review-of-systems-0-4.pdf")</f>
        <v>t5/522935-review-of-systems-0-4.pdf</v>
      </c>
      <c r="F236">
        <v>120842</v>
      </c>
      <c r="G236">
        <v>522935</v>
      </c>
      <c r="H236" t="s">
        <v>9</v>
      </c>
      <c r="I236" t="s">
        <v>393</v>
      </c>
      <c r="J236" t="s">
        <v>3155</v>
      </c>
    </row>
    <row r="237" spans="1:10" x14ac:dyDescent="0.2">
      <c r="A237" t="s">
        <v>3769</v>
      </c>
      <c r="E237" t="str">
        <f>HYPERLINK("http://nlpdeep.cs.uic.edu:8080/proofing/gsii/522935-review-of-systems-0-4.pdf","gsii/522935-review-of-systems-0-4.pdf")</f>
        <v>gsii/522935-review-of-systems-0-4.pdf</v>
      </c>
      <c r="F237">
        <v>120842</v>
      </c>
      <c r="G237">
        <v>522935</v>
      </c>
      <c r="H237" t="s">
        <v>9</v>
      </c>
      <c r="I237" t="s">
        <v>393</v>
      </c>
      <c r="J237" t="s">
        <v>3155</v>
      </c>
    </row>
    <row r="238" spans="1:10" x14ac:dyDescent="0.2">
      <c r="A238" t="s">
        <v>3770</v>
      </c>
      <c r="E238" t="str">
        <f>HYPERLINK("http://nlpdeep.cs.uic.edu:8080/proofing/t5/522935-review-of-systems-0-5.pdf","t5/522935-review-of-systems-0-5.pdf")</f>
        <v>t5/522935-review-of-systems-0-5.pdf</v>
      </c>
      <c r="F238">
        <v>120842</v>
      </c>
      <c r="G238">
        <v>522935</v>
      </c>
      <c r="H238" t="s">
        <v>9</v>
      </c>
      <c r="I238" t="s">
        <v>393</v>
      </c>
      <c r="J238" t="s">
        <v>3157</v>
      </c>
    </row>
    <row r="239" spans="1:10" x14ac:dyDescent="0.2">
      <c r="A239" t="s">
        <v>3770</v>
      </c>
      <c r="E239" t="str">
        <f>HYPERLINK("http://nlpdeep.cs.uic.edu:8080/proofing/gsii/522935-review-of-systems-0-5.pdf","gsii/522935-review-of-systems-0-5.pdf")</f>
        <v>gsii/522935-review-of-systems-0-5.pdf</v>
      </c>
      <c r="F239">
        <v>120842</v>
      </c>
      <c r="G239">
        <v>522935</v>
      </c>
      <c r="H239" t="s">
        <v>9</v>
      </c>
      <c r="I239" t="s">
        <v>393</v>
      </c>
      <c r="J239" t="s">
        <v>3157</v>
      </c>
    </row>
    <row r="240" spans="1:10" x14ac:dyDescent="0.2">
      <c r="A240" t="s">
        <v>3771</v>
      </c>
      <c r="E240" t="str">
        <f>HYPERLINK("http://nlpdeep.cs.uic.edu:8080/proofing/t5/522935-review-of-systems-0-6.pdf","t5/522935-review-of-systems-0-6.pdf")</f>
        <v>t5/522935-review-of-systems-0-6.pdf</v>
      </c>
      <c r="F240">
        <v>120842</v>
      </c>
      <c r="G240">
        <v>522935</v>
      </c>
      <c r="H240" t="s">
        <v>9</v>
      </c>
      <c r="I240" t="s">
        <v>393</v>
      </c>
      <c r="J240" t="s">
        <v>3159</v>
      </c>
    </row>
    <row r="241" spans="1:10" x14ac:dyDescent="0.2">
      <c r="A241" t="s">
        <v>3771</v>
      </c>
      <c r="E241" t="str">
        <f>HYPERLINK("http://nlpdeep.cs.uic.edu:8080/proofing/gsii/522935-review-of-systems-0-6.pdf","gsii/522935-review-of-systems-0-6.pdf")</f>
        <v>gsii/522935-review-of-systems-0-6.pdf</v>
      </c>
      <c r="F241">
        <v>120842</v>
      </c>
      <c r="G241">
        <v>522935</v>
      </c>
      <c r="H241" t="s">
        <v>9</v>
      </c>
      <c r="I241" t="s">
        <v>393</v>
      </c>
      <c r="J241" t="s">
        <v>3159</v>
      </c>
    </row>
    <row r="242" spans="1:10" x14ac:dyDescent="0.2">
      <c r="A242" t="s">
        <v>3772</v>
      </c>
      <c r="E242" t="str">
        <f>HYPERLINK("http://nlpdeep.cs.uic.edu:8080/proofing/t5/522935-review-of-systems-0-7.pdf","t5/522935-review-of-systems-0-7.pdf")</f>
        <v>t5/522935-review-of-systems-0-7.pdf</v>
      </c>
      <c r="F242">
        <v>120842</v>
      </c>
      <c r="G242">
        <v>522935</v>
      </c>
      <c r="H242" t="s">
        <v>9</v>
      </c>
      <c r="I242" t="s">
        <v>393</v>
      </c>
      <c r="J242" t="s">
        <v>2764</v>
      </c>
    </row>
    <row r="243" spans="1:10" x14ac:dyDescent="0.2">
      <c r="A243" t="s">
        <v>3772</v>
      </c>
      <c r="E243" t="str">
        <f>HYPERLINK("http://nlpdeep.cs.uic.edu:8080/proofing/gsii/522935-review-of-systems-0-7.pdf","gsii/522935-review-of-systems-0-7.pdf")</f>
        <v>gsii/522935-review-of-systems-0-7.pdf</v>
      </c>
      <c r="F243">
        <v>120842</v>
      </c>
      <c r="G243">
        <v>522935</v>
      </c>
      <c r="H243" t="s">
        <v>9</v>
      </c>
      <c r="I243" t="s">
        <v>393</v>
      </c>
      <c r="J243" t="s">
        <v>2764</v>
      </c>
    </row>
    <row r="244" spans="1:10" x14ac:dyDescent="0.2">
      <c r="A244" t="s">
        <v>3773</v>
      </c>
      <c r="E244" t="str">
        <f>HYPERLINK("http://nlpdeep.cs.uic.edu:8080/proofing/t5/522935-allergies-0-0.pdf","t5/522935-allergies-0-0.pdf")</f>
        <v>t5/522935-allergies-0-0.pdf</v>
      </c>
      <c r="F244">
        <v>120842</v>
      </c>
      <c r="G244">
        <v>522935</v>
      </c>
      <c r="H244" t="s">
        <v>9</v>
      </c>
      <c r="I244" t="s">
        <v>64</v>
      </c>
      <c r="J244" t="s">
        <v>3774</v>
      </c>
    </row>
    <row r="245" spans="1:10" x14ac:dyDescent="0.2">
      <c r="A245" t="s">
        <v>3773</v>
      </c>
      <c r="E245" t="str">
        <f>HYPERLINK("http://nlpdeep.cs.uic.edu:8080/proofing/gsii/522935-allergies-0-0.pdf","gsii/522935-allergies-0-0.pdf")</f>
        <v>gsii/522935-allergies-0-0.pdf</v>
      </c>
      <c r="F245">
        <v>120842</v>
      </c>
      <c r="G245">
        <v>522935</v>
      </c>
      <c r="H245" t="s">
        <v>9</v>
      </c>
      <c r="I245" t="s">
        <v>64</v>
      </c>
      <c r="J245" t="s">
        <v>3774</v>
      </c>
    </row>
    <row r="246" spans="1:10" x14ac:dyDescent="0.2">
      <c r="A246" t="s">
        <v>3775</v>
      </c>
      <c r="E246" t="str">
        <f>HYPERLINK("http://nlpdeep.cs.uic.edu:8080/proofing/t5/522935-family-history-0-0.pdf","t5/522935-family-history-0-0.pdf")</f>
        <v>t5/522935-family-history-0-0.pdf</v>
      </c>
      <c r="F246">
        <v>120842</v>
      </c>
      <c r="G246">
        <v>522935</v>
      </c>
      <c r="H246" t="s">
        <v>9</v>
      </c>
      <c r="I246" t="s">
        <v>107</v>
      </c>
      <c r="J246" t="s">
        <v>3776</v>
      </c>
    </row>
    <row r="247" spans="1:10" x14ac:dyDescent="0.2">
      <c r="A247" t="s">
        <v>3775</v>
      </c>
      <c r="E247" t="str">
        <f>HYPERLINK("http://nlpdeep.cs.uic.edu:8080/proofing/gsii/522935-family-history-0-0.pdf","gsii/522935-family-history-0-0.pdf")</f>
        <v>gsii/522935-family-history-0-0.pdf</v>
      </c>
      <c r="F247">
        <v>120842</v>
      </c>
      <c r="G247">
        <v>522935</v>
      </c>
      <c r="H247" t="s">
        <v>9</v>
      </c>
      <c r="I247" t="s">
        <v>107</v>
      </c>
      <c r="J247" t="s">
        <v>3776</v>
      </c>
    </row>
    <row r="248" spans="1:10" x14ac:dyDescent="0.2">
      <c r="A248" t="s">
        <v>3777</v>
      </c>
      <c r="E248" t="str">
        <f>HYPERLINK("http://nlpdeep.cs.uic.edu:8080/proofing/t5/522935-labs-0-0.pdf","t5/522935-labs-0-0.pdf")</f>
        <v>t5/522935-labs-0-0.pdf</v>
      </c>
      <c r="F248">
        <v>120842</v>
      </c>
      <c r="G248">
        <v>522935</v>
      </c>
      <c r="H248" t="s">
        <v>9</v>
      </c>
      <c r="I248" t="s">
        <v>3778</v>
      </c>
      <c r="J248" t="s">
        <v>3779</v>
      </c>
    </row>
    <row r="249" spans="1:10" x14ac:dyDescent="0.2">
      <c r="A249" t="s">
        <v>3777</v>
      </c>
      <c r="E249" t="str">
        <f>HYPERLINK("http://nlpdeep.cs.uic.edu:8080/proofing/gsii/522935-labs-0-0.pdf","gsii/522935-labs-0-0.pdf")</f>
        <v>gsii/522935-labs-0-0.pdf</v>
      </c>
      <c r="F249">
        <v>120842</v>
      </c>
      <c r="G249">
        <v>522935</v>
      </c>
      <c r="H249" t="s">
        <v>9</v>
      </c>
      <c r="I249" t="s">
        <v>3778</v>
      </c>
      <c r="J249" t="s">
        <v>3779</v>
      </c>
    </row>
    <row r="250" spans="1:10" x14ac:dyDescent="0.2">
      <c r="A250" t="s">
        <v>3780</v>
      </c>
      <c r="E250" t="str">
        <f>HYPERLINK("http://nlpdeep.cs.uic.edu:8080/proofing/t5/522567-24-hour-events-0-0.pdf","t5/522567-24-hour-events-0-0.pdf")</f>
        <v>t5/522567-24-hour-events-0-0.pdf</v>
      </c>
      <c r="F250">
        <v>120842</v>
      </c>
      <c r="G250">
        <v>522567</v>
      </c>
      <c r="H250" t="s">
        <v>9</v>
      </c>
      <c r="I250" t="s">
        <v>538</v>
      </c>
      <c r="J250" t="s">
        <v>3454</v>
      </c>
    </row>
    <row r="251" spans="1:10" x14ac:dyDescent="0.2">
      <c r="A251" t="s">
        <v>3780</v>
      </c>
      <c r="E251" t="str">
        <f>HYPERLINK("http://nlpdeep.cs.uic.edu:8080/proofing/gsii/522567-24-hour-events-0-0.pdf","gsii/522567-24-hour-events-0-0.pdf")</f>
        <v>gsii/522567-24-hour-events-0-0.pdf</v>
      </c>
      <c r="F251">
        <v>120842</v>
      </c>
      <c r="G251">
        <v>522567</v>
      </c>
      <c r="H251" t="s">
        <v>9</v>
      </c>
      <c r="I251" t="s">
        <v>538</v>
      </c>
      <c r="J251" t="s">
        <v>3454</v>
      </c>
    </row>
    <row r="252" spans="1:10" x14ac:dyDescent="0.2">
      <c r="A252" t="s">
        <v>3781</v>
      </c>
      <c r="E252" t="str">
        <f>HYPERLINK("http://nlpdeep.cs.uic.edu:8080/proofing/t5/522567-24-hour-events-0-1.pdf","t5/522567-24-hour-events-0-1.pdf")</f>
        <v>t5/522567-24-hour-events-0-1.pdf</v>
      </c>
      <c r="F252">
        <v>120842</v>
      </c>
      <c r="G252">
        <v>522567</v>
      </c>
      <c r="H252" t="s">
        <v>9</v>
      </c>
      <c r="I252" t="s">
        <v>538</v>
      </c>
      <c r="J252" t="s">
        <v>3456</v>
      </c>
    </row>
    <row r="253" spans="1:10" x14ac:dyDescent="0.2">
      <c r="A253" t="s">
        <v>3781</v>
      </c>
      <c r="E253" t="str">
        <f>HYPERLINK("http://nlpdeep.cs.uic.edu:8080/proofing/gsii/522567-24-hour-events-0-1.pdf","gsii/522567-24-hour-events-0-1.pdf")</f>
        <v>gsii/522567-24-hour-events-0-1.pdf</v>
      </c>
      <c r="F253">
        <v>120842</v>
      </c>
      <c r="G253">
        <v>522567</v>
      </c>
      <c r="H253" t="s">
        <v>9</v>
      </c>
      <c r="I253" t="s">
        <v>538</v>
      </c>
      <c r="J253" t="s">
        <v>3456</v>
      </c>
    </row>
    <row r="254" spans="1:10" x14ac:dyDescent="0.2">
      <c r="A254" t="s">
        <v>3782</v>
      </c>
      <c r="E254" t="str">
        <f>HYPERLINK("http://nlpdeep.cs.uic.edu:8080/proofing/t5/522567-allergies-0-0.pdf","t5/522567-allergies-0-0.pdf")</f>
        <v>t5/522567-allergies-0-0.pdf</v>
      </c>
      <c r="F254">
        <v>120842</v>
      </c>
      <c r="G254">
        <v>522567</v>
      </c>
      <c r="H254" t="s">
        <v>9</v>
      </c>
      <c r="I254" t="s">
        <v>64</v>
      </c>
      <c r="J254" t="s">
        <v>3458</v>
      </c>
    </row>
    <row r="255" spans="1:10" x14ac:dyDescent="0.2">
      <c r="A255" t="s">
        <v>3782</v>
      </c>
      <c r="E255" t="str">
        <f>HYPERLINK("http://nlpdeep.cs.uic.edu:8080/proofing/gsii/522567-allergies-0-0.pdf","gsii/522567-allergies-0-0.pdf")</f>
        <v>gsii/522567-allergies-0-0.pdf</v>
      </c>
      <c r="F255">
        <v>120842</v>
      </c>
      <c r="G255">
        <v>522567</v>
      </c>
      <c r="H255" t="s">
        <v>9</v>
      </c>
      <c r="I255" t="s">
        <v>64</v>
      </c>
      <c r="J255" t="s">
        <v>3458</v>
      </c>
    </row>
    <row r="256" spans="1:10" x14ac:dyDescent="0.2">
      <c r="A256" t="s">
        <v>3783</v>
      </c>
      <c r="E256" t="str">
        <f>HYPERLINK("http://nlpdeep.cs.uic.edu:8080/proofing/t5/522567-other-medications-0-0.pdf","t5/522567-other-medications-0-0.pdf")</f>
        <v>t5/522567-other-medications-0-0.pdf</v>
      </c>
      <c r="F256">
        <v>120842</v>
      </c>
      <c r="G256">
        <v>522567</v>
      </c>
      <c r="H256" t="s">
        <v>9</v>
      </c>
      <c r="I256" t="s">
        <v>67</v>
      </c>
      <c r="J256" t="s">
        <v>3460</v>
      </c>
    </row>
    <row r="257" spans="1:10" x14ac:dyDescent="0.2">
      <c r="A257" t="s">
        <v>3783</v>
      </c>
      <c r="E257" t="str">
        <f>HYPERLINK("http://nlpdeep.cs.uic.edu:8080/proofing/gsii/522567-other-medications-0-0.pdf","gsii/522567-other-medications-0-0.pdf")</f>
        <v>gsii/522567-other-medications-0-0.pdf</v>
      </c>
      <c r="F257">
        <v>120842</v>
      </c>
      <c r="G257">
        <v>522567</v>
      </c>
      <c r="H257" t="s">
        <v>9</v>
      </c>
      <c r="I257" t="s">
        <v>67</v>
      </c>
      <c r="J257" t="s">
        <v>3460</v>
      </c>
    </row>
    <row r="258" spans="1:10" x14ac:dyDescent="0.2">
      <c r="A258" t="s">
        <v>3784</v>
      </c>
      <c r="E258" t="str">
        <f>HYPERLINK("http://nlpdeep.cs.uic.edu:8080/proofing/t5/522567-review-of-systems-0-0.pdf","t5/522567-review-of-systems-0-0.pdf")</f>
        <v>t5/522567-review-of-systems-0-0.pdf</v>
      </c>
      <c r="F258">
        <v>120842</v>
      </c>
      <c r="G258">
        <v>522567</v>
      </c>
      <c r="H258" t="s">
        <v>9</v>
      </c>
      <c r="I258" t="s">
        <v>393</v>
      </c>
      <c r="J258" t="s">
        <v>3464</v>
      </c>
    </row>
    <row r="259" spans="1:10" x14ac:dyDescent="0.2">
      <c r="A259" t="s">
        <v>3784</v>
      </c>
      <c r="E259" t="str">
        <f>HYPERLINK("http://nlpdeep.cs.uic.edu:8080/proofing/gsii/522567-review-of-systems-0-0.pdf","gsii/522567-review-of-systems-0-0.pdf")</f>
        <v>gsii/522567-review-of-systems-0-0.pdf</v>
      </c>
      <c r="F259">
        <v>120842</v>
      </c>
      <c r="G259">
        <v>522567</v>
      </c>
      <c r="H259" t="s">
        <v>9</v>
      </c>
      <c r="I259" t="s">
        <v>393</v>
      </c>
      <c r="J259" t="s">
        <v>3464</v>
      </c>
    </row>
    <row r="260" spans="1:10" x14ac:dyDescent="0.2">
      <c r="A260" t="s">
        <v>3785</v>
      </c>
      <c r="E260" t="str">
        <f>HYPERLINK("http://nlpdeep.cs.uic.edu:8080/proofing/t5/522567-flowsheet-data-vitals-0-0.pdf","t5/522567-flowsheet-data-vitals-0-0.pdf")</f>
        <v>t5/522567-flowsheet-data-vitals-0-0.pdf</v>
      </c>
      <c r="F260">
        <v>120842</v>
      </c>
      <c r="G260">
        <v>522567</v>
      </c>
      <c r="H260" t="s">
        <v>9</v>
      </c>
      <c r="I260" t="s">
        <v>135</v>
      </c>
      <c r="J260" t="s">
        <v>3466</v>
      </c>
    </row>
    <row r="261" spans="1:10" x14ac:dyDescent="0.2">
      <c r="A261" t="s">
        <v>3785</v>
      </c>
      <c r="E261" t="str">
        <f>HYPERLINK("http://nlpdeep.cs.uic.edu:8080/proofing/gsii/522567-flowsheet-data-vitals-0-0.pdf","gsii/522567-flowsheet-data-vitals-0-0.pdf")</f>
        <v>gsii/522567-flowsheet-data-vitals-0-0.pdf</v>
      </c>
      <c r="F261">
        <v>120842</v>
      </c>
      <c r="G261">
        <v>522567</v>
      </c>
      <c r="H261" t="s">
        <v>9</v>
      </c>
      <c r="I261" t="s">
        <v>135</v>
      </c>
      <c r="J261" t="s">
        <v>3466</v>
      </c>
    </row>
    <row r="262" spans="1:10" x14ac:dyDescent="0.2">
      <c r="A262" t="s">
        <v>3786</v>
      </c>
      <c r="E262" t="str">
        <f>HYPERLINK("http://nlpdeep.cs.uic.edu:8080/proofing/t5/522567-physical-examination-0-0.pdf","t5/522567-physical-examination-0-0.pdf")</f>
        <v>t5/522567-physical-examination-0-0.pdf</v>
      </c>
      <c r="F262">
        <v>120842</v>
      </c>
      <c r="G262">
        <v>522567</v>
      </c>
      <c r="H262" t="s">
        <v>9</v>
      </c>
      <c r="I262" t="s">
        <v>138</v>
      </c>
      <c r="J262" t="s">
        <v>3468</v>
      </c>
    </row>
    <row r="263" spans="1:10" x14ac:dyDescent="0.2">
      <c r="A263" t="s">
        <v>3786</v>
      </c>
      <c r="E263" t="str">
        <f>HYPERLINK("http://nlpdeep.cs.uic.edu:8080/proofing/gsii/522567-physical-examination-0-0.pdf","gsii/522567-physical-examination-0-0.pdf")</f>
        <v>gsii/522567-physical-examination-0-0.pdf</v>
      </c>
      <c r="F263">
        <v>120842</v>
      </c>
      <c r="G263">
        <v>522567</v>
      </c>
      <c r="H263" t="s">
        <v>9</v>
      </c>
      <c r="I263" t="s">
        <v>138</v>
      </c>
      <c r="J263" t="s">
        <v>3468</v>
      </c>
    </row>
    <row r="264" spans="1:10" x14ac:dyDescent="0.2">
      <c r="A264" t="s">
        <v>3787</v>
      </c>
      <c r="E264" t="str">
        <f>HYPERLINK("http://nlpdeep.cs.uic.edu:8080/proofing/t5/522567-labs-imaging-0-0.pdf","t5/522567-labs-imaging-0-0.pdf")</f>
        <v>t5/522567-labs-imaging-0-0.pdf</v>
      </c>
      <c r="F264">
        <v>120842</v>
      </c>
      <c r="G264">
        <v>522567</v>
      </c>
      <c r="H264" t="s">
        <v>9</v>
      </c>
      <c r="I264" t="s">
        <v>147</v>
      </c>
      <c r="J264" t="s">
        <v>3470</v>
      </c>
    </row>
    <row r="265" spans="1:10" x14ac:dyDescent="0.2">
      <c r="A265" t="s">
        <v>3787</v>
      </c>
      <c r="E265" t="str">
        <f>HYPERLINK("http://nlpdeep.cs.uic.edu:8080/proofing/gsii/522567-labs-imaging-0-0.pdf","gsii/522567-labs-imaging-0-0.pdf")</f>
        <v>gsii/522567-labs-imaging-0-0.pdf</v>
      </c>
      <c r="F265">
        <v>120842</v>
      </c>
      <c r="G265">
        <v>522567</v>
      </c>
      <c r="H265" t="s">
        <v>9</v>
      </c>
      <c r="I265" t="s">
        <v>147</v>
      </c>
      <c r="J265" t="s">
        <v>3470</v>
      </c>
    </row>
    <row r="266" spans="1:10" x14ac:dyDescent="0.2">
      <c r="A266" t="s">
        <v>3788</v>
      </c>
      <c r="E266" t="str">
        <f>HYPERLINK("http://nlpdeep.cs.uic.edu:8080/proofing/t5/522567-labs-imaging-0-1.pdf","t5/522567-labs-imaging-0-1.pdf")</f>
        <v>t5/522567-labs-imaging-0-1.pdf</v>
      </c>
      <c r="F266">
        <v>120842</v>
      </c>
      <c r="G266">
        <v>522567</v>
      </c>
      <c r="H266" t="s">
        <v>9</v>
      </c>
      <c r="I266" t="s">
        <v>147</v>
      </c>
      <c r="J266" t="s">
        <v>3472</v>
      </c>
    </row>
    <row r="267" spans="1:10" x14ac:dyDescent="0.2">
      <c r="A267" t="s">
        <v>3788</v>
      </c>
      <c r="E267" t="str">
        <f>HYPERLINK("http://nlpdeep.cs.uic.edu:8080/proofing/gsii/522567-labs-imaging-0-1.pdf","gsii/522567-labs-imaging-0-1.pdf")</f>
        <v>gsii/522567-labs-imaging-0-1.pdf</v>
      </c>
      <c r="F267">
        <v>120842</v>
      </c>
      <c r="G267">
        <v>522567</v>
      </c>
      <c r="H267" t="s">
        <v>9</v>
      </c>
      <c r="I267" t="s">
        <v>147</v>
      </c>
      <c r="J267" t="s">
        <v>3472</v>
      </c>
    </row>
    <row r="268" spans="1:10" x14ac:dyDescent="0.2">
      <c r="A268" t="s">
        <v>3789</v>
      </c>
      <c r="E268" t="str">
        <f>HYPERLINK("http://nlpdeep.cs.uic.edu:8080/proofing/t5/522567-labs-imaging-0-2.pdf","t5/522567-labs-imaging-0-2.pdf")</f>
        <v>t5/522567-labs-imaging-0-2.pdf</v>
      </c>
      <c r="F268">
        <v>120842</v>
      </c>
      <c r="G268">
        <v>522567</v>
      </c>
      <c r="H268" t="s">
        <v>9</v>
      </c>
      <c r="I268" t="s">
        <v>147</v>
      </c>
      <c r="J268" t="s">
        <v>3474</v>
      </c>
    </row>
    <row r="269" spans="1:10" x14ac:dyDescent="0.2">
      <c r="A269" t="s">
        <v>3789</v>
      </c>
      <c r="E269" t="str">
        <f>HYPERLINK("http://nlpdeep.cs.uic.edu:8080/proofing/gsii/522567-labs-imaging-0-2.pdf","gsii/522567-labs-imaging-0-2.pdf")</f>
        <v>gsii/522567-labs-imaging-0-2.pdf</v>
      </c>
      <c r="F269">
        <v>120842</v>
      </c>
      <c r="G269">
        <v>522567</v>
      </c>
      <c r="H269" t="s">
        <v>9</v>
      </c>
      <c r="I269" t="s">
        <v>147</v>
      </c>
      <c r="J269" t="s">
        <v>3474</v>
      </c>
    </row>
    <row r="270" spans="1:10" x14ac:dyDescent="0.2">
      <c r="A270" t="s">
        <v>3790</v>
      </c>
      <c r="E270" t="str">
        <f>HYPERLINK("http://nlpdeep.cs.uic.edu:8080/proofing/t5/522567-labs-imaging-0-3.pdf","t5/522567-labs-imaging-0-3.pdf")</f>
        <v>t5/522567-labs-imaging-0-3.pdf</v>
      </c>
      <c r="F270">
        <v>120842</v>
      </c>
      <c r="G270">
        <v>522567</v>
      </c>
      <c r="H270" t="s">
        <v>9</v>
      </c>
      <c r="I270" t="s">
        <v>147</v>
      </c>
      <c r="J270" t="s">
        <v>3476</v>
      </c>
    </row>
    <row r="271" spans="1:10" x14ac:dyDescent="0.2">
      <c r="A271" t="s">
        <v>3790</v>
      </c>
      <c r="E271" t="str">
        <f>HYPERLINK("http://nlpdeep.cs.uic.edu:8080/proofing/gsii/522567-labs-imaging-0-3.pdf","gsii/522567-labs-imaging-0-3.pdf")</f>
        <v>gsii/522567-labs-imaging-0-3.pdf</v>
      </c>
      <c r="F271">
        <v>120842</v>
      </c>
      <c r="G271">
        <v>522567</v>
      </c>
      <c r="H271" t="s">
        <v>9</v>
      </c>
      <c r="I271" t="s">
        <v>147</v>
      </c>
      <c r="J271" t="s">
        <v>3476</v>
      </c>
    </row>
    <row r="272" spans="1:10" x14ac:dyDescent="0.2">
      <c r="A272" t="s">
        <v>3791</v>
      </c>
      <c r="E272" t="str">
        <f>HYPERLINK("http://nlpdeep.cs.uic.edu:8080/proofing/t5/522567-labs-imaging-0-4.pdf","t5/522567-labs-imaging-0-4.pdf")</f>
        <v>t5/522567-labs-imaging-0-4.pdf</v>
      </c>
      <c r="F272">
        <v>120842</v>
      </c>
      <c r="G272">
        <v>522567</v>
      </c>
      <c r="H272" t="s">
        <v>9</v>
      </c>
      <c r="I272" t="s">
        <v>147</v>
      </c>
      <c r="J272" t="s">
        <v>3478</v>
      </c>
    </row>
    <row r="273" spans="1:10" x14ac:dyDescent="0.2">
      <c r="A273" t="s">
        <v>3791</v>
      </c>
      <c r="E273" t="str">
        <f>HYPERLINK("http://nlpdeep.cs.uic.edu:8080/proofing/gsii/522567-labs-imaging-0-4.pdf","gsii/522567-labs-imaging-0-4.pdf")</f>
        <v>gsii/522567-labs-imaging-0-4.pdf</v>
      </c>
      <c r="F273">
        <v>120842</v>
      </c>
      <c r="G273">
        <v>522567</v>
      </c>
      <c r="H273" t="s">
        <v>9</v>
      </c>
      <c r="I273" t="s">
        <v>147</v>
      </c>
      <c r="J273" t="s">
        <v>3478</v>
      </c>
    </row>
    <row r="274" spans="1:10" x14ac:dyDescent="0.2">
      <c r="A274" t="s">
        <v>3792</v>
      </c>
      <c r="E274" t="str">
        <f>HYPERLINK("http://nlpdeep.cs.uic.edu:8080/proofing/t5/522567-assessment-and-plan-0-0.pdf","t5/522567-assessment-and-plan-0-0.pdf")</f>
        <v>t5/522567-assessment-and-plan-0-0.pdf</v>
      </c>
      <c r="F274">
        <v>120842</v>
      </c>
      <c r="G274">
        <v>522567</v>
      </c>
      <c r="H274" t="s">
        <v>9</v>
      </c>
      <c r="I274" t="s">
        <v>195</v>
      </c>
      <c r="J274" t="s">
        <v>3793</v>
      </c>
    </row>
    <row r="275" spans="1:10" x14ac:dyDescent="0.2">
      <c r="A275" t="s">
        <v>3792</v>
      </c>
      <c r="E275" t="str">
        <f>HYPERLINK("http://nlpdeep.cs.uic.edu:8080/proofing/gsii/522567-assessment-and-plan-0-0.pdf","gsii/522567-assessment-and-plan-0-0.pdf")</f>
        <v>gsii/522567-assessment-and-plan-0-0.pdf</v>
      </c>
      <c r="F275">
        <v>120842</v>
      </c>
      <c r="G275">
        <v>522567</v>
      </c>
      <c r="H275" t="s">
        <v>9</v>
      </c>
      <c r="I275" t="s">
        <v>195</v>
      </c>
      <c r="J275" t="s">
        <v>3793</v>
      </c>
    </row>
    <row r="276" spans="1:10" x14ac:dyDescent="0.2">
      <c r="A276" t="s">
        <v>3794</v>
      </c>
      <c r="E276" t="str">
        <f>HYPERLINK("http://nlpdeep.cs.uic.edu:8080/proofing/t5/522567-assessment-and-plan-1-0.pdf","t5/522567-assessment-and-plan-1-0.pdf")</f>
        <v>t5/522567-assessment-and-plan-1-0.pdf</v>
      </c>
      <c r="F276">
        <v>120842</v>
      </c>
      <c r="G276">
        <v>522567</v>
      </c>
      <c r="H276" t="s">
        <v>9</v>
      </c>
      <c r="I276" t="s">
        <v>195</v>
      </c>
      <c r="J276" t="s">
        <v>3482</v>
      </c>
    </row>
    <row r="277" spans="1:10" x14ac:dyDescent="0.2">
      <c r="A277" t="s">
        <v>3794</v>
      </c>
      <c r="E277" t="str">
        <f>HYPERLINK("http://nlpdeep.cs.uic.edu:8080/proofing/gsii/522567-assessment-and-plan-1-0.pdf","gsii/522567-assessment-and-plan-1-0.pdf")</f>
        <v>gsii/522567-assessment-and-plan-1-0.pdf</v>
      </c>
      <c r="F277">
        <v>120842</v>
      </c>
      <c r="G277">
        <v>522567</v>
      </c>
      <c r="H277" t="s">
        <v>9</v>
      </c>
      <c r="I277" t="s">
        <v>195</v>
      </c>
      <c r="J277" t="s">
        <v>3482</v>
      </c>
    </row>
    <row r="278" spans="1:10" x14ac:dyDescent="0.2">
      <c r="A278" t="s">
        <v>3795</v>
      </c>
      <c r="E278" t="str">
        <f>HYPERLINK("http://nlpdeep.cs.uic.edu:8080/proofing/t5/522567-assessment-and-plan-1-1.pdf","t5/522567-assessment-and-plan-1-1.pdf")</f>
        <v>t5/522567-assessment-and-plan-1-1.pdf</v>
      </c>
      <c r="F278">
        <v>120842</v>
      </c>
      <c r="G278">
        <v>522567</v>
      </c>
      <c r="H278" t="s">
        <v>9</v>
      </c>
      <c r="I278" t="s">
        <v>195</v>
      </c>
      <c r="J278" t="s">
        <v>3484</v>
      </c>
    </row>
    <row r="279" spans="1:10" x14ac:dyDescent="0.2">
      <c r="A279" t="s">
        <v>3795</v>
      </c>
      <c r="E279" t="str">
        <f>HYPERLINK("http://nlpdeep.cs.uic.edu:8080/proofing/gsii/522567-assessment-and-plan-1-1.pdf","gsii/522567-assessment-and-plan-1-1.pdf")</f>
        <v>gsii/522567-assessment-and-plan-1-1.pdf</v>
      </c>
      <c r="F279">
        <v>120842</v>
      </c>
      <c r="G279">
        <v>522567</v>
      </c>
      <c r="H279" t="s">
        <v>9</v>
      </c>
      <c r="I279" t="s">
        <v>195</v>
      </c>
      <c r="J279" t="s">
        <v>3484</v>
      </c>
    </row>
    <row r="280" spans="1:10" x14ac:dyDescent="0.2">
      <c r="A280" t="s">
        <v>3796</v>
      </c>
      <c r="E280" t="str">
        <f>HYPERLINK("http://nlpdeep.cs.uic.edu:8080/proofing/t5/522567-assessment-and-plan-1-2.pdf","t5/522567-assessment-and-plan-1-2.pdf")</f>
        <v>t5/522567-assessment-and-plan-1-2.pdf</v>
      </c>
      <c r="F280">
        <v>120842</v>
      </c>
      <c r="G280">
        <v>522567</v>
      </c>
      <c r="H280" t="s">
        <v>9</v>
      </c>
      <c r="I280" t="s">
        <v>195</v>
      </c>
      <c r="J280" t="s">
        <v>3486</v>
      </c>
    </row>
    <row r="281" spans="1:10" x14ac:dyDescent="0.2">
      <c r="A281" t="s">
        <v>3796</v>
      </c>
      <c r="E281" t="str">
        <f>HYPERLINK("http://nlpdeep.cs.uic.edu:8080/proofing/gsii/522567-assessment-and-plan-1-2.pdf","gsii/522567-assessment-and-plan-1-2.pdf")</f>
        <v>gsii/522567-assessment-and-plan-1-2.pdf</v>
      </c>
      <c r="F281">
        <v>120842</v>
      </c>
      <c r="G281">
        <v>522567</v>
      </c>
      <c r="H281" t="s">
        <v>9</v>
      </c>
      <c r="I281" t="s">
        <v>195</v>
      </c>
      <c r="J281" t="s">
        <v>3486</v>
      </c>
    </row>
    <row r="282" spans="1:10" x14ac:dyDescent="0.2">
      <c r="A282" t="s">
        <v>3797</v>
      </c>
      <c r="E282" t="str">
        <f>HYPERLINK("http://nlpdeep.cs.uic.edu:8080/proofing/t5/522567-assessment-and-plan-1-3.pdf","t5/522567-assessment-and-plan-1-3.pdf")</f>
        <v>t5/522567-assessment-and-plan-1-3.pdf</v>
      </c>
      <c r="F282">
        <v>120842</v>
      </c>
      <c r="G282">
        <v>522567</v>
      </c>
      <c r="H282" t="s">
        <v>9</v>
      </c>
      <c r="I282" t="s">
        <v>195</v>
      </c>
      <c r="J282" t="s">
        <v>3488</v>
      </c>
    </row>
    <row r="283" spans="1:10" x14ac:dyDescent="0.2">
      <c r="A283" t="s">
        <v>3797</v>
      </c>
      <c r="E283" t="str">
        <f>HYPERLINK("http://nlpdeep.cs.uic.edu:8080/proofing/gsii/522567-assessment-and-plan-1-3.pdf","gsii/522567-assessment-and-plan-1-3.pdf")</f>
        <v>gsii/522567-assessment-and-plan-1-3.pdf</v>
      </c>
      <c r="F283">
        <v>120842</v>
      </c>
      <c r="G283">
        <v>522567</v>
      </c>
      <c r="H283" t="s">
        <v>9</v>
      </c>
      <c r="I283" t="s">
        <v>195</v>
      </c>
      <c r="J283" t="s">
        <v>3488</v>
      </c>
    </row>
    <row r="284" spans="1:10" x14ac:dyDescent="0.2">
      <c r="A284" t="s">
        <v>3798</v>
      </c>
      <c r="E284" t="str">
        <f>HYPERLINK("http://nlpdeep.cs.uic.edu:8080/proofing/t5/522567-assessment-and-plan-1-4.pdf","t5/522567-assessment-and-plan-1-4.pdf")</f>
        <v>t5/522567-assessment-and-plan-1-4.pdf</v>
      </c>
      <c r="F284">
        <v>120842</v>
      </c>
      <c r="G284">
        <v>522567</v>
      </c>
      <c r="H284" t="s">
        <v>9</v>
      </c>
      <c r="I284" t="s">
        <v>195</v>
      </c>
      <c r="J284" t="s">
        <v>3490</v>
      </c>
    </row>
    <row r="285" spans="1:10" x14ac:dyDescent="0.2">
      <c r="A285" t="s">
        <v>3798</v>
      </c>
      <c r="E285" t="str">
        <f>HYPERLINK("http://nlpdeep.cs.uic.edu:8080/proofing/gsii/522567-assessment-and-plan-1-4.pdf","gsii/522567-assessment-and-plan-1-4.pdf")</f>
        <v>gsii/522567-assessment-and-plan-1-4.pdf</v>
      </c>
      <c r="F285">
        <v>120842</v>
      </c>
      <c r="G285">
        <v>522567</v>
      </c>
      <c r="H285" t="s">
        <v>9</v>
      </c>
      <c r="I285" t="s">
        <v>195</v>
      </c>
      <c r="J285" t="s">
        <v>3490</v>
      </c>
    </row>
    <row r="286" spans="1:10" x14ac:dyDescent="0.2">
      <c r="A286" t="s">
        <v>3799</v>
      </c>
      <c r="E286" t="str">
        <f>HYPERLINK("http://nlpdeep.cs.uic.edu:8080/proofing/t5/522567-assessment-and-plan-1-5.pdf","t5/522567-assessment-and-plan-1-5.pdf")</f>
        <v>t5/522567-assessment-and-plan-1-5.pdf</v>
      </c>
      <c r="F286">
        <v>120842</v>
      </c>
      <c r="G286">
        <v>522567</v>
      </c>
      <c r="H286" t="s">
        <v>9</v>
      </c>
      <c r="I286" t="s">
        <v>195</v>
      </c>
      <c r="J286" t="s">
        <v>3492</v>
      </c>
    </row>
    <row r="287" spans="1:10" x14ac:dyDescent="0.2">
      <c r="A287" t="s">
        <v>3799</v>
      </c>
      <c r="E287" t="str">
        <f>HYPERLINK("http://nlpdeep.cs.uic.edu:8080/proofing/gsii/522567-assessment-and-plan-1-5.pdf","gsii/522567-assessment-and-plan-1-5.pdf")</f>
        <v>gsii/522567-assessment-and-plan-1-5.pdf</v>
      </c>
      <c r="F287">
        <v>120842</v>
      </c>
      <c r="G287">
        <v>522567</v>
      </c>
      <c r="H287" t="s">
        <v>9</v>
      </c>
      <c r="I287" t="s">
        <v>195</v>
      </c>
      <c r="J287" t="s">
        <v>3492</v>
      </c>
    </row>
    <row r="288" spans="1:10" x14ac:dyDescent="0.2">
      <c r="A288" t="s">
        <v>3800</v>
      </c>
      <c r="E288" t="str">
        <f>HYPERLINK("http://nlpdeep.cs.uic.edu:8080/proofing/t5/522567-assessment-and-plan-1-6.pdf","t5/522567-assessment-and-plan-1-6.pdf")</f>
        <v>t5/522567-assessment-and-plan-1-6.pdf</v>
      </c>
      <c r="F288">
        <v>120842</v>
      </c>
      <c r="G288">
        <v>522567</v>
      </c>
      <c r="H288" t="s">
        <v>9</v>
      </c>
      <c r="I288" t="s">
        <v>195</v>
      </c>
      <c r="J288" t="s">
        <v>3494</v>
      </c>
    </row>
    <row r="289" spans="1:10" x14ac:dyDescent="0.2">
      <c r="A289" t="s">
        <v>3800</v>
      </c>
      <c r="E289" t="str">
        <f>HYPERLINK("http://nlpdeep.cs.uic.edu:8080/proofing/gsii/522567-assessment-and-plan-1-6.pdf","gsii/522567-assessment-and-plan-1-6.pdf")</f>
        <v>gsii/522567-assessment-and-plan-1-6.pdf</v>
      </c>
      <c r="F289">
        <v>120842</v>
      </c>
      <c r="G289">
        <v>522567</v>
      </c>
      <c r="H289" t="s">
        <v>9</v>
      </c>
      <c r="I289" t="s">
        <v>195</v>
      </c>
      <c r="J289" t="s">
        <v>3494</v>
      </c>
    </row>
    <row r="290" spans="1:10" x14ac:dyDescent="0.2">
      <c r="A290" t="s">
        <v>3801</v>
      </c>
      <c r="E290" t="str">
        <f>HYPERLINK("http://nlpdeep.cs.uic.edu:8080/proofing/t5/522567-assessment-and-plan-1-7.pdf","t5/522567-assessment-and-plan-1-7.pdf")</f>
        <v>t5/522567-assessment-and-plan-1-7.pdf</v>
      </c>
      <c r="F290">
        <v>120842</v>
      </c>
      <c r="G290">
        <v>522567</v>
      </c>
      <c r="H290" t="s">
        <v>9</v>
      </c>
      <c r="I290" t="s">
        <v>195</v>
      </c>
      <c r="J290" t="s">
        <v>3496</v>
      </c>
    </row>
    <row r="291" spans="1:10" x14ac:dyDescent="0.2">
      <c r="A291" t="s">
        <v>3801</v>
      </c>
      <c r="E291" t="str">
        <f>HYPERLINK("http://nlpdeep.cs.uic.edu:8080/proofing/gsii/522567-assessment-and-plan-1-7.pdf","gsii/522567-assessment-and-plan-1-7.pdf")</f>
        <v>gsii/522567-assessment-and-plan-1-7.pdf</v>
      </c>
      <c r="F291">
        <v>120842</v>
      </c>
      <c r="G291">
        <v>522567</v>
      </c>
      <c r="H291" t="s">
        <v>9</v>
      </c>
      <c r="I291" t="s">
        <v>195</v>
      </c>
      <c r="J291" t="s">
        <v>3496</v>
      </c>
    </row>
    <row r="292" spans="1:10" x14ac:dyDescent="0.2">
      <c r="A292" t="s">
        <v>3802</v>
      </c>
      <c r="E292" t="str">
        <f>HYPERLINK("http://nlpdeep.cs.uic.edu:8080/proofing/t5/522567-assessment-and-plan-1-8.pdf","t5/522567-assessment-and-plan-1-8.pdf")</f>
        <v>t5/522567-assessment-and-plan-1-8.pdf</v>
      </c>
      <c r="F292">
        <v>120842</v>
      </c>
      <c r="G292">
        <v>522567</v>
      </c>
      <c r="H292" t="s">
        <v>9</v>
      </c>
      <c r="I292" t="s">
        <v>195</v>
      </c>
      <c r="J292" t="s">
        <v>3498</v>
      </c>
    </row>
    <row r="293" spans="1:10" x14ac:dyDescent="0.2">
      <c r="A293" t="s">
        <v>3802</v>
      </c>
      <c r="E293" t="str">
        <f>HYPERLINK("http://nlpdeep.cs.uic.edu:8080/proofing/gsii/522567-assessment-and-plan-1-8.pdf","gsii/522567-assessment-and-plan-1-8.pdf")</f>
        <v>gsii/522567-assessment-and-plan-1-8.pdf</v>
      </c>
      <c r="F293">
        <v>120842</v>
      </c>
      <c r="G293">
        <v>522567</v>
      </c>
      <c r="H293" t="s">
        <v>9</v>
      </c>
      <c r="I293" t="s">
        <v>195</v>
      </c>
      <c r="J293" t="s">
        <v>3498</v>
      </c>
    </row>
    <row r="294" spans="1:10" x14ac:dyDescent="0.2">
      <c r="A294" t="s">
        <v>3803</v>
      </c>
      <c r="E294" t="str">
        <f>HYPERLINK("http://nlpdeep.cs.uic.edu:8080/proofing/t5/522567-assessment-and-plan-1-9.pdf","t5/522567-assessment-and-plan-1-9.pdf")</f>
        <v>t5/522567-assessment-and-plan-1-9.pdf</v>
      </c>
      <c r="F294">
        <v>120842</v>
      </c>
      <c r="G294">
        <v>522567</v>
      </c>
      <c r="H294" t="s">
        <v>9</v>
      </c>
      <c r="I294" t="s">
        <v>195</v>
      </c>
      <c r="J294" t="s">
        <v>3500</v>
      </c>
    </row>
    <row r="295" spans="1:10" x14ac:dyDescent="0.2">
      <c r="A295" t="s">
        <v>3803</v>
      </c>
      <c r="E295" t="str">
        <f>HYPERLINK("http://nlpdeep.cs.uic.edu:8080/proofing/gsii/522567-assessment-and-plan-1-9.pdf","gsii/522567-assessment-and-plan-1-9.pdf")</f>
        <v>gsii/522567-assessment-and-plan-1-9.pdf</v>
      </c>
      <c r="F295">
        <v>120842</v>
      </c>
      <c r="G295">
        <v>522567</v>
      </c>
      <c r="H295" t="s">
        <v>9</v>
      </c>
      <c r="I295" t="s">
        <v>195</v>
      </c>
      <c r="J295" t="s">
        <v>3500</v>
      </c>
    </row>
    <row r="296" spans="1:10" x14ac:dyDescent="0.2">
      <c r="A296" t="s">
        <v>3804</v>
      </c>
      <c r="E296" t="str">
        <f>HYPERLINK("http://nlpdeep.cs.uic.edu:8080/proofing/t5/522567-assessment-and-plan-1-10.pdf","t5/522567-assessment-and-plan-1-10.pdf")</f>
        <v>t5/522567-assessment-and-plan-1-10.pdf</v>
      </c>
      <c r="F296">
        <v>120842</v>
      </c>
      <c r="G296">
        <v>522567</v>
      </c>
      <c r="H296" t="s">
        <v>9</v>
      </c>
      <c r="I296" t="s">
        <v>195</v>
      </c>
    </row>
    <row r="297" spans="1:10" x14ac:dyDescent="0.2">
      <c r="A297" t="s">
        <v>3804</v>
      </c>
      <c r="E297" t="str">
        <f>HYPERLINK("http://nlpdeep.cs.uic.edu:8080/proofing/gsii/522567-assessment-and-plan-1-10.pdf","gsii/522567-assessment-and-plan-1-10.pdf")</f>
        <v>gsii/522567-assessment-and-plan-1-10.pdf</v>
      </c>
      <c r="F297">
        <v>120842</v>
      </c>
      <c r="G297">
        <v>522567</v>
      </c>
      <c r="H297" t="s">
        <v>9</v>
      </c>
      <c r="I297" t="s">
        <v>195</v>
      </c>
    </row>
    <row r="298" spans="1:10" x14ac:dyDescent="0.2">
      <c r="A298" t="s">
        <v>3805</v>
      </c>
      <c r="E298" t="str">
        <f>HYPERLINK("http://nlpdeep.cs.uic.edu:8080/proofing/t5/522567-assessment-and-plan-2-0.pdf","t5/522567-assessment-and-plan-2-0.pdf")</f>
        <v>t5/522567-assessment-and-plan-2-0.pdf</v>
      </c>
      <c r="F298">
        <v>120842</v>
      </c>
      <c r="G298">
        <v>522567</v>
      </c>
      <c r="H298" t="s">
        <v>9</v>
      </c>
      <c r="I298" t="s">
        <v>195</v>
      </c>
      <c r="J298" t="s">
        <v>3503</v>
      </c>
    </row>
    <row r="299" spans="1:10" x14ac:dyDescent="0.2">
      <c r="A299" t="s">
        <v>3805</v>
      </c>
      <c r="E299" t="str">
        <f>HYPERLINK("http://nlpdeep.cs.uic.edu:8080/proofing/gsii/522567-assessment-and-plan-2-0.pdf","gsii/522567-assessment-and-plan-2-0.pdf")</f>
        <v>gsii/522567-assessment-and-plan-2-0.pdf</v>
      </c>
      <c r="F299">
        <v>120842</v>
      </c>
      <c r="G299">
        <v>522567</v>
      </c>
      <c r="H299" t="s">
        <v>9</v>
      </c>
      <c r="I299" t="s">
        <v>195</v>
      </c>
      <c r="J299" t="s">
        <v>3503</v>
      </c>
    </row>
    <row r="300" spans="1:10" x14ac:dyDescent="0.2">
      <c r="A300" t="s">
        <v>3806</v>
      </c>
      <c r="E300" t="str">
        <f>HYPERLINK("http://nlpdeep.cs.uic.edu:8080/proofing/t5/522567-assessment-and-plan-2-1.pdf","t5/522567-assessment-and-plan-2-1.pdf")</f>
        <v>t5/522567-assessment-and-plan-2-1.pdf</v>
      </c>
      <c r="F300">
        <v>120842</v>
      </c>
      <c r="G300">
        <v>522567</v>
      </c>
      <c r="H300" t="s">
        <v>9</v>
      </c>
      <c r="I300" t="s">
        <v>195</v>
      </c>
      <c r="J300" t="s">
        <v>3807</v>
      </c>
    </row>
    <row r="301" spans="1:10" x14ac:dyDescent="0.2">
      <c r="A301" t="s">
        <v>3806</v>
      </c>
      <c r="E301" t="str">
        <f>HYPERLINK("http://nlpdeep.cs.uic.edu:8080/proofing/gsii/522567-assessment-and-plan-2-1.pdf","gsii/522567-assessment-and-plan-2-1.pdf")</f>
        <v>gsii/522567-assessment-and-plan-2-1.pdf</v>
      </c>
      <c r="F301">
        <v>120842</v>
      </c>
      <c r="G301">
        <v>522567</v>
      </c>
      <c r="H301" t="s">
        <v>9</v>
      </c>
      <c r="I301" t="s">
        <v>195</v>
      </c>
      <c r="J301" t="s">
        <v>3807</v>
      </c>
    </row>
    <row r="302" spans="1:10" x14ac:dyDescent="0.2">
      <c r="A302" t="s">
        <v>3808</v>
      </c>
      <c r="E302" t="str">
        <f>HYPERLINK("http://nlpdeep.cs.uic.edu:8080/proofing/t5/522567-assessment-and-plan-2-2.pdf","t5/522567-assessment-and-plan-2-2.pdf")</f>
        <v>t5/522567-assessment-and-plan-2-2.pdf</v>
      </c>
      <c r="F302">
        <v>120842</v>
      </c>
      <c r="G302">
        <v>522567</v>
      </c>
      <c r="H302" t="s">
        <v>9</v>
      </c>
      <c r="I302" t="s">
        <v>195</v>
      </c>
      <c r="J302" t="s">
        <v>3507</v>
      </c>
    </row>
    <row r="303" spans="1:10" x14ac:dyDescent="0.2">
      <c r="A303" t="s">
        <v>3808</v>
      </c>
      <c r="E303" t="str">
        <f>HYPERLINK("http://nlpdeep.cs.uic.edu:8080/proofing/gsii/522567-assessment-and-plan-2-2.pdf","gsii/522567-assessment-and-plan-2-2.pdf")</f>
        <v>gsii/522567-assessment-and-plan-2-2.pdf</v>
      </c>
      <c r="F303">
        <v>120842</v>
      </c>
      <c r="G303">
        <v>522567</v>
      </c>
      <c r="H303" t="s">
        <v>9</v>
      </c>
      <c r="I303" t="s">
        <v>195</v>
      </c>
      <c r="J303" t="s">
        <v>3507</v>
      </c>
    </row>
    <row r="304" spans="1:10" x14ac:dyDescent="0.2">
      <c r="A304" t="s">
        <v>3809</v>
      </c>
      <c r="E304" t="str">
        <f>HYPERLINK("http://nlpdeep.cs.uic.edu:8080/proofing/t5/522567-assessment-and-plan-2-3.pdf","t5/522567-assessment-and-plan-2-3.pdf")</f>
        <v>t5/522567-assessment-and-plan-2-3.pdf</v>
      </c>
      <c r="F304">
        <v>120842</v>
      </c>
      <c r="G304">
        <v>522567</v>
      </c>
      <c r="H304" t="s">
        <v>9</v>
      </c>
      <c r="I304" t="s">
        <v>195</v>
      </c>
      <c r="J304" t="s">
        <v>3509</v>
      </c>
    </row>
    <row r="305" spans="1:10" x14ac:dyDescent="0.2">
      <c r="A305" t="s">
        <v>3809</v>
      </c>
      <c r="E305" t="str">
        <f>HYPERLINK("http://nlpdeep.cs.uic.edu:8080/proofing/gsii/522567-assessment-and-plan-2-3.pdf","gsii/522567-assessment-and-plan-2-3.pdf")</f>
        <v>gsii/522567-assessment-and-plan-2-3.pdf</v>
      </c>
      <c r="F305">
        <v>120842</v>
      </c>
      <c r="G305">
        <v>522567</v>
      </c>
      <c r="H305" t="s">
        <v>9</v>
      </c>
      <c r="I305" t="s">
        <v>195</v>
      </c>
      <c r="J305" t="s">
        <v>3509</v>
      </c>
    </row>
    <row r="306" spans="1:10" x14ac:dyDescent="0.2">
      <c r="A306" t="s">
        <v>3810</v>
      </c>
      <c r="E306" t="str">
        <f>HYPERLINK("http://nlpdeep.cs.uic.edu:8080/proofing/t5/522567-assessment-and-plan-2-4.pdf","t5/522567-assessment-and-plan-2-4.pdf")</f>
        <v>t5/522567-assessment-and-plan-2-4.pdf</v>
      </c>
      <c r="F306">
        <v>120842</v>
      </c>
      <c r="G306">
        <v>522567</v>
      </c>
      <c r="H306" t="s">
        <v>9</v>
      </c>
      <c r="I306" t="s">
        <v>195</v>
      </c>
      <c r="J306" t="s">
        <v>3511</v>
      </c>
    </row>
    <row r="307" spans="1:10" x14ac:dyDescent="0.2">
      <c r="A307" t="s">
        <v>3810</v>
      </c>
      <c r="E307" t="str">
        <f>HYPERLINK("http://nlpdeep.cs.uic.edu:8080/proofing/gsii/522567-assessment-and-plan-2-4.pdf","gsii/522567-assessment-and-plan-2-4.pdf")</f>
        <v>gsii/522567-assessment-and-plan-2-4.pdf</v>
      </c>
      <c r="F307">
        <v>120842</v>
      </c>
      <c r="G307">
        <v>522567</v>
      </c>
      <c r="H307" t="s">
        <v>9</v>
      </c>
      <c r="I307" t="s">
        <v>195</v>
      </c>
      <c r="J307" t="s">
        <v>3511</v>
      </c>
    </row>
    <row r="308" spans="1:10" x14ac:dyDescent="0.2">
      <c r="A308" t="s">
        <v>3811</v>
      </c>
      <c r="E308" t="str">
        <f>HYPERLINK("http://nlpdeep.cs.uic.edu:8080/proofing/t5/522567-assessment-and-plan-2-5.pdf","t5/522567-assessment-and-plan-2-5.pdf")</f>
        <v>t5/522567-assessment-and-plan-2-5.pdf</v>
      </c>
      <c r="F308">
        <v>120842</v>
      </c>
      <c r="G308">
        <v>522567</v>
      </c>
      <c r="H308" t="s">
        <v>9</v>
      </c>
      <c r="I308" t="s">
        <v>195</v>
      </c>
    </row>
    <row r="309" spans="1:10" x14ac:dyDescent="0.2">
      <c r="A309" t="s">
        <v>3811</v>
      </c>
      <c r="E309" t="str">
        <f>HYPERLINK("http://nlpdeep.cs.uic.edu:8080/proofing/gsii/522567-assessment-and-plan-2-5.pdf","gsii/522567-assessment-and-plan-2-5.pdf")</f>
        <v>gsii/522567-assessment-and-plan-2-5.pdf</v>
      </c>
      <c r="F309">
        <v>120842</v>
      </c>
      <c r="G309">
        <v>522567</v>
      </c>
      <c r="H309" t="s">
        <v>9</v>
      </c>
      <c r="I309" t="s">
        <v>195</v>
      </c>
    </row>
    <row r="310" spans="1:10" x14ac:dyDescent="0.2">
      <c r="A310" t="s">
        <v>3812</v>
      </c>
      <c r="E310" t="str">
        <f>HYPERLINK("http://nlpdeep.cs.uic.edu:8080/proofing/t5/522567-assessment-and-plan-3-0.pdf","t5/522567-assessment-and-plan-3-0.pdf")</f>
        <v>t5/522567-assessment-and-plan-3-0.pdf</v>
      </c>
      <c r="F310">
        <v>120842</v>
      </c>
      <c r="G310">
        <v>522567</v>
      </c>
      <c r="H310" t="s">
        <v>9</v>
      </c>
      <c r="I310" t="s">
        <v>195</v>
      </c>
      <c r="J310" t="s">
        <v>3514</v>
      </c>
    </row>
    <row r="311" spans="1:10" x14ac:dyDescent="0.2">
      <c r="A311" t="s">
        <v>3812</v>
      </c>
      <c r="E311" t="str">
        <f>HYPERLINK("http://nlpdeep.cs.uic.edu:8080/proofing/gsii/522567-assessment-and-plan-3-0.pdf","gsii/522567-assessment-and-plan-3-0.pdf")</f>
        <v>gsii/522567-assessment-and-plan-3-0.pdf</v>
      </c>
      <c r="F311">
        <v>120842</v>
      </c>
      <c r="G311">
        <v>522567</v>
      </c>
      <c r="H311" t="s">
        <v>9</v>
      </c>
      <c r="I311" t="s">
        <v>195</v>
      </c>
      <c r="J311" t="s">
        <v>3514</v>
      </c>
    </row>
    <row r="312" spans="1:10" x14ac:dyDescent="0.2">
      <c r="A312" t="s">
        <v>3813</v>
      </c>
      <c r="E312" t="str">
        <f>HYPERLINK("http://nlpdeep.cs.uic.edu:8080/proofing/t5/522567-assessment-and-plan-3-1.pdf","t5/522567-assessment-and-plan-3-1.pdf")</f>
        <v>t5/522567-assessment-and-plan-3-1.pdf</v>
      </c>
      <c r="F312">
        <v>120842</v>
      </c>
      <c r="G312">
        <v>522567</v>
      </c>
      <c r="H312" t="s">
        <v>9</v>
      </c>
      <c r="I312" t="s">
        <v>195</v>
      </c>
      <c r="J312" t="s">
        <v>3516</v>
      </c>
    </row>
    <row r="313" spans="1:10" x14ac:dyDescent="0.2">
      <c r="A313" t="s">
        <v>3813</v>
      </c>
      <c r="E313" t="str">
        <f>HYPERLINK("http://nlpdeep.cs.uic.edu:8080/proofing/gsii/522567-assessment-and-plan-3-1.pdf","gsii/522567-assessment-and-plan-3-1.pdf")</f>
        <v>gsii/522567-assessment-and-plan-3-1.pdf</v>
      </c>
      <c r="F313">
        <v>120842</v>
      </c>
      <c r="G313">
        <v>522567</v>
      </c>
      <c r="H313" t="s">
        <v>9</v>
      </c>
      <c r="I313" t="s">
        <v>195</v>
      </c>
      <c r="J313" t="s">
        <v>3516</v>
      </c>
    </row>
    <row r="314" spans="1:10" x14ac:dyDescent="0.2">
      <c r="A314" t="s">
        <v>3814</v>
      </c>
      <c r="E314" t="str">
        <f>HYPERLINK("http://nlpdeep.cs.uic.edu:8080/proofing/t5/522567-assessment-and-plan-3-2.pdf","t5/522567-assessment-and-plan-3-2.pdf")</f>
        <v>t5/522567-assessment-and-plan-3-2.pdf</v>
      </c>
      <c r="F314">
        <v>120842</v>
      </c>
      <c r="G314">
        <v>522567</v>
      </c>
      <c r="H314" t="s">
        <v>9</v>
      </c>
      <c r="I314" t="s">
        <v>195</v>
      </c>
      <c r="J314" t="s">
        <v>3518</v>
      </c>
    </row>
    <row r="315" spans="1:10" x14ac:dyDescent="0.2">
      <c r="A315" t="s">
        <v>3814</v>
      </c>
      <c r="E315" t="str">
        <f>HYPERLINK("http://nlpdeep.cs.uic.edu:8080/proofing/gsii/522567-assessment-and-plan-3-2.pdf","gsii/522567-assessment-and-plan-3-2.pdf")</f>
        <v>gsii/522567-assessment-and-plan-3-2.pdf</v>
      </c>
      <c r="F315">
        <v>120842</v>
      </c>
      <c r="G315">
        <v>522567</v>
      </c>
      <c r="H315" t="s">
        <v>9</v>
      </c>
      <c r="I315" t="s">
        <v>195</v>
      </c>
      <c r="J315" t="s">
        <v>3518</v>
      </c>
    </row>
    <row r="316" spans="1:10" x14ac:dyDescent="0.2">
      <c r="A316" t="s">
        <v>3815</v>
      </c>
      <c r="E316" t="str">
        <f>HYPERLINK("http://nlpdeep.cs.uic.edu:8080/proofing/t5/522567-assessment-and-plan-3-3.pdf","t5/522567-assessment-and-plan-3-3.pdf")</f>
        <v>t5/522567-assessment-and-plan-3-3.pdf</v>
      </c>
      <c r="F316">
        <v>120842</v>
      </c>
      <c r="G316">
        <v>522567</v>
      </c>
      <c r="H316" t="s">
        <v>9</v>
      </c>
      <c r="I316" t="s">
        <v>195</v>
      </c>
    </row>
    <row r="317" spans="1:10" x14ac:dyDescent="0.2">
      <c r="A317" t="s">
        <v>3815</v>
      </c>
      <c r="E317" t="str">
        <f>HYPERLINK("http://nlpdeep.cs.uic.edu:8080/proofing/gsii/522567-assessment-and-plan-3-3.pdf","gsii/522567-assessment-and-plan-3-3.pdf")</f>
        <v>gsii/522567-assessment-and-plan-3-3.pdf</v>
      </c>
      <c r="F317">
        <v>120842</v>
      </c>
      <c r="G317">
        <v>522567</v>
      </c>
      <c r="H317" t="s">
        <v>9</v>
      </c>
      <c r="I317" t="s">
        <v>195</v>
      </c>
    </row>
    <row r="318" spans="1:10" x14ac:dyDescent="0.2">
      <c r="A318" t="s">
        <v>3816</v>
      </c>
      <c r="E318" t="str">
        <f>HYPERLINK("http://nlpdeep.cs.uic.edu:8080/proofing/t5/522567-assessment-and-plan-4-0.pdf","t5/522567-assessment-and-plan-4-0.pdf")</f>
        <v>t5/522567-assessment-and-plan-4-0.pdf</v>
      </c>
      <c r="F318">
        <v>120842</v>
      </c>
      <c r="G318">
        <v>522567</v>
      </c>
      <c r="H318" t="s">
        <v>9</v>
      </c>
      <c r="I318" t="s">
        <v>195</v>
      </c>
      <c r="J318" t="s">
        <v>3522</v>
      </c>
    </row>
    <row r="319" spans="1:10" x14ac:dyDescent="0.2">
      <c r="A319" t="s">
        <v>3816</v>
      </c>
      <c r="E319" t="str">
        <f>HYPERLINK("http://nlpdeep.cs.uic.edu:8080/proofing/gsii/522567-assessment-and-plan-4-0.pdf","gsii/522567-assessment-and-plan-4-0.pdf")</f>
        <v>gsii/522567-assessment-and-plan-4-0.pdf</v>
      </c>
      <c r="F319">
        <v>120842</v>
      </c>
      <c r="G319">
        <v>522567</v>
      </c>
      <c r="H319" t="s">
        <v>9</v>
      </c>
      <c r="I319" t="s">
        <v>195</v>
      </c>
      <c r="J319" t="s">
        <v>3522</v>
      </c>
    </row>
    <row r="320" spans="1:10" x14ac:dyDescent="0.2">
      <c r="A320" t="s">
        <v>3817</v>
      </c>
      <c r="E320" t="str">
        <f>HYPERLINK("http://nlpdeep.cs.uic.edu:8080/proofing/t5/522567-assessment-and-plan-4-1.pdf","t5/522567-assessment-and-plan-4-1.pdf")</f>
        <v>t5/522567-assessment-and-plan-4-1.pdf</v>
      </c>
      <c r="F320">
        <v>120842</v>
      </c>
      <c r="G320">
        <v>522567</v>
      </c>
      <c r="H320" t="s">
        <v>9</v>
      </c>
      <c r="I320" t="s">
        <v>195</v>
      </c>
      <c r="J320" t="s">
        <v>3524</v>
      </c>
    </row>
    <row r="321" spans="1:10" x14ac:dyDescent="0.2">
      <c r="A321" t="s">
        <v>3817</v>
      </c>
      <c r="E321" t="str">
        <f>HYPERLINK("http://nlpdeep.cs.uic.edu:8080/proofing/gsii/522567-assessment-and-plan-4-1.pdf","gsii/522567-assessment-and-plan-4-1.pdf")</f>
        <v>gsii/522567-assessment-and-plan-4-1.pdf</v>
      </c>
      <c r="F321">
        <v>120842</v>
      </c>
      <c r="G321">
        <v>522567</v>
      </c>
      <c r="H321" t="s">
        <v>9</v>
      </c>
      <c r="I321" t="s">
        <v>195</v>
      </c>
      <c r="J321" t="s">
        <v>3524</v>
      </c>
    </row>
    <row r="322" spans="1:10" x14ac:dyDescent="0.2">
      <c r="A322" t="s">
        <v>3818</v>
      </c>
      <c r="E322" t="str">
        <f>HYPERLINK("http://nlpdeep.cs.uic.edu:8080/proofing/t5/522567-assessment-and-plan-5-0.pdf","t5/522567-assessment-and-plan-5-0.pdf")</f>
        <v>t5/522567-assessment-and-plan-5-0.pdf</v>
      </c>
      <c r="F322">
        <v>120842</v>
      </c>
      <c r="G322">
        <v>522567</v>
      </c>
      <c r="H322" t="s">
        <v>9</v>
      </c>
      <c r="I322" t="s">
        <v>195</v>
      </c>
      <c r="J322" t="s">
        <v>3203</v>
      </c>
    </row>
    <row r="323" spans="1:10" x14ac:dyDescent="0.2">
      <c r="A323" t="s">
        <v>3818</v>
      </c>
      <c r="E323" t="str">
        <f>HYPERLINK("http://nlpdeep.cs.uic.edu:8080/proofing/gsii/522567-assessment-and-plan-5-0.pdf","gsii/522567-assessment-and-plan-5-0.pdf")</f>
        <v>gsii/522567-assessment-and-plan-5-0.pdf</v>
      </c>
      <c r="F323">
        <v>120842</v>
      </c>
      <c r="G323">
        <v>522567</v>
      </c>
      <c r="H323" t="s">
        <v>9</v>
      </c>
      <c r="I323" t="s">
        <v>195</v>
      </c>
      <c r="J323" t="s">
        <v>3203</v>
      </c>
    </row>
    <row r="324" spans="1:10" x14ac:dyDescent="0.2">
      <c r="A324" t="s">
        <v>3819</v>
      </c>
      <c r="E324" t="str">
        <f>HYPERLINK("http://nlpdeep.cs.uic.edu:8080/proofing/t5/522567-assessment-and-plan-5-1.pdf","t5/522567-assessment-and-plan-5-1.pdf")</f>
        <v>t5/522567-assessment-and-plan-5-1.pdf</v>
      </c>
      <c r="F324">
        <v>120842</v>
      </c>
      <c r="G324">
        <v>522567</v>
      </c>
      <c r="H324" t="s">
        <v>9</v>
      </c>
      <c r="I324" t="s">
        <v>195</v>
      </c>
      <c r="J324" t="s">
        <v>3527</v>
      </c>
    </row>
    <row r="325" spans="1:10" x14ac:dyDescent="0.2">
      <c r="A325" t="s">
        <v>3819</v>
      </c>
      <c r="E325" t="str">
        <f>HYPERLINK("http://nlpdeep.cs.uic.edu:8080/proofing/gsii/522567-assessment-and-plan-5-1.pdf","gsii/522567-assessment-and-plan-5-1.pdf")</f>
        <v>gsii/522567-assessment-and-plan-5-1.pdf</v>
      </c>
      <c r="F325">
        <v>120842</v>
      </c>
      <c r="G325">
        <v>522567</v>
      </c>
      <c r="H325" t="s">
        <v>9</v>
      </c>
      <c r="I325" t="s">
        <v>195</v>
      </c>
      <c r="J325" t="s">
        <v>3527</v>
      </c>
    </row>
    <row r="326" spans="1:10" x14ac:dyDescent="0.2">
      <c r="A326" t="s">
        <v>3820</v>
      </c>
      <c r="E326" t="str">
        <f>HYPERLINK("http://nlpdeep.cs.uic.edu:8080/proofing/t5/522567-assessment-and-plan-5-2.pdf","t5/522567-assessment-and-plan-5-2.pdf")</f>
        <v>t5/522567-assessment-and-plan-5-2.pdf</v>
      </c>
      <c r="F326">
        <v>120842</v>
      </c>
      <c r="G326">
        <v>522567</v>
      </c>
      <c r="H326" t="s">
        <v>9</v>
      </c>
      <c r="I326" t="s">
        <v>195</v>
      </c>
      <c r="J326" t="s">
        <v>3529</v>
      </c>
    </row>
    <row r="327" spans="1:10" x14ac:dyDescent="0.2">
      <c r="A327" t="s">
        <v>3820</v>
      </c>
      <c r="E327" t="str">
        <f>HYPERLINK("http://nlpdeep.cs.uic.edu:8080/proofing/gsii/522567-assessment-and-plan-5-2.pdf","gsii/522567-assessment-and-plan-5-2.pdf")</f>
        <v>gsii/522567-assessment-and-plan-5-2.pdf</v>
      </c>
      <c r="F327">
        <v>120842</v>
      </c>
      <c r="G327">
        <v>522567</v>
      </c>
      <c r="H327" t="s">
        <v>9</v>
      </c>
      <c r="I327" t="s">
        <v>195</v>
      </c>
      <c r="J327" t="s">
        <v>3529</v>
      </c>
    </row>
    <row r="328" spans="1:10" x14ac:dyDescent="0.2">
      <c r="A328" t="s">
        <v>3821</v>
      </c>
      <c r="E328" t="str">
        <f>HYPERLINK("http://nlpdeep.cs.uic.edu:8080/proofing/t5/522567-assessment-and-plan-5-3.pdf","t5/522567-assessment-and-plan-5-3.pdf")</f>
        <v>t5/522567-assessment-and-plan-5-3.pdf</v>
      </c>
      <c r="F328">
        <v>120842</v>
      </c>
      <c r="G328">
        <v>522567</v>
      </c>
      <c r="H328" t="s">
        <v>9</v>
      </c>
      <c r="I328" t="s">
        <v>195</v>
      </c>
    </row>
    <row r="329" spans="1:10" x14ac:dyDescent="0.2">
      <c r="A329" t="s">
        <v>3821</v>
      </c>
      <c r="E329" t="str">
        <f>HYPERLINK("http://nlpdeep.cs.uic.edu:8080/proofing/gsii/522567-assessment-and-plan-5-3.pdf","gsii/522567-assessment-and-plan-5-3.pdf")</f>
        <v>gsii/522567-assessment-and-plan-5-3.pdf</v>
      </c>
      <c r="F329">
        <v>120842</v>
      </c>
      <c r="G329">
        <v>522567</v>
      </c>
      <c r="H329" t="s">
        <v>9</v>
      </c>
      <c r="I329" t="s">
        <v>195</v>
      </c>
    </row>
    <row r="330" spans="1:10" x14ac:dyDescent="0.2">
      <c r="A330" t="s">
        <v>3822</v>
      </c>
      <c r="E330" t="str">
        <f>HYPERLINK("http://nlpdeep.cs.uic.edu:8080/proofing/t5/522567-assessment-and-plan-6-0.pdf","t5/522567-assessment-and-plan-6-0.pdf")</f>
        <v>t5/522567-assessment-and-plan-6-0.pdf</v>
      </c>
      <c r="F330">
        <v>120842</v>
      </c>
      <c r="G330">
        <v>522567</v>
      </c>
      <c r="H330" t="s">
        <v>9</v>
      </c>
      <c r="I330" t="s">
        <v>195</v>
      </c>
      <c r="J330" t="s">
        <v>3532</v>
      </c>
    </row>
    <row r="331" spans="1:10" x14ac:dyDescent="0.2">
      <c r="A331" t="s">
        <v>3822</v>
      </c>
      <c r="E331" t="str">
        <f>HYPERLINK("http://nlpdeep.cs.uic.edu:8080/proofing/gsii/522567-assessment-and-plan-6-0.pdf","gsii/522567-assessment-and-plan-6-0.pdf")</f>
        <v>gsii/522567-assessment-and-plan-6-0.pdf</v>
      </c>
      <c r="F331">
        <v>120842</v>
      </c>
      <c r="G331">
        <v>522567</v>
      </c>
      <c r="H331" t="s">
        <v>9</v>
      </c>
      <c r="I331" t="s">
        <v>195</v>
      </c>
      <c r="J331" t="s">
        <v>3532</v>
      </c>
    </row>
    <row r="332" spans="1:10" x14ac:dyDescent="0.2">
      <c r="A332" t="s">
        <v>3823</v>
      </c>
      <c r="E332" t="str">
        <f>HYPERLINK("http://nlpdeep.cs.uic.edu:8080/proofing/t5/522567-assessment-and-plan-6-1.pdf","t5/522567-assessment-and-plan-6-1.pdf")</f>
        <v>t5/522567-assessment-and-plan-6-1.pdf</v>
      </c>
      <c r="F332">
        <v>120842</v>
      </c>
      <c r="G332">
        <v>522567</v>
      </c>
      <c r="H332" t="s">
        <v>9</v>
      </c>
      <c r="I332" t="s">
        <v>195</v>
      </c>
    </row>
    <row r="333" spans="1:10" x14ac:dyDescent="0.2">
      <c r="A333" t="s">
        <v>3823</v>
      </c>
      <c r="E333" t="str">
        <f>HYPERLINK("http://nlpdeep.cs.uic.edu:8080/proofing/gsii/522567-assessment-and-plan-6-1.pdf","gsii/522567-assessment-and-plan-6-1.pdf")</f>
        <v>gsii/522567-assessment-and-plan-6-1.pdf</v>
      </c>
      <c r="F333">
        <v>120842</v>
      </c>
      <c r="G333">
        <v>522567</v>
      </c>
      <c r="H333" t="s">
        <v>9</v>
      </c>
      <c r="I333" t="s">
        <v>195</v>
      </c>
    </row>
    <row r="334" spans="1:10" x14ac:dyDescent="0.2">
      <c r="A334" t="s">
        <v>3824</v>
      </c>
      <c r="E334" t="str">
        <f>HYPERLINK("http://nlpdeep.cs.uic.edu:8080/proofing/t5/522567-assessment-and-plan-7-0.pdf","t5/522567-assessment-and-plan-7-0.pdf")</f>
        <v>t5/522567-assessment-and-plan-7-0.pdf</v>
      </c>
      <c r="F334">
        <v>120842</v>
      </c>
      <c r="G334">
        <v>522567</v>
      </c>
      <c r="H334" t="s">
        <v>9</v>
      </c>
      <c r="I334" t="s">
        <v>195</v>
      </c>
      <c r="J334" t="s">
        <v>3535</v>
      </c>
    </row>
    <row r="335" spans="1:10" x14ac:dyDescent="0.2">
      <c r="A335" t="s">
        <v>3824</v>
      </c>
      <c r="E335" t="str">
        <f>HYPERLINK("http://nlpdeep.cs.uic.edu:8080/proofing/gsii/522567-assessment-and-plan-7-0.pdf","gsii/522567-assessment-and-plan-7-0.pdf")</f>
        <v>gsii/522567-assessment-and-plan-7-0.pdf</v>
      </c>
      <c r="F335">
        <v>120842</v>
      </c>
      <c r="G335">
        <v>522567</v>
      </c>
      <c r="H335" t="s">
        <v>9</v>
      </c>
      <c r="I335" t="s">
        <v>195</v>
      </c>
      <c r="J335" t="s">
        <v>3535</v>
      </c>
    </row>
    <row r="336" spans="1:10" x14ac:dyDescent="0.2">
      <c r="A336" t="s">
        <v>3825</v>
      </c>
      <c r="E336" t="str">
        <f>HYPERLINK("http://nlpdeep.cs.uic.edu:8080/proofing/t5/522567-assessment-and-plan-7-1.pdf","t5/522567-assessment-and-plan-7-1.pdf")</f>
        <v>t5/522567-assessment-and-plan-7-1.pdf</v>
      </c>
      <c r="F336">
        <v>120842</v>
      </c>
      <c r="G336">
        <v>522567</v>
      </c>
      <c r="H336" t="s">
        <v>9</v>
      </c>
      <c r="I336" t="s">
        <v>195</v>
      </c>
    </row>
    <row r="337" spans="1:10" x14ac:dyDescent="0.2">
      <c r="A337" t="s">
        <v>3825</v>
      </c>
      <c r="E337" t="str">
        <f>HYPERLINK("http://nlpdeep.cs.uic.edu:8080/proofing/gsii/522567-assessment-and-plan-7-1.pdf","gsii/522567-assessment-and-plan-7-1.pdf")</f>
        <v>gsii/522567-assessment-and-plan-7-1.pdf</v>
      </c>
      <c r="F337">
        <v>120842</v>
      </c>
      <c r="G337">
        <v>522567</v>
      </c>
      <c r="H337" t="s">
        <v>9</v>
      </c>
      <c r="I337" t="s">
        <v>195</v>
      </c>
    </row>
    <row r="338" spans="1:10" x14ac:dyDescent="0.2">
      <c r="A338" t="s">
        <v>3826</v>
      </c>
      <c r="E338" t="str">
        <f>HYPERLINK("http://nlpdeep.cs.uic.edu:8080/proofing/t5/522567-assessment-and-plan-8-0.pdf","t5/522567-assessment-and-plan-8-0.pdf")</f>
        <v>t5/522567-assessment-and-plan-8-0.pdf</v>
      </c>
      <c r="F338">
        <v>120842</v>
      </c>
      <c r="G338">
        <v>522567</v>
      </c>
      <c r="H338" t="s">
        <v>9</v>
      </c>
      <c r="I338" t="s">
        <v>195</v>
      </c>
      <c r="J338" t="s">
        <v>3827</v>
      </c>
    </row>
    <row r="339" spans="1:10" x14ac:dyDescent="0.2">
      <c r="A339" t="s">
        <v>3826</v>
      </c>
      <c r="E339" t="str">
        <f>HYPERLINK("http://nlpdeep.cs.uic.edu:8080/proofing/gsii/522567-assessment-and-plan-8-0.pdf","gsii/522567-assessment-and-plan-8-0.pdf")</f>
        <v>gsii/522567-assessment-and-plan-8-0.pdf</v>
      </c>
      <c r="F339">
        <v>120842</v>
      </c>
      <c r="G339">
        <v>522567</v>
      </c>
      <c r="H339" t="s">
        <v>9</v>
      </c>
      <c r="I339" t="s">
        <v>195</v>
      </c>
      <c r="J339" t="s">
        <v>3827</v>
      </c>
    </row>
    <row r="340" spans="1:10" x14ac:dyDescent="0.2">
      <c r="A340" t="s">
        <v>3828</v>
      </c>
      <c r="E340" t="str">
        <f>HYPERLINK("http://nlpdeep.cs.uic.edu:8080/proofing/t5/522567-code-status-0-0.pdf","t5/522567-code-status-0-0.pdf")</f>
        <v>t5/522567-code-status-0-0.pdf</v>
      </c>
      <c r="F340">
        <v>120842</v>
      </c>
      <c r="G340">
        <v>522567</v>
      </c>
      <c r="H340" t="s">
        <v>9</v>
      </c>
      <c r="I340" t="s">
        <v>201</v>
      </c>
      <c r="J340" t="s">
        <v>536</v>
      </c>
    </row>
    <row r="341" spans="1:10" x14ac:dyDescent="0.2">
      <c r="A341" t="s">
        <v>3828</v>
      </c>
      <c r="E341" t="str">
        <f>HYPERLINK("http://nlpdeep.cs.uic.edu:8080/proofing/gsii/522567-code-status-0-0.pdf","gsii/522567-code-status-0-0.pdf")</f>
        <v>gsii/522567-code-status-0-0.pdf</v>
      </c>
      <c r="F341">
        <v>120842</v>
      </c>
      <c r="G341">
        <v>522567</v>
      </c>
      <c r="H341" t="s">
        <v>9</v>
      </c>
      <c r="I341" t="s">
        <v>201</v>
      </c>
      <c r="J341" t="s">
        <v>536</v>
      </c>
    </row>
    <row r="342" spans="1:10" x14ac:dyDescent="0.2">
      <c r="A342" t="s">
        <v>3829</v>
      </c>
      <c r="E342" t="str">
        <f>HYPERLINK("http://nlpdeep.cs.uic.edu:8080/proofing/t5/65939-patient-test-information-0-0.pdf","t5/65939-patient-test-information-0-0.pdf")</f>
        <v>t5/65939-patient-test-information-0-0.pdf</v>
      </c>
      <c r="F342">
        <v>108346</v>
      </c>
      <c r="G342">
        <v>65939</v>
      </c>
      <c r="H342" t="s">
        <v>1891</v>
      </c>
      <c r="I342" t="s">
        <v>1892</v>
      </c>
      <c r="J342" t="s">
        <v>3830</v>
      </c>
    </row>
    <row r="343" spans="1:10" x14ac:dyDescent="0.2">
      <c r="A343" t="s">
        <v>3829</v>
      </c>
      <c r="E343" t="str">
        <f>HYPERLINK("http://nlpdeep.cs.uic.edu:8080/proofing/gsii/65939-patient-test-information-0-0.pdf","gsii/65939-patient-test-information-0-0.pdf")</f>
        <v>gsii/65939-patient-test-information-0-0.pdf</v>
      </c>
      <c r="F343">
        <v>108346</v>
      </c>
      <c r="G343">
        <v>65939</v>
      </c>
      <c r="H343" t="s">
        <v>1891</v>
      </c>
      <c r="I343" t="s">
        <v>1892</v>
      </c>
      <c r="J343" t="s">
        <v>3830</v>
      </c>
    </row>
    <row r="344" spans="1:10" x14ac:dyDescent="0.2">
      <c r="A344" t="s">
        <v>3831</v>
      </c>
      <c r="E344" t="str">
        <f>HYPERLINK("http://nlpdeep.cs.uic.edu:8080/proofing/t5/65939-patient-test-information-0-1.pdf","t5/65939-patient-test-information-0-1.pdf")</f>
        <v>t5/65939-patient-test-information-0-1.pdf</v>
      </c>
      <c r="F344">
        <v>108346</v>
      </c>
      <c r="G344">
        <v>65939</v>
      </c>
      <c r="H344" t="s">
        <v>1891</v>
      </c>
      <c r="I344" t="s">
        <v>1892</v>
      </c>
      <c r="J344" t="s">
        <v>3832</v>
      </c>
    </row>
    <row r="345" spans="1:10" x14ac:dyDescent="0.2">
      <c r="A345" t="s">
        <v>3831</v>
      </c>
      <c r="E345" t="str">
        <f>HYPERLINK("http://nlpdeep.cs.uic.edu:8080/proofing/gsii/65939-patient-test-information-0-1.pdf","gsii/65939-patient-test-information-0-1.pdf")</f>
        <v>gsii/65939-patient-test-information-0-1.pdf</v>
      </c>
      <c r="F345">
        <v>108346</v>
      </c>
      <c r="G345">
        <v>65939</v>
      </c>
      <c r="H345" t="s">
        <v>1891</v>
      </c>
      <c r="I345" t="s">
        <v>1892</v>
      </c>
      <c r="J345" t="s">
        <v>3832</v>
      </c>
    </row>
    <row r="346" spans="1:10" x14ac:dyDescent="0.2">
      <c r="A346" t="s">
        <v>3833</v>
      </c>
      <c r="E346" t="str">
        <f>HYPERLINK("http://nlpdeep.cs.uic.edu:8080/proofing/t5/65939-patient-test-information-0-2.pdf","t5/65939-patient-test-information-0-2.pdf")</f>
        <v>t5/65939-patient-test-information-0-2.pdf</v>
      </c>
      <c r="F346">
        <v>108346</v>
      </c>
      <c r="G346">
        <v>65939</v>
      </c>
      <c r="H346" t="s">
        <v>1891</v>
      </c>
      <c r="I346" t="s">
        <v>1892</v>
      </c>
      <c r="J346" t="s">
        <v>3834</v>
      </c>
    </row>
    <row r="347" spans="1:10" x14ac:dyDescent="0.2">
      <c r="A347" t="s">
        <v>3833</v>
      </c>
      <c r="E347" t="str">
        <f>HYPERLINK("http://nlpdeep.cs.uic.edu:8080/proofing/gsii/65939-patient-test-information-0-2.pdf","gsii/65939-patient-test-information-0-2.pdf")</f>
        <v>gsii/65939-patient-test-information-0-2.pdf</v>
      </c>
      <c r="F347">
        <v>108346</v>
      </c>
      <c r="G347">
        <v>65939</v>
      </c>
      <c r="H347" t="s">
        <v>1891</v>
      </c>
      <c r="I347" t="s">
        <v>1892</v>
      </c>
      <c r="J347" t="s">
        <v>3834</v>
      </c>
    </row>
    <row r="348" spans="1:10" x14ac:dyDescent="0.2">
      <c r="A348" t="s">
        <v>3835</v>
      </c>
      <c r="E348" t="str">
        <f>HYPERLINK("http://nlpdeep.cs.uic.edu:8080/proofing/t5/65939-patient-test-information-0-3.pdf","t5/65939-patient-test-information-0-3.pdf")</f>
        <v>t5/65939-patient-test-information-0-3.pdf</v>
      </c>
      <c r="F348">
        <v>108346</v>
      </c>
      <c r="G348">
        <v>65939</v>
      </c>
      <c r="H348" t="s">
        <v>1891</v>
      </c>
      <c r="I348" t="s">
        <v>1892</v>
      </c>
      <c r="J348" t="s">
        <v>3836</v>
      </c>
    </row>
    <row r="349" spans="1:10" x14ac:dyDescent="0.2">
      <c r="A349" t="s">
        <v>3835</v>
      </c>
      <c r="E349" t="str">
        <f>HYPERLINK("http://nlpdeep.cs.uic.edu:8080/proofing/gsii/65939-patient-test-information-0-3.pdf","gsii/65939-patient-test-information-0-3.pdf")</f>
        <v>gsii/65939-patient-test-information-0-3.pdf</v>
      </c>
      <c r="F349">
        <v>108346</v>
      </c>
      <c r="G349">
        <v>65939</v>
      </c>
      <c r="H349" t="s">
        <v>1891</v>
      </c>
      <c r="I349" t="s">
        <v>1892</v>
      </c>
      <c r="J349" t="s">
        <v>3836</v>
      </c>
    </row>
    <row r="350" spans="1:10" x14ac:dyDescent="0.2">
      <c r="A350" t="s">
        <v>3837</v>
      </c>
      <c r="E350" t="str">
        <f>HYPERLINK("http://nlpdeep.cs.uic.edu:8080/proofing/t5/65939-patient-test-information-0-4.pdf","t5/65939-patient-test-information-0-4.pdf")</f>
        <v>t5/65939-patient-test-information-0-4.pdf</v>
      </c>
      <c r="F350">
        <v>108346</v>
      </c>
      <c r="G350">
        <v>65939</v>
      </c>
      <c r="H350" t="s">
        <v>1891</v>
      </c>
      <c r="I350" t="s">
        <v>1892</v>
      </c>
      <c r="J350" t="s">
        <v>3838</v>
      </c>
    </row>
    <row r="351" spans="1:10" x14ac:dyDescent="0.2">
      <c r="A351" t="s">
        <v>3837</v>
      </c>
      <c r="E351" t="str">
        <f>HYPERLINK("http://nlpdeep.cs.uic.edu:8080/proofing/gsii/65939-patient-test-information-0-4.pdf","gsii/65939-patient-test-information-0-4.pdf")</f>
        <v>gsii/65939-patient-test-information-0-4.pdf</v>
      </c>
      <c r="F351">
        <v>108346</v>
      </c>
      <c r="G351">
        <v>65939</v>
      </c>
      <c r="H351" t="s">
        <v>1891</v>
      </c>
      <c r="I351" t="s">
        <v>1892</v>
      </c>
      <c r="J351" t="s">
        <v>3838</v>
      </c>
    </row>
    <row r="352" spans="1:10" x14ac:dyDescent="0.2">
      <c r="A352" t="s">
        <v>3839</v>
      </c>
      <c r="E352" t="str">
        <f>HYPERLINK("http://nlpdeep.cs.uic.edu:8080/proofing/t5/65939-findings-0-0.pdf","t5/65939-findings-0-0.pdf")</f>
        <v>t5/65939-findings-0-0.pdf</v>
      </c>
      <c r="F352">
        <v>108346</v>
      </c>
      <c r="G352">
        <v>65939</v>
      </c>
      <c r="H352" t="s">
        <v>1891</v>
      </c>
      <c r="I352" t="s">
        <v>1840</v>
      </c>
      <c r="J352" t="s">
        <v>1901</v>
      </c>
    </row>
    <row r="353" spans="1:10" x14ac:dyDescent="0.2">
      <c r="A353" t="s">
        <v>3839</v>
      </c>
      <c r="E353" t="str">
        <f>HYPERLINK("http://nlpdeep.cs.uic.edu:8080/proofing/gsii/65939-findings-0-0.pdf","gsii/65939-findings-0-0.pdf")</f>
        <v>gsii/65939-findings-0-0.pdf</v>
      </c>
      <c r="F353">
        <v>108346</v>
      </c>
      <c r="G353">
        <v>65939</v>
      </c>
      <c r="H353" t="s">
        <v>1891</v>
      </c>
      <c r="I353" t="s">
        <v>1840</v>
      </c>
      <c r="J353" t="s">
        <v>1901</v>
      </c>
    </row>
    <row r="354" spans="1:10" x14ac:dyDescent="0.2">
      <c r="A354" t="s">
        <v>3840</v>
      </c>
      <c r="E354" t="str">
        <f>HYPERLINK("http://nlpdeep.cs.uic.edu:8080/proofing/t5/65939-findings-1-0.pdf","t5/65939-findings-1-0.pdf")</f>
        <v>t5/65939-findings-1-0.pdf</v>
      </c>
      <c r="F354">
        <v>108346</v>
      </c>
      <c r="G354">
        <v>65939</v>
      </c>
      <c r="H354" t="s">
        <v>1891</v>
      </c>
      <c r="I354" t="s">
        <v>1840</v>
      </c>
      <c r="J354" t="s">
        <v>1903</v>
      </c>
    </row>
    <row r="355" spans="1:10" x14ac:dyDescent="0.2">
      <c r="A355" t="s">
        <v>3840</v>
      </c>
      <c r="E355" t="str">
        <f>HYPERLINK("http://nlpdeep.cs.uic.edu:8080/proofing/gsii/65939-findings-1-0.pdf","gsii/65939-findings-1-0.pdf")</f>
        <v>gsii/65939-findings-1-0.pdf</v>
      </c>
      <c r="F355">
        <v>108346</v>
      </c>
      <c r="G355">
        <v>65939</v>
      </c>
      <c r="H355" t="s">
        <v>1891</v>
      </c>
      <c r="I355" t="s">
        <v>1840</v>
      </c>
      <c r="J355" t="s">
        <v>1903</v>
      </c>
    </row>
    <row r="356" spans="1:10" x14ac:dyDescent="0.2">
      <c r="A356" t="s">
        <v>3841</v>
      </c>
      <c r="E356" t="str">
        <f>HYPERLINK("http://nlpdeep.cs.uic.edu:8080/proofing/t5/65939-findings-2-0.pdf","t5/65939-findings-2-0.pdf")</f>
        <v>t5/65939-findings-2-0.pdf</v>
      </c>
      <c r="F356">
        <v>108346</v>
      </c>
      <c r="G356">
        <v>65939</v>
      </c>
      <c r="H356" t="s">
        <v>1891</v>
      </c>
      <c r="I356" t="s">
        <v>1840</v>
      </c>
      <c r="J356" t="s">
        <v>3842</v>
      </c>
    </row>
    <row r="357" spans="1:10" x14ac:dyDescent="0.2">
      <c r="A357" t="s">
        <v>3841</v>
      </c>
      <c r="E357" t="str">
        <f>HYPERLINK("http://nlpdeep.cs.uic.edu:8080/proofing/gsii/65939-findings-2-0.pdf","gsii/65939-findings-2-0.pdf")</f>
        <v>gsii/65939-findings-2-0.pdf</v>
      </c>
      <c r="F357">
        <v>108346</v>
      </c>
      <c r="G357">
        <v>65939</v>
      </c>
      <c r="H357" t="s">
        <v>1891</v>
      </c>
      <c r="I357" t="s">
        <v>1840</v>
      </c>
      <c r="J357" t="s">
        <v>3842</v>
      </c>
    </row>
    <row r="358" spans="1:10" x14ac:dyDescent="0.2">
      <c r="A358" t="s">
        <v>3843</v>
      </c>
      <c r="E358" t="str">
        <f>HYPERLINK("http://nlpdeep.cs.uic.edu:8080/proofing/t5/65939-findings-2-1.pdf","t5/65939-findings-2-1.pdf")</f>
        <v>t5/65939-findings-2-1.pdf</v>
      </c>
      <c r="F358">
        <v>108346</v>
      </c>
      <c r="G358">
        <v>65939</v>
      </c>
      <c r="H358" t="s">
        <v>1891</v>
      </c>
      <c r="I358" t="s">
        <v>1840</v>
      </c>
      <c r="J358" t="s">
        <v>3844</v>
      </c>
    </row>
    <row r="359" spans="1:10" x14ac:dyDescent="0.2">
      <c r="A359" t="s">
        <v>3843</v>
      </c>
      <c r="E359" t="str">
        <f>HYPERLINK("http://nlpdeep.cs.uic.edu:8080/proofing/gsii/65939-findings-2-1.pdf","gsii/65939-findings-2-1.pdf")</f>
        <v>gsii/65939-findings-2-1.pdf</v>
      </c>
      <c r="F359">
        <v>108346</v>
      </c>
      <c r="G359">
        <v>65939</v>
      </c>
      <c r="H359" t="s">
        <v>1891</v>
      </c>
      <c r="I359" t="s">
        <v>1840</v>
      </c>
      <c r="J359" t="s">
        <v>3844</v>
      </c>
    </row>
    <row r="360" spans="1:10" x14ac:dyDescent="0.2">
      <c r="A360" t="s">
        <v>3845</v>
      </c>
      <c r="E360" t="str">
        <f>HYPERLINK("http://nlpdeep.cs.uic.edu:8080/proofing/t5/65939-findings-2-2.pdf","t5/65939-findings-2-2.pdf")</f>
        <v>t5/65939-findings-2-2.pdf</v>
      </c>
      <c r="F360">
        <v>108346</v>
      </c>
      <c r="G360">
        <v>65939</v>
      </c>
      <c r="H360" t="s">
        <v>1891</v>
      </c>
      <c r="I360" t="s">
        <v>1840</v>
      </c>
      <c r="J360" t="s">
        <v>3846</v>
      </c>
    </row>
    <row r="361" spans="1:10" x14ac:dyDescent="0.2">
      <c r="A361" t="s">
        <v>3845</v>
      </c>
      <c r="E361" t="str">
        <f>HYPERLINK("http://nlpdeep.cs.uic.edu:8080/proofing/gsii/65939-findings-2-2.pdf","gsii/65939-findings-2-2.pdf")</f>
        <v>gsii/65939-findings-2-2.pdf</v>
      </c>
      <c r="F361">
        <v>108346</v>
      </c>
      <c r="G361">
        <v>65939</v>
      </c>
      <c r="H361" t="s">
        <v>1891</v>
      </c>
      <c r="I361" t="s">
        <v>1840</v>
      </c>
      <c r="J361" t="s">
        <v>3846</v>
      </c>
    </row>
    <row r="362" spans="1:10" x14ac:dyDescent="0.2">
      <c r="A362" t="s">
        <v>3847</v>
      </c>
      <c r="E362" t="str">
        <f>HYPERLINK("http://nlpdeep.cs.uic.edu:8080/proofing/t5/65939-findings-3-0.pdf","t5/65939-findings-3-0.pdf")</f>
        <v>t5/65939-findings-3-0.pdf</v>
      </c>
      <c r="F362">
        <v>108346</v>
      </c>
      <c r="G362">
        <v>65939</v>
      </c>
      <c r="H362" t="s">
        <v>1891</v>
      </c>
      <c r="I362" t="s">
        <v>1840</v>
      </c>
      <c r="J362" t="s">
        <v>3848</v>
      </c>
    </row>
    <row r="363" spans="1:10" x14ac:dyDescent="0.2">
      <c r="A363" t="s">
        <v>3847</v>
      </c>
      <c r="E363" t="str">
        <f>HYPERLINK("http://nlpdeep.cs.uic.edu:8080/proofing/gsii/65939-findings-3-0.pdf","gsii/65939-findings-3-0.pdf")</f>
        <v>gsii/65939-findings-3-0.pdf</v>
      </c>
      <c r="F363">
        <v>108346</v>
      </c>
      <c r="G363">
        <v>65939</v>
      </c>
      <c r="H363" t="s">
        <v>1891</v>
      </c>
      <c r="I363" t="s">
        <v>1840</v>
      </c>
      <c r="J363" t="s">
        <v>3848</v>
      </c>
    </row>
    <row r="364" spans="1:10" x14ac:dyDescent="0.2">
      <c r="A364" t="s">
        <v>3849</v>
      </c>
      <c r="E364" t="str">
        <f>HYPERLINK("http://nlpdeep.cs.uic.edu:8080/proofing/t5/65939-findings-4-0.pdf","t5/65939-findings-4-0.pdf")</f>
        <v>t5/65939-findings-4-0.pdf</v>
      </c>
      <c r="F364">
        <v>108346</v>
      </c>
      <c r="G364">
        <v>65939</v>
      </c>
      <c r="H364" t="s">
        <v>1891</v>
      </c>
      <c r="I364" t="s">
        <v>1840</v>
      </c>
      <c r="J364" t="s">
        <v>3850</v>
      </c>
    </row>
    <row r="365" spans="1:10" x14ac:dyDescent="0.2">
      <c r="A365" t="s">
        <v>3849</v>
      </c>
      <c r="E365" t="str">
        <f>HYPERLINK("http://nlpdeep.cs.uic.edu:8080/proofing/gsii/65939-findings-4-0.pdf","gsii/65939-findings-4-0.pdf")</f>
        <v>gsii/65939-findings-4-0.pdf</v>
      </c>
      <c r="F365">
        <v>108346</v>
      </c>
      <c r="G365">
        <v>65939</v>
      </c>
      <c r="H365" t="s">
        <v>1891</v>
      </c>
      <c r="I365" t="s">
        <v>1840</v>
      </c>
      <c r="J365" t="s">
        <v>3850</v>
      </c>
    </row>
    <row r="366" spans="1:10" x14ac:dyDescent="0.2">
      <c r="A366" t="s">
        <v>3851</v>
      </c>
      <c r="E366" t="str">
        <f>HYPERLINK("http://nlpdeep.cs.uic.edu:8080/proofing/t5/65939-findings-5-0.pdf","t5/65939-findings-5-0.pdf")</f>
        <v>t5/65939-findings-5-0.pdf</v>
      </c>
      <c r="F366">
        <v>108346</v>
      </c>
      <c r="G366">
        <v>65939</v>
      </c>
      <c r="H366" t="s">
        <v>1891</v>
      </c>
      <c r="I366" t="s">
        <v>1840</v>
      </c>
      <c r="J366" t="s">
        <v>3852</v>
      </c>
    </row>
    <row r="367" spans="1:10" x14ac:dyDescent="0.2">
      <c r="A367" t="s">
        <v>3851</v>
      </c>
      <c r="E367" t="str">
        <f>HYPERLINK("http://nlpdeep.cs.uic.edu:8080/proofing/gsii/65939-findings-5-0.pdf","gsii/65939-findings-5-0.pdf")</f>
        <v>gsii/65939-findings-5-0.pdf</v>
      </c>
      <c r="F367">
        <v>108346</v>
      </c>
      <c r="G367">
        <v>65939</v>
      </c>
      <c r="H367" t="s">
        <v>1891</v>
      </c>
      <c r="I367" t="s">
        <v>1840</v>
      </c>
      <c r="J367" t="s">
        <v>3852</v>
      </c>
    </row>
    <row r="368" spans="1:10" x14ac:dyDescent="0.2">
      <c r="A368" t="s">
        <v>3853</v>
      </c>
      <c r="E368" t="str">
        <f>HYPERLINK("http://nlpdeep.cs.uic.edu:8080/proofing/t5/65939-findings-5-1.pdf","t5/65939-findings-5-1.pdf")</f>
        <v>t5/65939-findings-5-1.pdf</v>
      </c>
      <c r="F368">
        <v>108346</v>
      </c>
      <c r="G368">
        <v>65939</v>
      </c>
      <c r="H368" t="s">
        <v>1891</v>
      </c>
      <c r="I368" t="s">
        <v>1840</v>
      </c>
      <c r="J368" t="s">
        <v>3009</v>
      </c>
    </row>
    <row r="369" spans="1:10" x14ac:dyDescent="0.2">
      <c r="A369" t="s">
        <v>3853</v>
      </c>
      <c r="E369" t="str">
        <f>HYPERLINK("http://nlpdeep.cs.uic.edu:8080/proofing/gsii/65939-findings-5-1.pdf","gsii/65939-findings-5-1.pdf")</f>
        <v>gsii/65939-findings-5-1.pdf</v>
      </c>
      <c r="F369">
        <v>108346</v>
      </c>
      <c r="G369">
        <v>65939</v>
      </c>
      <c r="H369" t="s">
        <v>1891</v>
      </c>
      <c r="I369" t="s">
        <v>1840</v>
      </c>
      <c r="J369" t="s">
        <v>3009</v>
      </c>
    </row>
    <row r="370" spans="1:10" x14ac:dyDescent="0.2">
      <c r="A370" t="s">
        <v>3854</v>
      </c>
      <c r="E370" t="str">
        <f>HYPERLINK("http://nlpdeep.cs.uic.edu:8080/proofing/t5/65939-findings-5-2.pdf","t5/65939-findings-5-2.pdf")</f>
        <v>t5/65939-findings-5-2.pdf</v>
      </c>
      <c r="F370">
        <v>108346</v>
      </c>
      <c r="G370">
        <v>65939</v>
      </c>
      <c r="H370" t="s">
        <v>1891</v>
      </c>
      <c r="I370" t="s">
        <v>1840</v>
      </c>
      <c r="J370" t="s">
        <v>3011</v>
      </c>
    </row>
    <row r="371" spans="1:10" x14ac:dyDescent="0.2">
      <c r="A371" t="s">
        <v>3854</v>
      </c>
      <c r="E371" t="str">
        <f>HYPERLINK("http://nlpdeep.cs.uic.edu:8080/proofing/gsii/65939-findings-5-2.pdf","gsii/65939-findings-5-2.pdf")</f>
        <v>gsii/65939-findings-5-2.pdf</v>
      </c>
      <c r="F371">
        <v>108346</v>
      </c>
      <c r="G371">
        <v>65939</v>
      </c>
      <c r="H371" t="s">
        <v>1891</v>
      </c>
      <c r="I371" t="s">
        <v>1840</v>
      </c>
      <c r="J371" t="s">
        <v>3011</v>
      </c>
    </row>
    <row r="372" spans="1:10" x14ac:dyDescent="0.2">
      <c r="A372" t="s">
        <v>3855</v>
      </c>
      <c r="E372" t="str">
        <f>HYPERLINK("http://nlpdeep.cs.uic.edu:8080/proofing/t5/65939-findings-6-0.pdf","t5/65939-findings-6-0.pdf")</f>
        <v>t5/65939-findings-6-0.pdf</v>
      </c>
      <c r="F372">
        <v>108346</v>
      </c>
      <c r="G372">
        <v>65939</v>
      </c>
      <c r="H372" t="s">
        <v>1891</v>
      </c>
      <c r="I372" t="s">
        <v>1840</v>
      </c>
      <c r="J372" t="s">
        <v>1941</v>
      </c>
    </row>
    <row r="373" spans="1:10" x14ac:dyDescent="0.2">
      <c r="A373" t="s">
        <v>3855</v>
      </c>
      <c r="E373" t="str">
        <f>HYPERLINK("http://nlpdeep.cs.uic.edu:8080/proofing/gsii/65939-findings-6-0.pdf","gsii/65939-findings-6-0.pdf")</f>
        <v>gsii/65939-findings-6-0.pdf</v>
      </c>
      <c r="F373">
        <v>108346</v>
      </c>
      <c r="G373">
        <v>65939</v>
      </c>
      <c r="H373" t="s">
        <v>1891</v>
      </c>
      <c r="I373" t="s">
        <v>1840</v>
      </c>
      <c r="J373" t="s">
        <v>1941</v>
      </c>
    </row>
    <row r="374" spans="1:10" x14ac:dyDescent="0.2">
      <c r="A374" t="s">
        <v>3856</v>
      </c>
      <c r="E374" t="str">
        <f>HYPERLINK("http://nlpdeep.cs.uic.edu:8080/proofing/t5/65939-findings-6-1.pdf","t5/65939-findings-6-1.pdf")</f>
        <v>t5/65939-findings-6-1.pdf</v>
      </c>
      <c r="F374">
        <v>108346</v>
      </c>
      <c r="G374">
        <v>65939</v>
      </c>
      <c r="H374" t="s">
        <v>1891</v>
      </c>
      <c r="I374" t="s">
        <v>1840</v>
      </c>
      <c r="J374" t="s">
        <v>1943</v>
      </c>
    </row>
    <row r="375" spans="1:10" x14ac:dyDescent="0.2">
      <c r="A375" t="s">
        <v>3856</v>
      </c>
      <c r="E375" t="str">
        <f>HYPERLINK("http://nlpdeep.cs.uic.edu:8080/proofing/gsii/65939-findings-6-1.pdf","gsii/65939-findings-6-1.pdf")</f>
        <v>gsii/65939-findings-6-1.pdf</v>
      </c>
      <c r="F375">
        <v>108346</v>
      </c>
      <c r="G375">
        <v>65939</v>
      </c>
      <c r="H375" t="s">
        <v>1891</v>
      </c>
      <c r="I375" t="s">
        <v>1840</v>
      </c>
      <c r="J375" t="s">
        <v>1943</v>
      </c>
    </row>
    <row r="376" spans="1:10" x14ac:dyDescent="0.2">
      <c r="A376" t="s">
        <v>3857</v>
      </c>
      <c r="E376" t="str">
        <f>HYPERLINK("http://nlpdeep.cs.uic.edu:8080/proofing/t5/65939-findings-6-2.pdf","t5/65939-findings-6-2.pdf")</f>
        <v>t5/65939-findings-6-2.pdf</v>
      </c>
      <c r="F376">
        <v>108346</v>
      </c>
      <c r="G376">
        <v>65939</v>
      </c>
      <c r="H376" t="s">
        <v>1891</v>
      </c>
      <c r="I376" t="s">
        <v>1840</v>
      </c>
      <c r="J376" t="s">
        <v>3858</v>
      </c>
    </row>
    <row r="377" spans="1:10" x14ac:dyDescent="0.2">
      <c r="A377" t="s">
        <v>3857</v>
      </c>
      <c r="E377" t="str">
        <f>HYPERLINK("http://nlpdeep.cs.uic.edu:8080/proofing/gsii/65939-findings-6-2.pdf","gsii/65939-findings-6-2.pdf")</f>
        <v>gsii/65939-findings-6-2.pdf</v>
      </c>
      <c r="F377">
        <v>108346</v>
      </c>
      <c r="G377">
        <v>65939</v>
      </c>
      <c r="H377" t="s">
        <v>1891</v>
      </c>
      <c r="I377" t="s">
        <v>1840</v>
      </c>
      <c r="J377" t="s">
        <v>3858</v>
      </c>
    </row>
    <row r="378" spans="1:10" x14ac:dyDescent="0.2">
      <c r="A378" t="s">
        <v>3859</v>
      </c>
      <c r="E378" t="str">
        <f>HYPERLINK("http://nlpdeep.cs.uic.edu:8080/proofing/t5/65939-findings-7-0.pdf","t5/65939-findings-7-0.pdf")</f>
        <v>t5/65939-findings-7-0.pdf</v>
      </c>
      <c r="F378">
        <v>108346</v>
      </c>
      <c r="G378">
        <v>65939</v>
      </c>
      <c r="H378" t="s">
        <v>1891</v>
      </c>
      <c r="I378" t="s">
        <v>1840</v>
      </c>
      <c r="J378" t="s">
        <v>1957</v>
      </c>
    </row>
    <row r="379" spans="1:10" x14ac:dyDescent="0.2">
      <c r="A379" t="s">
        <v>3859</v>
      </c>
      <c r="E379" t="str">
        <f>HYPERLINK("http://nlpdeep.cs.uic.edu:8080/proofing/gsii/65939-findings-7-0.pdf","gsii/65939-findings-7-0.pdf")</f>
        <v>gsii/65939-findings-7-0.pdf</v>
      </c>
      <c r="F379">
        <v>108346</v>
      </c>
      <c r="G379">
        <v>65939</v>
      </c>
      <c r="H379" t="s">
        <v>1891</v>
      </c>
      <c r="I379" t="s">
        <v>1840</v>
      </c>
      <c r="J379" t="s">
        <v>1957</v>
      </c>
    </row>
    <row r="380" spans="1:10" x14ac:dyDescent="0.2">
      <c r="A380" t="s">
        <v>3860</v>
      </c>
      <c r="E380" t="str">
        <f>HYPERLINK("http://nlpdeep.cs.uic.edu:8080/proofing/t5/65939-findings-7-1.pdf","t5/65939-findings-7-1.pdf")</f>
        <v>t5/65939-findings-7-1.pdf</v>
      </c>
      <c r="F380">
        <v>108346</v>
      </c>
      <c r="G380">
        <v>65939</v>
      </c>
      <c r="H380" t="s">
        <v>1891</v>
      </c>
      <c r="I380" t="s">
        <v>1840</v>
      </c>
      <c r="J380" t="s">
        <v>3018</v>
      </c>
    </row>
    <row r="381" spans="1:10" x14ac:dyDescent="0.2">
      <c r="A381" t="s">
        <v>3860</v>
      </c>
      <c r="E381" t="str">
        <f>HYPERLINK("http://nlpdeep.cs.uic.edu:8080/proofing/gsii/65939-findings-7-1.pdf","gsii/65939-findings-7-1.pdf")</f>
        <v>gsii/65939-findings-7-1.pdf</v>
      </c>
      <c r="F381">
        <v>108346</v>
      </c>
      <c r="G381">
        <v>65939</v>
      </c>
      <c r="H381" t="s">
        <v>1891</v>
      </c>
      <c r="I381" t="s">
        <v>1840</v>
      </c>
      <c r="J381" t="s">
        <v>3018</v>
      </c>
    </row>
    <row r="382" spans="1:10" x14ac:dyDescent="0.2">
      <c r="A382" t="s">
        <v>3861</v>
      </c>
      <c r="E382" t="str">
        <f>HYPERLINK("http://nlpdeep.cs.uic.edu:8080/proofing/t5/65939-findings-7-2.pdf","t5/65939-findings-7-2.pdf")</f>
        <v>t5/65939-findings-7-2.pdf</v>
      </c>
      <c r="F382">
        <v>108346</v>
      </c>
      <c r="G382">
        <v>65939</v>
      </c>
      <c r="H382" t="s">
        <v>1891</v>
      </c>
      <c r="I382" t="s">
        <v>1840</v>
      </c>
      <c r="J382" t="s">
        <v>3862</v>
      </c>
    </row>
    <row r="383" spans="1:10" x14ac:dyDescent="0.2">
      <c r="A383" t="s">
        <v>3861</v>
      </c>
      <c r="E383" t="str">
        <f>HYPERLINK("http://nlpdeep.cs.uic.edu:8080/proofing/gsii/65939-findings-7-2.pdf","gsii/65939-findings-7-2.pdf")</f>
        <v>gsii/65939-findings-7-2.pdf</v>
      </c>
      <c r="F383">
        <v>108346</v>
      </c>
      <c r="G383">
        <v>65939</v>
      </c>
      <c r="H383" t="s">
        <v>1891</v>
      </c>
      <c r="I383" t="s">
        <v>1840</v>
      </c>
      <c r="J383" t="s">
        <v>3862</v>
      </c>
    </row>
    <row r="384" spans="1:10" x14ac:dyDescent="0.2">
      <c r="A384" t="s">
        <v>3863</v>
      </c>
      <c r="E384" t="str">
        <f>HYPERLINK("http://nlpdeep.cs.uic.edu:8080/proofing/t5/65939-findings-8-0.pdf","t5/65939-findings-8-0.pdf")</f>
        <v>t5/65939-findings-8-0.pdf</v>
      </c>
      <c r="F384">
        <v>108346</v>
      </c>
      <c r="G384">
        <v>65939</v>
      </c>
      <c r="H384" t="s">
        <v>1891</v>
      </c>
      <c r="I384" t="s">
        <v>1840</v>
      </c>
      <c r="J384" t="s">
        <v>3864</v>
      </c>
    </row>
    <row r="385" spans="1:10" x14ac:dyDescent="0.2">
      <c r="A385" t="s">
        <v>3863</v>
      </c>
      <c r="E385" t="str">
        <f>HYPERLINK("http://nlpdeep.cs.uic.edu:8080/proofing/gsii/65939-findings-8-0.pdf","gsii/65939-findings-8-0.pdf")</f>
        <v>gsii/65939-findings-8-0.pdf</v>
      </c>
      <c r="F385">
        <v>108346</v>
      </c>
      <c r="G385">
        <v>65939</v>
      </c>
      <c r="H385" t="s">
        <v>1891</v>
      </c>
      <c r="I385" t="s">
        <v>1840</v>
      </c>
      <c r="J385" t="s">
        <v>3864</v>
      </c>
    </row>
    <row r="386" spans="1:10" x14ac:dyDescent="0.2">
      <c r="A386" t="s">
        <v>3865</v>
      </c>
      <c r="E386" t="str">
        <f>HYPERLINK("http://nlpdeep.cs.uic.edu:8080/proofing/t5/65939-findings-8-1.pdf","t5/65939-findings-8-1.pdf")</f>
        <v>t5/65939-findings-8-1.pdf</v>
      </c>
      <c r="F386">
        <v>108346</v>
      </c>
      <c r="G386">
        <v>65939</v>
      </c>
      <c r="H386" t="s">
        <v>1891</v>
      </c>
      <c r="I386" t="s">
        <v>1840</v>
      </c>
      <c r="J386" t="s">
        <v>1969</v>
      </c>
    </row>
    <row r="387" spans="1:10" x14ac:dyDescent="0.2">
      <c r="A387" t="s">
        <v>3865</v>
      </c>
      <c r="E387" t="str">
        <f>HYPERLINK("http://nlpdeep.cs.uic.edu:8080/proofing/gsii/65939-findings-8-1.pdf","gsii/65939-findings-8-1.pdf")</f>
        <v>gsii/65939-findings-8-1.pdf</v>
      </c>
      <c r="F387">
        <v>108346</v>
      </c>
      <c r="G387">
        <v>65939</v>
      </c>
      <c r="H387" t="s">
        <v>1891</v>
      </c>
      <c r="I387" t="s">
        <v>1840</v>
      </c>
      <c r="J387" t="s">
        <v>1969</v>
      </c>
    </row>
    <row r="388" spans="1:10" x14ac:dyDescent="0.2">
      <c r="A388" t="s">
        <v>3866</v>
      </c>
      <c r="E388" t="str">
        <f>HYPERLINK("http://nlpdeep.cs.uic.edu:8080/proofing/t5/65939-findings-8-2.pdf","t5/65939-findings-8-2.pdf")</f>
        <v>t5/65939-findings-8-2.pdf</v>
      </c>
      <c r="F388">
        <v>108346</v>
      </c>
      <c r="G388">
        <v>65939</v>
      </c>
      <c r="H388" t="s">
        <v>1891</v>
      </c>
      <c r="I388" t="s">
        <v>1840</v>
      </c>
      <c r="J388" t="s">
        <v>1971</v>
      </c>
    </row>
    <row r="389" spans="1:10" x14ac:dyDescent="0.2">
      <c r="A389" t="s">
        <v>3866</v>
      </c>
      <c r="E389" t="str">
        <f>HYPERLINK("http://nlpdeep.cs.uic.edu:8080/proofing/gsii/65939-findings-8-2.pdf","gsii/65939-findings-8-2.pdf")</f>
        <v>gsii/65939-findings-8-2.pdf</v>
      </c>
      <c r="F389">
        <v>108346</v>
      </c>
      <c r="G389">
        <v>65939</v>
      </c>
      <c r="H389" t="s">
        <v>1891</v>
      </c>
      <c r="I389" t="s">
        <v>1840</v>
      </c>
      <c r="J389" t="s">
        <v>1971</v>
      </c>
    </row>
    <row r="390" spans="1:10" x14ac:dyDescent="0.2">
      <c r="A390" t="s">
        <v>3867</v>
      </c>
      <c r="E390" t="str">
        <f>HYPERLINK("http://nlpdeep.cs.uic.edu:8080/proofing/t5/65939-findings-9-0.pdf","t5/65939-findings-9-0.pdf")</f>
        <v>t5/65939-findings-9-0.pdf</v>
      </c>
      <c r="F390">
        <v>108346</v>
      </c>
      <c r="G390">
        <v>65939</v>
      </c>
      <c r="H390" t="s">
        <v>1891</v>
      </c>
      <c r="I390" t="s">
        <v>1840</v>
      </c>
      <c r="J390" t="s">
        <v>3868</v>
      </c>
    </row>
    <row r="391" spans="1:10" x14ac:dyDescent="0.2">
      <c r="A391" t="s">
        <v>3867</v>
      </c>
      <c r="E391" t="str">
        <f>HYPERLINK("http://nlpdeep.cs.uic.edu:8080/proofing/gsii/65939-findings-9-0.pdf","gsii/65939-findings-9-0.pdf")</f>
        <v>gsii/65939-findings-9-0.pdf</v>
      </c>
      <c r="F391">
        <v>108346</v>
      </c>
      <c r="G391">
        <v>65939</v>
      </c>
      <c r="H391" t="s">
        <v>1891</v>
      </c>
      <c r="I391" t="s">
        <v>1840</v>
      </c>
      <c r="J391" t="s">
        <v>3868</v>
      </c>
    </row>
    <row r="392" spans="1:10" x14ac:dyDescent="0.2">
      <c r="A392" t="s">
        <v>3869</v>
      </c>
      <c r="E392" t="str">
        <f>HYPERLINK("http://nlpdeep.cs.uic.edu:8080/proofing/t5/65939-findings-9-1.pdf","t5/65939-findings-9-1.pdf")</f>
        <v>t5/65939-findings-9-1.pdf</v>
      </c>
      <c r="F392">
        <v>108346</v>
      </c>
      <c r="G392">
        <v>65939</v>
      </c>
      <c r="H392" t="s">
        <v>1891</v>
      </c>
      <c r="I392" t="s">
        <v>1840</v>
      </c>
      <c r="J392" t="s">
        <v>3870</v>
      </c>
    </row>
    <row r="393" spans="1:10" x14ac:dyDescent="0.2">
      <c r="A393" t="s">
        <v>3869</v>
      </c>
      <c r="E393" t="str">
        <f>HYPERLINK("http://nlpdeep.cs.uic.edu:8080/proofing/gsii/65939-findings-9-1.pdf","gsii/65939-findings-9-1.pdf")</f>
        <v>gsii/65939-findings-9-1.pdf</v>
      </c>
      <c r="F393">
        <v>108346</v>
      </c>
      <c r="G393">
        <v>65939</v>
      </c>
      <c r="H393" t="s">
        <v>1891</v>
      </c>
      <c r="I393" t="s">
        <v>1840</v>
      </c>
      <c r="J393" t="s">
        <v>3870</v>
      </c>
    </row>
    <row r="394" spans="1:10" x14ac:dyDescent="0.2">
      <c r="A394" t="s">
        <v>3871</v>
      </c>
      <c r="E394" t="str">
        <f>HYPERLINK("http://nlpdeep.cs.uic.edu:8080/proofing/t5/65939-conclusions-0-0.pdf","t5/65939-conclusions-0-0.pdf")</f>
        <v>t5/65939-conclusions-0-0.pdf</v>
      </c>
      <c r="F394">
        <v>108346</v>
      </c>
      <c r="G394">
        <v>65939</v>
      </c>
      <c r="H394" t="s">
        <v>1891</v>
      </c>
      <c r="I394" t="s">
        <v>1979</v>
      </c>
      <c r="J394" t="s">
        <v>1980</v>
      </c>
    </row>
    <row r="395" spans="1:10" x14ac:dyDescent="0.2">
      <c r="A395" t="s">
        <v>3871</v>
      </c>
      <c r="E395" t="str">
        <f>HYPERLINK("http://nlpdeep.cs.uic.edu:8080/proofing/gsii/65939-conclusions-0-0.pdf","gsii/65939-conclusions-0-0.pdf")</f>
        <v>gsii/65939-conclusions-0-0.pdf</v>
      </c>
      <c r="F395">
        <v>108346</v>
      </c>
      <c r="G395">
        <v>65939</v>
      </c>
      <c r="H395" t="s">
        <v>1891</v>
      </c>
      <c r="I395" t="s">
        <v>1979</v>
      </c>
      <c r="J395" t="s">
        <v>1980</v>
      </c>
    </row>
    <row r="396" spans="1:10" x14ac:dyDescent="0.2">
      <c r="A396" t="s">
        <v>3872</v>
      </c>
      <c r="E396" t="str">
        <f>HYPERLINK("http://nlpdeep.cs.uic.edu:8080/proofing/t5/65939-conclusions-0-1.pdf","t5/65939-conclusions-0-1.pdf")</f>
        <v>t5/65939-conclusions-0-1.pdf</v>
      </c>
      <c r="F396">
        <v>108346</v>
      </c>
      <c r="G396">
        <v>65939</v>
      </c>
      <c r="H396" t="s">
        <v>1891</v>
      </c>
      <c r="I396" t="s">
        <v>1979</v>
      </c>
      <c r="J396" t="s">
        <v>3873</v>
      </c>
    </row>
    <row r="397" spans="1:10" x14ac:dyDescent="0.2">
      <c r="A397" t="s">
        <v>3872</v>
      </c>
      <c r="E397" t="str">
        <f>HYPERLINK("http://nlpdeep.cs.uic.edu:8080/proofing/gsii/65939-conclusions-0-1.pdf","gsii/65939-conclusions-0-1.pdf")</f>
        <v>gsii/65939-conclusions-0-1.pdf</v>
      </c>
      <c r="F397">
        <v>108346</v>
      </c>
      <c r="G397">
        <v>65939</v>
      </c>
      <c r="H397" t="s">
        <v>1891</v>
      </c>
      <c r="I397" t="s">
        <v>1979</v>
      </c>
      <c r="J397" t="s">
        <v>3873</v>
      </c>
    </row>
    <row r="398" spans="1:10" x14ac:dyDescent="0.2">
      <c r="A398" t="s">
        <v>3874</v>
      </c>
      <c r="E398" t="str">
        <f>HYPERLINK("http://nlpdeep.cs.uic.edu:8080/proofing/t5/65939-conclusions-0-2.pdf","t5/65939-conclusions-0-2.pdf")</f>
        <v>t5/65939-conclusions-0-2.pdf</v>
      </c>
      <c r="F398">
        <v>108346</v>
      </c>
      <c r="G398">
        <v>65939</v>
      </c>
      <c r="H398" t="s">
        <v>1891</v>
      </c>
      <c r="I398" t="s">
        <v>1979</v>
      </c>
      <c r="J398" t="s">
        <v>3875</v>
      </c>
    </row>
    <row r="399" spans="1:10" x14ac:dyDescent="0.2">
      <c r="A399" t="s">
        <v>3874</v>
      </c>
      <c r="E399" t="str">
        <f>HYPERLINK("http://nlpdeep.cs.uic.edu:8080/proofing/gsii/65939-conclusions-0-2.pdf","gsii/65939-conclusions-0-2.pdf")</f>
        <v>gsii/65939-conclusions-0-2.pdf</v>
      </c>
      <c r="F399">
        <v>108346</v>
      </c>
      <c r="G399">
        <v>65939</v>
      </c>
      <c r="H399" t="s">
        <v>1891</v>
      </c>
      <c r="I399" t="s">
        <v>1979</v>
      </c>
      <c r="J399" t="s">
        <v>3875</v>
      </c>
    </row>
    <row r="400" spans="1:10" x14ac:dyDescent="0.2">
      <c r="A400" t="s">
        <v>3876</v>
      </c>
      <c r="E400" t="str">
        <f>HYPERLINK("http://nlpdeep.cs.uic.edu:8080/proofing/t5/65939-conclusions-0-3.pdf","t5/65939-conclusions-0-3.pdf")</f>
        <v>t5/65939-conclusions-0-3.pdf</v>
      </c>
      <c r="F400">
        <v>108346</v>
      </c>
      <c r="G400">
        <v>65939</v>
      </c>
      <c r="H400" t="s">
        <v>1891</v>
      </c>
      <c r="I400" t="s">
        <v>1979</v>
      </c>
      <c r="J400" t="s">
        <v>3877</v>
      </c>
    </row>
    <row r="401" spans="1:10" x14ac:dyDescent="0.2">
      <c r="A401" t="s">
        <v>3876</v>
      </c>
      <c r="E401" t="str">
        <f>HYPERLINK("http://nlpdeep.cs.uic.edu:8080/proofing/gsii/65939-conclusions-0-3.pdf","gsii/65939-conclusions-0-3.pdf")</f>
        <v>gsii/65939-conclusions-0-3.pdf</v>
      </c>
      <c r="F401">
        <v>108346</v>
      </c>
      <c r="G401">
        <v>65939</v>
      </c>
      <c r="H401" t="s">
        <v>1891</v>
      </c>
      <c r="I401" t="s">
        <v>1979</v>
      </c>
      <c r="J401" t="s">
        <v>3877</v>
      </c>
    </row>
    <row r="402" spans="1:10" x14ac:dyDescent="0.2">
      <c r="A402" t="s">
        <v>3878</v>
      </c>
      <c r="E402" t="str">
        <f>HYPERLINK("http://nlpdeep.cs.uic.edu:8080/proofing/t5/65939-conclusions-0-4.pdf","t5/65939-conclusions-0-4.pdf")</f>
        <v>t5/65939-conclusions-0-4.pdf</v>
      </c>
      <c r="F402">
        <v>108346</v>
      </c>
      <c r="G402">
        <v>65939</v>
      </c>
      <c r="H402" t="s">
        <v>1891</v>
      </c>
      <c r="I402" t="s">
        <v>1979</v>
      </c>
      <c r="J402" t="s">
        <v>3879</v>
      </c>
    </row>
    <row r="403" spans="1:10" x14ac:dyDescent="0.2">
      <c r="A403" t="s">
        <v>3878</v>
      </c>
      <c r="E403" t="str">
        <f>HYPERLINK("http://nlpdeep.cs.uic.edu:8080/proofing/gsii/65939-conclusions-0-4.pdf","gsii/65939-conclusions-0-4.pdf")</f>
        <v>gsii/65939-conclusions-0-4.pdf</v>
      </c>
      <c r="F403">
        <v>108346</v>
      </c>
      <c r="G403">
        <v>65939</v>
      </c>
      <c r="H403" t="s">
        <v>1891</v>
      </c>
      <c r="I403" t="s">
        <v>1979</v>
      </c>
      <c r="J403" t="s">
        <v>3879</v>
      </c>
    </row>
    <row r="404" spans="1:10" x14ac:dyDescent="0.2">
      <c r="A404" t="s">
        <v>3880</v>
      </c>
      <c r="E404" t="str">
        <f>HYPERLINK("http://nlpdeep.cs.uic.edu:8080/proofing/t5/65939-conclusions-0-5.pdf","t5/65939-conclusions-0-5.pdf")</f>
        <v>t5/65939-conclusions-0-5.pdf</v>
      </c>
      <c r="F404">
        <v>108346</v>
      </c>
      <c r="G404">
        <v>65939</v>
      </c>
      <c r="H404" t="s">
        <v>1891</v>
      </c>
      <c r="I404" t="s">
        <v>1979</v>
      </c>
      <c r="J404" t="s">
        <v>3881</v>
      </c>
    </row>
    <row r="405" spans="1:10" x14ac:dyDescent="0.2">
      <c r="A405" t="s">
        <v>3880</v>
      </c>
      <c r="E405" t="str">
        <f>HYPERLINK("http://nlpdeep.cs.uic.edu:8080/proofing/gsii/65939-conclusions-0-5.pdf","gsii/65939-conclusions-0-5.pdf")</f>
        <v>gsii/65939-conclusions-0-5.pdf</v>
      </c>
      <c r="F405">
        <v>108346</v>
      </c>
      <c r="G405">
        <v>65939</v>
      </c>
      <c r="H405" t="s">
        <v>1891</v>
      </c>
      <c r="I405" t="s">
        <v>1979</v>
      </c>
      <c r="J405" t="s">
        <v>3881</v>
      </c>
    </row>
    <row r="406" spans="1:10" x14ac:dyDescent="0.2">
      <c r="A406" t="s">
        <v>3882</v>
      </c>
      <c r="E406" t="str">
        <f>HYPERLINK("http://nlpdeep.cs.uic.edu:8080/proofing/t5/65939-conclusions-0-6.pdf","t5/65939-conclusions-0-6.pdf")</f>
        <v>t5/65939-conclusions-0-6.pdf</v>
      </c>
      <c r="F406">
        <v>108346</v>
      </c>
      <c r="G406">
        <v>65939</v>
      </c>
      <c r="H406" t="s">
        <v>1891</v>
      </c>
      <c r="I406" t="s">
        <v>1979</v>
      </c>
      <c r="J406" t="s">
        <v>3883</v>
      </c>
    </row>
    <row r="407" spans="1:10" x14ac:dyDescent="0.2">
      <c r="A407" t="s">
        <v>3882</v>
      </c>
      <c r="E407" t="str">
        <f>HYPERLINK("http://nlpdeep.cs.uic.edu:8080/proofing/gsii/65939-conclusions-0-6.pdf","gsii/65939-conclusions-0-6.pdf")</f>
        <v>gsii/65939-conclusions-0-6.pdf</v>
      </c>
      <c r="F407">
        <v>108346</v>
      </c>
      <c r="G407">
        <v>65939</v>
      </c>
      <c r="H407" t="s">
        <v>1891</v>
      </c>
      <c r="I407" t="s">
        <v>1979</v>
      </c>
      <c r="J407" t="s">
        <v>3883</v>
      </c>
    </row>
    <row r="408" spans="1:10" x14ac:dyDescent="0.2">
      <c r="A408" t="s">
        <v>3884</v>
      </c>
      <c r="E408" t="str">
        <f>HYPERLINK("http://nlpdeep.cs.uic.edu:8080/proofing/t5/65939-conclusions-0-7.pdf","t5/65939-conclusions-0-7.pdf")</f>
        <v>t5/65939-conclusions-0-7.pdf</v>
      </c>
      <c r="F408">
        <v>108346</v>
      </c>
      <c r="G408">
        <v>65939</v>
      </c>
      <c r="H408" t="s">
        <v>1891</v>
      </c>
      <c r="I408" t="s">
        <v>1979</v>
      </c>
      <c r="J408" t="s">
        <v>3885</v>
      </c>
    </row>
    <row r="409" spans="1:10" x14ac:dyDescent="0.2">
      <c r="A409" t="s">
        <v>3884</v>
      </c>
      <c r="E409" t="str">
        <f>HYPERLINK("http://nlpdeep.cs.uic.edu:8080/proofing/gsii/65939-conclusions-0-7.pdf","gsii/65939-conclusions-0-7.pdf")</f>
        <v>gsii/65939-conclusions-0-7.pdf</v>
      </c>
      <c r="F409">
        <v>108346</v>
      </c>
      <c r="G409">
        <v>65939</v>
      </c>
      <c r="H409" t="s">
        <v>1891</v>
      </c>
      <c r="I409" t="s">
        <v>1979</v>
      </c>
      <c r="J409" t="s">
        <v>3885</v>
      </c>
    </row>
    <row r="410" spans="1:10" x14ac:dyDescent="0.2">
      <c r="A410" t="s">
        <v>3886</v>
      </c>
      <c r="E410" t="str">
        <f>HYPERLINK("http://nlpdeep.cs.uic.edu:8080/proofing/t5/65939-conclusions-0-8.pdf","t5/65939-conclusions-0-8.pdf")</f>
        <v>t5/65939-conclusions-0-8.pdf</v>
      </c>
      <c r="F410">
        <v>108346</v>
      </c>
      <c r="G410">
        <v>65939</v>
      </c>
      <c r="H410" t="s">
        <v>1891</v>
      </c>
      <c r="I410" t="s">
        <v>1979</v>
      </c>
      <c r="J410" t="s">
        <v>3048</v>
      </c>
    </row>
    <row r="411" spans="1:10" x14ac:dyDescent="0.2">
      <c r="A411" t="s">
        <v>3886</v>
      </c>
      <c r="E411" t="str">
        <f>HYPERLINK("http://nlpdeep.cs.uic.edu:8080/proofing/gsii/65939-conclusions-0-8.pdf","gsii/65939-conclusions-0-8.pdf")</f>
        <v>gsii/65939-conclusions-0-8.pdf</v>
      </c>
      <c r="F411">
        <v>108346</v>
      </c>
      <c r="G411">
        <v>65939</v>
      </c>
      <c r="H411" t="s">
        <v>1891</v>
      </c>
      <c r="I411" t="s">
        <v>1979</v>
      </c>
      <c r="J411" t="s">
        <v>3048</v>
      </c>
    </row>
    <row r="412" spans="1:10" x14ac:dyDescent="0.2">
      <c r="A412" t="s">
        <v>3887</v>
      </c>
      <c r="E412" t="str">
        <f>HYPERLINK("http://nlpdeep.cs.uic.edu:8080/proofing/t5/65939-conclusions-0-9.pdf","t5/65939-conclusions-0-9.pdf")</f>
        <v>t5/65939-conclusions-0-9.pdf</v>
      </c>
      <c r="F412">
        <v>108346</v>
      </c>
      <c r="G412">
        <v>65939</v>
      </c>
      <c r="H412" t="s">
        <v>1891</v>
      </c>
      <c r="I412" t="s">
        <v>1979</v>
      </c>
      <c r="J412" t="s">
        <v>3888</v>
      </c>
    </row>
    <row r="413" spans="1:10" x14ac:dyDescent="0.2">
      <c r="A413" t="s">
        <v>3887</v>
      </c>
      <c r="E413" t="str">
        <f>HYPERLINK("http://nlpdeep.cs.uic.edu:8080/proofing/gsii/65939-conclusions-0-9.pdf","gsii/65939-conclusions-0-9.pdf")</f>
        <v>gsii/65939-conclusions-0-9.pdf</v>
      </c>
      <c r="F413">
        <v>108346</v>
      </c>
      <c r="G413">
        <v>65939</v>
      </c>
      <c r="H413" t="s">
        <v>1891</v>
      </c>
      <c r="I413" t="s">
        <v>1979</v>
      </c>
      <c r="J413" t="s">
        <v>3888</v>
      </c>
    </row>
    <row r="414" spans="1:10" x14ac:dyDescent="0.2">
      <c r="A414" t="s">
        <v>3889</v>
      </c>
      <c r="E414" t="str">
        <f>HYPERLINK("http://nlpdeep.cs.uic.edu:8080/proofing/t5/65939-conclusions-0-10.pdf","t5/65939-conclusions-0-10.pdf")</f>
        <v>t5/65939-conclusions-0-10.pdf</v>
      </c>
      <c r="F414">
        <v>108346</v>
      </c>
      <c r="G414">
        <v>65939</v>
      </c>
      <c r="H414" t="s">
        <v>1891</v>
      </c>
      <c r="I414" t="s">
        <v>1979</v>
      </c>
      <c r="J414" t="s">
        <v>2012</v>
      </c>
    </row>
    <row r="415" spans="1:10" x14ac:dyDescent="0.2">
      <c r="A415" t="s">
        <v>3889</v>
      </c>
      <c r="E415" t="str">
        <f>HYPERLINK("http://nlpdeep.cs.uic.edu:8080/proofing/gsii/65939-conclusions-0-10.pdf","gsii/65939-conclusions-0-10.pdf")</f>
        <v>gsii/65939-conclusions-0-10.pdf</v>
      </c>
      <c r="F415">
        <v>108346</v>
      </c>
      <c r="G415">
        <v>65939</v>
      </c>
      <c r="H415" t="s">
        <v>1891</v>
      </c>
      <c r="I415" t="s">
        <v>1979</v>
      </c>
      <c r="J415" t="s">
        <v>2012</v>
      </c>
    </row>
    <row r="416" spans="1:10" x14ac:dyDescent="0.2">
      <c r="A416" t="s">
        <v>3890</v>
      </c>
      <c r="E416" t="str">
        <f>HYPERLINK("http://nlpdeep.cs.uic.edu:8080/proofing/t5/65939-conclusions-0-11.pdf","t5/65939-conclusions-0-11.pdf")</f>
        <v>t5/65939-conclusions-0-11.pdf</v>
      </c>
      <c r="F416">
        <v>108346</v>
      </c>
      <c r="G416">
        <v>65939</v>
      </c>
      <c r="H416" t="s">
        <v>1891</v>
      </c>
      <c r="I416" t="s">
        <v>1979</v>
      </c>
      <c r="J416" t="s">
        <v>2014</v>
      </c>
    </row>
    <row r="417" spans="1:10" x14ac:dyDescent="0.2">
      <c r="A417" t="s">
        <v>3890</v>
      </c>
      <c r="E417" t="str">
        <f>HYPERLINK("http://nlpdeep.cs.uic.edu:8080/proofing/gsii/65939-conclusions-0-11.pdf","gsii/65939-conclusions-0-11.pdf")</f>
        <v>gsii/65939-conclusions-0-11.pdf</v>
      </c>
      <c r="F417">
        <v>108346</v>
      </c>
      <c r="G417">
        <v>65939</v>
      </c>
      <c r="H417" t="s">
        <v>1891</v>
      </c>
      <c r="I417" t="s">
        <v>1979</v>
      </c>
      <c r="J417" t="s">
        <v>2014</v>
      </c>
    </row>
    <row r="418" spans="1:10" x14ac:dyDescent="0.2">
      <c r="A418" t="s">
        <v>3891</v>
      </c>
      <c r="E418" t="str">
        <f>HYPERLINK("http://nlpdeep.cs.uic.edu:8080/proofing/t5/65939-conclusions-0-12.pdf","t5/65939-conclusions-0-12.pdf")</f>
        <v>t5/65939-conclusions-0-12.pdf</v>
      </c>
      <c r="F418">
        <v>108346</v>
      </c>
      <c r="G418">
        <v>65939</v>
      </c>
      <c r="H418" t="s">
        <v>1891</v>
      </c>
      <c r="I418" t="s">
        <v>1979</v>
      </c>
      <c r="J418" t="s">
        <v>2016</v>
      </c>
    </row>
    <row r="419" spans="1:10" x14ac:dyDescent="0.2">
      <c r="A419" t="s">
        <v>3891</v>
      </c>
      <c r="E419" t="str">
        <f>HYPERLINK("http://nlpdeep.cs.uic.edu:8080/proofing/gsii/65939-conclusions-0-12.pdf","gsii/65939-conclusions-0-12.pdf")</f>
        <v>gsii/65939-conclusions-0-12.pdf</v>
      </c>
      <c r="F419">
        <v>108346</v>
      </c>
      <c r="G419">
        <v>65939</v>
      </c>
      <c r="H419" t="s">
        <v>1891</v>
      </c>
      <c r="I419" t="s">
        <v>1979</v>
      </c>
      <c r="J419" t="s">
        <v>2016</v>
      </c>
    </row>
    <row r="420" spans="1:10" x14ac:dyDescent="0.2">
      <c r="A420" t="s">
        <v>3892</v>
      </c>
      <c r="E420" t="str">
        <f>HYPERLINK("http://nlpdeep.cs.uic.edu:8080/proofing/t5/65939-conclusions-0-13.pdf","t5/65939-conclusions-0-13.pdf")</f>
        <v>t5/65939-conclusions-0-13.pdf</v>
      </c>
      <c r="F420">
        <v>108346</v>
      </c>
      <c r="G420">
        <v>65939</v>
      </c>
      <c r="H420" t="s">
        <v>1891</v>
      </c>
      <c r="I420" t="s">
        <v>1979</v>
      </c>
      <c r="J420" t="s">
        <v>3893</v>
      </c>
    </row>
    <row r="421" spans="1:10" x14ac:dyDescent="0.2">
      <c r="A421" t="s">
        <v>3892</v>
      </c>
      <c r="E421" t="str">
        <f>HYPERLINK("http://nlpdeep.cs.uic.edu:8080/proofing/gsii/65939-conclusions-0-13.pdf","gsii/65939-conclusions-0-13.pdf")</f>
        <v>gsii/65939-conclusions-0-13.pdf</v>
      </c>
      <c r="F421">
        <v>108346</v>
      </c>
      <c r="G421">
        <v>65939</v>
      </c>
      <c r="H421" t="s">
        <v>1891</v>
      </c>
      <c r="I421" t="s">
        <v>1979</v>
      </c>
      <c r="J421" t="s">
        <v>3893</v>
      </c>
    </row>
    <row r="422" spans="1:10" x14ac:dyDescent="0.2">
      <c r="A422" t="s">
        <v>3894</v>
      </c>
      <c r="E422" t="str">
        <f>HYPERLINK("http://nlpdeep.cs.uic.edu:8080/proofing/t5/65939-impression-0-0.pdf","t5/65939-impression-0-0.pdf")</f>
        <v>t5/65939-impression-0-0.pdf</v>
      </c>
      <c r="F422">
        <v>108346</v>
      </c>
      <c r="G422">
        <v>65939</v>
      </c>
      <c r="H422" t="s">
        <v>1891</v>
      </c>
      <c r="I422" t="s">
        <v>1859</v>
      </c>
      <c r="J422" t="s">
        <v>3895</v>
      </c>
    </row>
    <row r="423" spans="1:10" x14ac:dyDescent="0.2">
      <c r="A423" t="s">
        <v>3894</v>
      </c>
      <c r="E423" t="str">
        <f>HYPERLINK("http://nlpdeep.cs.uic.edu:8080/proofing/gsii/65939-impression-0-0.pdf","gsii/65939-impression-0-0.pdf")</f>
        <v>gsii/65939-impression-0-0.pdf</v>
      </c>
      <c r="F423">
        <v>108346</v>
      </c>
      <c r="G423">
        <v>65939</v>
      </c>
      <c r="H423" t="s">
        <v>1891</v>
      </c>
      <c r="I423" t="s">
        <v>1859</v>
      </c>
      <c r="J423" t="s">
        <v>3895</v>
      </c>
    </row>
    <row r="424" spans="1:10" x14ac:dyDescent="0.2">
      <c r="A424" t="s">
        <v>3896</v>
      </c>
      <c r="E424" t="str">
        <f>HYPERLINK("http://nlpdeep.cs.uic.edu:8080/proofing/t5/65939-impression-0-1.pdf","t5/65939-impression-0-1.pdf")</f>
        <v>t5/65939-impression-0-1.pdf</v>
      </c>
      <c r="F424">
        <v>108346</v>
      </c>
      <c r="G424">
        <v>65939</v>
      </c>
      <c r="H424" t="s">
        <v>1891</v>
      </c>
      <c r="I424" t="s">
        <v>1859</v>
      </c>
      <c r="J424" t="s">
        <v>3897</v>
      </c>
    </row>
    <row r="425" spans="1:10" x14ac:dyDescent="0.2">
      <c r="A425" t="s">
        <v>3896</v>
      </c>
      <c r="E425" t="str">
        <f>HYPERLINK("http://nlpdeep.cs.uic.edu:8080/proofing/gsii/65939-impression-0-1.pdf","gsii/65939-impression-0-1.pdf")</f>
        <v>gsii/65939-impression-0-1.pdf</v>
      </c>
      <c r="F425">
        <v>108346</v>
      </c>
      <c r="G425">
        <v>65939</v>
      </c>
      <c r="H425" t="s">
        <v>1891</v>
      </c>
      <c r="I425" t="s">
        <v>1859</v>
      </c>
      <c r="J425" t="s">
        <v>3897</v>
      </c>
    </row>
    <row r="426" spans="1:10" x14ac:dyDescent="0.2">
      <c r="A426" t="s">
        <v>3898</v>
      </c>
      <c r="E426" t="str">
        <f>HYPERLINK("http://nlpdeep.cs.uic.edu:8080/proofing/t5/65939-impression-0-2.pdf","t5/65939-impression-0-2.pdf")</f>
        <v>t5/65939-impression-0-2.pdf</v>
      </c>
      <c r="F426">
        <v>108346</v>
      </c>
      <c r="G426">
        <v>65939</v>
      </c>
      <c r="H426" t="s">
        <v>1891</v>
      </c>
      <c r="I426" t="s">
        <v>1859</v>
      </c>
      <c r="J426" t="s">
        <v>3899</v>
      </c>
    </row>
    <row r="427" spans="1:10" x14ac:dyDescent="0.2">
      <c r="A427" t="s">
        <v>3898</v>
      </c>
      <c r="E427" t="str">
        <f>HYPERLINK("http://nlpdeep.cs.uic.edu:8080/proofing/gsii/65939-impression-0-2.pdf","gsii/65939-impression-0-2.pdf")</f>
        <v>gsii/65939-impression-0-2.pdf</v>
      </c>
      <c r="F427">
        <v>108346</v>
      </c>
      <c r="G427">
        <v>65939</v>
      </c>
      <c r="H427" t="s">
        <v>1891</v>
      </c>
      <c r="I427" t="s">
        <v>1859</v>
      </c>
      <c r="J427" t="s">
        <v>3899</v>
      </c>
    </row>
    <row r="428" spans="1:10" x14ac:dyDescent="0.2">
      <c r="A428" t="s">
        <v>3900</v>
      </c>
      <c r="E428" t="str">
        <f>HYPERLINK("http://nlpdeep.cs.uic.edu:8080/proofing/t5/6558-allergies-0-0.pdf","t5/6558-allergies-0-0.pdf")</f>
        <v>t5/6558-allergies-0-0.pdf</v>
      </c>
      <c r="F428">
        <v>108346</v>
      </c>
      <c r="G428">
        <v>6558</v>
      </c>
      <c r="H428" t="s">
        <v>745</v>
      </c>
      <c r="I428" t="s">
        <v>64</v>
      </c>
      <c r="J428" t="s">
        <v>3901</v>
      </c>
    </row>
    <row r="429" spans="1:10" x14ac:dyDescent="0.2">
      <c r="A429" t="s">
        <v>3900</v>
      </c>
      <c r="E429" t="str">
        <f>HYPERLINK("http://nlpdeep.cs.uic.edu:8080/proofing/gsii/6558-allergies-0-0.pdf","gsii/6558-allergies-0-0.pdf")</f>
        <v>gsii/6558-allergies-0-0.pdf</v>
      </c>
      <c r="F429">
        <v>108346</v>
      </c>
      <c r="G429">
        <v>6558</v>
      </c>
      <c r="H429" t="s">
        <v>745</v>
      </c>
      <c r="I429" t="s">
        <v>64</v>
      </c>
      <c r="J429" t="s">
        <v>3901</v>
      </c>
    </row>
    <row r="430" spans="1:10" x14ac:dyDescent="0.2">
      <c r="A430" t="s">
        <v>3902</v>
      </c>
      <c r="E430" t="str">
        <f>HYPERLINK("http://nlpdeep.cs.uic.edu:8080/proofing/t5/6558-chief-complaint-0-0.pdf","t5/6558-chief-complaint-0-0.pdf")</f>
        <v>t5/6558-chief-complaint-0-0.pdf</v>
      </c>
      <c r="F430">
        <v>108346</v>
      </c>
      <c r="G430">
        <v>6558</v>
      </c>
      <c r="H430" t="s">
        <v>745</v>
      </c>
      <c r="I430" t="s">
        <v>10</v>
      </c>
      <c r="J430" t="s">
        <v>3903</v>
      </c>
    </row>
    <row r="431" spans="1:10" x14ac:dyDescent="0.2">
      <c r="A431" t="s">
        <v>3902</v>
      </c>
      <c r="E431" t="str">
        <f>HYPERLINK("http://nlpdeep.cs.uic.edu:8080/proofing/gsii/6558-chief-complaint-0-0.pdf","gsii/6558-chief-complaint-0-0.pdf")</f>
        <v>gsii/6558-chief-complaint-0-0.pdf</v>
      </c>
      <c r="F431">
        <v>108346</v>
      </c>
      <c r="G431">
        <v>6558</v>
      </c>
      <c r="H431" t="s">
        <v>745</v>
      </c>
      <c r="I431" t="s">
        <v>10</v>
      </c>
      <c r="J431" t="s">
        <v>3903</v>
      </c>
    </row>
    <row r="432" spans="1:10" x14ac:dyDescent="0.2">
      <c r="A432" t="s">
        <v>3904</v>
      </c>
      <c r="E432" t="str">
        <f>HYPERLINK("http://nlpdeep.cs.uic.edu:8080/proofing/t5/6558-major-surgical-or-invasive-procedure-0-0.pdf","t5/6558-major-surgical-or-invasive-procedure-0-0.pdf")</f>
        <v>t5/6558-major-surgical-or-invasive-procedure-0-0.pdf</v>
      </c>
      <c r="F432">
        <v>108346</v>
      </c>
      <c r="G432">
        <v>6558</v>
      </c>
      <c r="H432" t="s">
        <v>745</v>
      </c>
      <c r="I432" t="s">
        <v>750</v>
      </c>
      <c r="J432" t="s">
        <v>3905</v>
      </c>
    </row>
    <row r="433" spans="1:10" x14ac:dyDescent="0.2">
      <c r="A433" t="s">
        <v>3904</v>
      </c>
      <c r="E433" t="str">
        <f>HYPERLINK("http://nlpdeep.cs.uic.edu:8080/proofing/gsii/6558-major-surgical-or-invasive-procedure-0-0.pdf","gsii/6558-major-surgical-or-invasive-procedure-0-0.pdf")</f>
        <v>gsii/6558-major-surgical-or-invasive-procedure-0-0.pdf</v>
      </c>
      <c r="F433">
        <v>108346</v>
      </c>
      <c r="G433">
        <v>6558</v>
      </c>
      <c r="H433" t="s">
        <v>745</v>
      </c>
      <c r="I433" t="s">
        <v>750</v>
      </c>
      <c r="J433" t="s">
        <v>3905</v>
      </c>
    </row>
    <row r="434" spans="1:10" x14ac:dyDescent="0.2">
      <c r="A434" t="s">
        <v>3906</v>
      </c>
      <c r="E434" t="str">
        <f>HYPERLINK("http://nlpdeep.cs.uic.edu:8080/proofing/t5/6558-history-of-present-illness-0-0.pdf","t5/6558-history-of-present-illness-0-0.pdf")</f>
        <v>t5/6558-history-of-present-illness-0-0.pdf</v>
      </c>
      <c r="F434">
        <v>108346</v>
      </c>
      <c r="G434">
        <v>6558</v>
      </c>
      <c r="H434" t="s">
        <v>745</v>
      </c>
      <c r="I434" t="s">
        <v>13</v>
      </c>
      <c r="J434" t="s">
        <v>3907</v>
      </c>
    </row>
    <row r="435" spans="1:10" x14ac:dyDescent="0.2">
      <c r="A435" t="s">
        <v>3906</v>
      </c>
      <c r="E435" t="str">
        <f>HYPERLINK("http://nlpdeep.cs.uic.edu:8080/proofing/gsii/6558-history-of-present-illness-0-0.pdf","gsii/6558-history-of-present-illness-0-0.pdf")</f>
        <v>gsii/6558-history-of-present-illness-0-0.pdf</v>
      </c>
      <c r="F435">
        <v>108346</v>
      </c>
      <c r="G435">
        <v>6558</v>
      </c>
      <c r="H435" t="s">
        <v>745</v>
      </c>
      <c r="I435" t="s">
        <v>13</v>
      </c>
      <c r="J435" t="s">
        <v>3907</v>
      </c>
    </row>
    <row r="436" spans="1:10" x14ac:dyDescent="0.2">
      <c r="A436" t="s">
        <v>3908</v>
      </c>
      <c r="E436" t="str">
        <f>HYPERLINK("http://nlpdeep.cs.uic.edu:8080/proofing/t5/6558-history-of-present-illness-0-1.pdf","t5/6558-history-of-present-illness-0-1.pdf")</f>
        <v>t5/6558-history-of-present-illness-0-1.pdf</v>
      </c>
      <c r="F436">
        <v>108346</v>
      </c>
      <c r="G436">
        <v>6558</v>
      </c>
      <c r="H436" t="s">
        <v>745</v>
      </c>
      <c r="I436" t="s">
        <v>13</v>
      </c>
      <c r="J436" t="s">
        <v>3909</v>
      </c>
    </row>
    <row r="437" spans="1:10" x14ac:dyDescent="0.2">
      <c r="A437" t="s">
        <v>3908</v>
      </c>
      <c r="E437" t="str">
        <f>HYPERLINK("http://nlpdeep.cs.uic.edu:8080/proofing/gsii/6558-history-of-present-illness-0-1.pdf","gsii/6558-history-of-present-illness-0-1.pdf")</f>
        <v>gsii/6558-history-of-present-illness-0-1.pdf</v>
      </c>
      <c r="F437">
        <v>108346</v>
      </c>
      <c r="G437">
        <v>6558</v>
      </c>
      <c r="H437" t="s">
        <v>745</v>
      </c>
      <c r="I437" t="s">
        <v>13</v>
      </c>
      <c r="J437" t="s">
        <v>3909</v>
      </c>
    </row>
    <row r="438" spans="1:10" x14ac:dyDescent="0.2">
      <c r="A438" t="s">
        <v>3910</v>
      </c>
      <c r="E438" t="str">
        <f>HYPERLINK("http://nlpdeep.cs.uic.edu:8080/proofing/t5/6558-history-of-present-illness-0-2.pdf","t5/6558-history-of-present-illness-0-2.pdf")</f>
        <v>t5/6558-history-of-present-illness-0-2.pdf</v>
      </c>
      <c r="F438">
        <v>108346</v>
      </c>
      <c r="G438">
        <v>6558</v>
      </c>
      <c r="H438" t="s">
        <v>745</v>
      </c>
      <c r="I438" t="s">
        <v>13</v>
      </c>
      <c r="J438" t="s">
        <v>3911</v>
      </c>
    </row>
    <row r="439" spans="1:10" x14ac:dyDescent="0.2">
      <c r="A439" t="s">
        <v>3910</v>
      </c>
      <c r="E439" t="str">
        <f>HYPERLINK("http://nlpdeep.cs.uic.edu:8080/proofing/gsii/6558-history-of-present-illness-0-2.pdf","gsii/6558-history-of-present-illness-0-2.pdf")</f>
        <v>gsii/6558-history-of-present-illness-0-2.pdf</v>
      </c>
      <c r="F439">
        <v>108346</v>
      </c>
      <c r="G439">
        <v>6558</v>
      </c>
      <c r="H439" t="s">
        <v>745</v>
      </c>
      <c r="I439" t="s">
        <v>13</v>
      </c>
      <c r="J439" t="s">
        <v>3911</v>
      </c>
    </row>
    <row r="440" spans="1:10" x14ac:dyDescent="0.2">
      <c r="A440" t="s">
        <v>3912</v>
      </c>
      <c r="E440" t="str">
        <f>HYPERLINK("http://nlpdeep.cs.uic.edu:8080/proofing/t5/6558-history-of-present-illness-0-3.pdf","t5/6558-history-of-present-illness-0-3.pdf")</f>
        <v>t5/6558-history-of-present-illness-0-3.pdf</v>
      </c>
      <c r="F440">
        <v>108346</v>
      </c>
      <c r="G440">
        <v>6558</v>
      </c>
      <c r="H440" t="s">
        <v>745</v>
      </c>
      <c r="I440" t="s">
        <v>13</v>
      </c>
      <c r="J440" t="s">
        <v>3913</v>
      </c>
    </row>
    <row r="441" spans="1:10" x14ac:dyDescent="0.2">
      <c r="A441" t="s">
        <v>3912</v>
      </c>
      <c r="E441" t="str">
        <f>HYPERLINK("http://nlpdeep.cs.uic.edu:8080/proofing/gsii/6558-history-of-present-illness-0-3.pdf","gsii/6558-history-of-present-illness-0-3.pdf")</f>
        <v>gsii/6558-history-of-present-illness-0-3.pdf</v>
      </c>
      <c r="F441">
        <v>108346</v>
      </c>
      <c r="G441">
        <v>6558</v>
      </c>
      <c r="H441" t="s">
        <v>745</v>
      </c>
      <c r="I441" t="s">
        <v>13</v>
      </c>
      <c r="J441" t="s">
        <v>3913</v>
      </c>
    </row>
    <row r="442" spans="1:10" x14ac:dyDescent="0.2">
      <c r="A442" t="s">
        <v>3914</v>
      </c>
      <c r="E442" t="str">
        <f>HYPERLINK("http://nlpdeep.cs.uic.edu:8080/proofing/t5/6558-history-of-present-illness-0-4.pdf","t5/6558-history-of-present-illness-0-4.pdf")</f>
        <v>t5/6558-history-of-present-illness-0-4.pdf</v>
      </c>
      <c r="F442">
        <v>108346</v>
      </c>
      <c r="G442">
        <v>6558</v>
      </c>
      <c r="H442" t="s">
        <v>745</v>
      </c>
      <c r="I442" t="s">
        <v>13</v>
      </c>
      <c r="J442" t="s">
        <v>3915</v>
      </c>
    </row>
    <row r="443" spans="1:10" x14ac:dyDescent="0.2">
      <c r="A443" t="s">
        <v>3914</v>
      </c>
      <c r="E443" t="str">
        <f>HYPERLINK("http://nlpdeep.cs.uic.edu:8080/proofing/gsii/6558-history-of-present-illness-0-4.pdf","gsii/6558-history-of-present-illness-0-4.pdf")</f>
        <v>gsii/6558-history-of-present-illness-0-4.pdf</v>
      </c>
      <c r="F443">
        <v>108346</v>
      </c>
      <c r="G443">
        <v>6558</v>
      </c>
      <c r="H443" t="s">
        <v>745</v>
      </c>
      <c r="I443" t="s">
        <v>13</v>
      </c>
      <c r="J443" t="s">
        <v>3915</v>
      </c>
    </row>
    <row r="444" spans="1:10" x14ac:dyDescent="0.2">
      <c r="A444" t="s">
        <v>3916</v>
      </c>
      <c r="E444" t="str">
        <f>HYPERLINK("http://nlpdeep.cs.uic.edu:8080/proofing/t5/6558-history-of-present-illness-0-5.pdf","t5/6558-history-of-present-illness-0-5.pdf")</f>
        <v>t5/6558-history-of-present-illness-0-5.pdf</v>
      </c>
      <c r="F444">
        <v>108346</v>
      </c>
      <c r="G444">
        <v>6558</v>
      </c>
      <c r="H444" t="s">
        <v>745</v>
      </c>
      <c r="I444" t="s">
        <v>13</v>
      </c>
      <c r="J444" t="s">
        <v>3917</v>
      </c>
    </row>
    <row r="445" spans="1:10" x14ac:dyDescent="0.2">
      <c r="A445" t="s">
        <v>3916</v>
      </c>
      <c r="E445" t="str">
        <f>HYPERLINK("http://nlpdeep.cs.uic.edu:8080/proofing/gsii/6558-history-of-present-illness-0-5.pdf","gsii/6558-history-of-present-illness-0-5.pdf")</f>
        <v>gsii/6558-history-of-present-illness-0-5.pdf</v>
      </c>
      <c r="F445">
        <v>108346</v>
      </c>
      <c r="G445">
        <v>6558</v>
      </c>
      <c r="H445" t="s">
        <v>745</v>
      </c>
      <c r="I445" t="s">
        <v>13</v>
      </c>
      <c r="J445" t="s">
        <v>3917</v>
      </c>
    </row>
    <row r="446" spans="1:10" x14ac:dyDescent="0.2">
      <c r="A446" t="s">
        <v>3918</v>
      </c>
      <c r="E446" t="str">
        <f>HYPERLINK("http://nlpdeep.cs.uic.edu:8080/proofing/t5/6558-history-of-present-illness-0-6.pdf","t5/6558-history-of-present-illness-0-6.pdf")</f>
        <v>t5/6558-history-of-present-illness-0-6.pdf</v>
      </c>
      <c r="F446">
        <v>108346</v>
      </c>
      <c r="G446">
        <v>6558</v>
      </c>
      <c r="H446" t="s">
        <v>745</v>
      </c>
      <c r="I446" t="s">
        <v>13</v>
      </c>
      <c r="J446" t="s">
        <v>3919</v>
      </c>
    </row>
    <row r="447" spans="1:10" x14ac:dyDescent="0.2">
      <c r="A447" t="s">
        <v>3918</v>
      </c>
      <c r="E447" t="str">
        <f>HYPERLINK("http://nlpdeep.cs.uic.edu:8080/proofing/gsii/6558-history-of-present-illness-0-6.pdf","gsii/6558-history-of-present-illness-0-6.pdf")</f>
        <v>gsii/6558-history-of-present-illness-0-6.pdf</v>
      </c>
      <c r="F447">
        <v>108346</v>
      </c>
      <c r="G447">
        <v>6558</v>
      </c>
      <c r="H447" t="s">
        <v>745</v>
      </c>
      <c r="I447" t="s">
        <v>13</v>
      </c>
      <c r="J447" t="s">
        <v>3919</v>
      </c>
    </row>
    <row r="448" spans="1:10" x14ac:dyDescent="0.2">
      <c r="A448" t="s">
        <v>3920</v>
      </c>
      <c r="E448" t="str">
        <f>HYPERLINK("http://nlpdeep.cs.uic.edu:8080/proofing/t5/6558-history-of-present-illness-0-7.pdf","t5/6558-history-of-present-illness-0-7.pdf")</f>
        <v>t5/6558-history-of-present-illness-0-7.pdf</v>
      </c>
      <c r="F448">
        <v>108346</v>
      </c>
      <c r="G448">
        <v>6558</v>
      </c>
      <c r="H448" t="s">
        <v>745</v>
      </c>
      <c r="I448" t="s">
        <v>13</v>
      </c>
      <c r="J448" t="s">
        <v>3921</v>
      </c>
    </row>
    <row r="449" spans="1:10" x14ac:dyDescent="0.2">
      <c r="A449" t="s">
        <v>3920</v>
      </c>
      <c r="E449" t="str">
        <f>HYPERLINK("http://nlpdeep.cs.uic.edu:8080/proofing/gsii/6558-history-of-present-illness-0-7.pdf","gsii/6558-history-of-present-illness-0-7.pdf")</f>
        <v>gsii/6558-history-of-present-illness-0-7.pdf</v>
      </c>
      <c r="F449">
        <v>108346</v>
      </c>
      <c r="G449">
        <v>6558</v>
      </c>
      <c r="H449" t="s">
        <v>745</v>
      </c>
      <c r="I449" t="s">
        <v>13</v>
      </c>
      <c r="J449" t="s">
        <v>3921</v>
      </c>
    </row>
    <row r="450" spans="1:10" x14ac:dyDescent="0.2">
      <c r="A450" t="s">
        <v>3922</v>
      </c>
      <c r="E450" t="str">
        <f>HYPERLINK("http://nlpdeep.cs.uic.edu:8080/proofing/t5/6558-history-of-present-illness-0-8.pdf","t5/6558-history-of-present-illness-0-8.pdf")</f>
        <v>t5/6558-history-of-present-illness-0-8.pdf</v>
      </c>
      <c r="F450">
        <v>108346</v>
      </c>
      <c r="G450">
        <v>6558</v>
      </c>
      <c r="H450" t="s">
        <v>745</v>
      </c>
      <c r="I450" t="s">
        <v>13</v>
      </c>
      <c r="J450" t="s">
        <v>3923</v>
      </c>
    </row>
    <row r="451" spans="1:10" x14ac:dyDescent="0.2">
      <c r="A451" t="s">
        <v>3922</v>
      </c>
      <c r="E451" t="str">
        <f>HYPERLINK("http://nlpdeep.cs.uic.edu:8080/proofing/gsii/6558-history-of-present-illness-0-8.pdf","gsii/6558-history-of-present-illness-0-8.pdf")</f>
        <v>gsii/6558-history-of-present-illness-0-8.pdf</v>
      </c>
      <c r="F451">
        <v>108346</v>
      </c>
      <c r="G451">
        <v>6558</v>
      </c>
      <c r="H451" t="s">
        <v>745</v>
      </c>
      <c r="I451" t="s">
        <v>13</v>
      </c>
      <c r="J451" t="s">
        <v>3923</v>
      </c>
    </row>
    <row r="452" spans="1:10" x14ac:dyDescent="0.2">
      <c r="A452" t="s">
        <v>3924</v>
      </c>
      <c r="B452">
        <v>3</v>
      </c>
      <c r="C452" t="s">
        <v>5600</v>
      </c>
      <c r="E452" t="str">
        <f>HYPERLINK("http://nlpdeep.cs.uic.edu:8080/proofing/t5/6558-history-of-present-illness-0-9.pdf","t5/6558-history-of-present-illness-0-9.pdf")</f>
        <v>t5/6558-history-of-present-illness-0-9.pdf</v>
      </c>
      <c r="F452">
        <v>108346</v>
      </c>
      <c r="G452">
        <v>6558</v>
      </c>
      <c r="H452" t="s">
        <v>745</v>
      </c>
      <c r="I452" t="s">
        <v>13</v>
      </c>
      <c r="J452" t="s">
        <v>3925</v>
      </c>
    </row>
    <row r="453" spans="1:10" x14ac:dyDescent="0.2">
      <c r="A453" t="s">
        <v>3924</v>
      </c>
      <c r="B453">
        <v>5</v>
      </c>
      <c r="E453" t="str">
        <f>HYPERLINK("http://nlpdeep.cs.uic.edu:8080/proofing/gsii/6558-history-of-present-illness-0-9.pdf","gsii/6558-history-of-present-illness-0-9.pdf")</f>
        <v>gsii/6558-history-of-present-illness-0-9.pdf</v>
      </c>
      <c r="F453">
        <v>108346</v>
      </c>
      <c r="G453">
        <v>6558</v>
      </c>
      <c r="H453" t="s">
        <v>745</v>
      </c>
      <c r="I453" t="s">
        <v>13</v>
      </c>
      <c r="J453" t="s">
        <v>3925</v>
      </c>
    </row>
    <row r="454" spans="1:10" x14ac:dyDescent="0.2">
      <c r="A454" t="s">
        <v>3926</v>
      </c>
      <c r="E454" t="str">
        <f>HYPERLINK("http://nlpdeep.cs.uic.edu:8080/proofing/t5/6558-history-of-present-illness-0-10.pdf","t5/6558-history-of-present-illness-0-10.pdf")</f>
        <v>t5/6558-history-of-present-illness-0-10.pdf</v>
      </c>
      <c r="F454">
        <v>108346</v>
      </c>
      <c r="G454">
        <v>6558</v>
      </c>
      <c r="H454" t="s">
        <v>745</v>
      </c>
      <c r="I454" t="s">
        <v>13</v>
      </c>
      <c r="J454" t="s">
        <v>3927</v>
      </c>
    </row>
    <row r="455" spans="1:10" x14ac:dyDescent="0.2">
      <c r="A455" t="s">
        <v>3926</v>
      </c>
      <c r="E455" t="str">
        <f>HYPERLINK("http://nlpdeep.cs.uic.edu:8080/proofing/gsii/6558-history-of-present-illness-0-10.pdf","gsii/6558-history-of-present-illness-0-10.pdf")</f>
        <v>gsii/6558-history-of-present-illness-0-10.pdf</v>
      </c>
      <c r="F455">
        <v>108346</v>
      </c>
      <c r="G455">
        <v>6558</v>
      </c>
      <c r="H455" t="s">
        <v>745</v>
      </c>
      <c r="I455" t="s">
        <v>13</v>
      </c>
      <c r="J455" t="s">
        <v>3927</v>
      </c>
    </row>
    <row r="456" spans="1:10" x14ac:dyDescent="0.2">
      <c r="A456" t="s">
        <v>3928</v>
      </c>
      <c r="E456" t="str">
        <f>HYPERLINK("http://nlpdeep.cs.uic.edu:8080/proofing/t5/6558-past-medical-history-0-0.pdf","t5/6558-past-medical-history-0-0.pdf")</f>
        <v>t5/6558-past-medical-history-0-0.pdf</v>
      </c>
      <c r="F456">
        <v>108346</v>
      </c>
      <c r="G456">
        <v>6558</v>
      </c>
      <c r="H456" t="s">
        <v>745</v>
      </c>
      <c r="I456" t="s">
        <v>76</v>
      </c>
      <c r="J456" t="s">
        <v>3929</v>
      </c>
    </row>
    <row r="457" spans="1:10" x14ac:dyDescent="0.2">
      <c r="A457" t="s">
        <v>3928</v>
      </c>
      <c r="E457" t="str">
        <f>HYPERLINK("http://nlpdeep.cs.uic.edu:8080/proofing/gsii/6558-past-medical-history-0-0.pdf","gsii/6558-past-medical-history-0-0.pdf")</f>
        <v>gsii/6558-past-medical-history-0-0.pdf</v>
      </c>
      <c r="F457">
        <v>108346</v>
      </c>
      <c r="G457">
        <v>6558</v>
      </c>
      <c r="H457" t="s">
        <v>745</v>
      </c>
      <c r="I457" t="s">
        <v>76</v>
      </c>
      <c r="J457" t="s">
        <v>3929</v>
      </c>
    </row>
    <row r="458" spans="1:10" x14ac:dyDescent="0.2">
      <c r="A458" t="s">
        <v>3930</v>
      </c>
      <c r="E458" t="str">
        <f>HYPERLINK("http://nlpdeep.cs.uic.edu:8080/proofing/t5/6558-social-history-0-0.pdf","t5/6558-social-history-0-0.pdf")</f>
        <v>t5/6558-social-history-0-0.pdf</v>
      </c>
      <c r="F458">
        <v>108346</v>
      </c>
      <c r="G458">
        <v>6558</v>
      </c>
      <c r="H458" t="s">
        <v>745</v>
      </c>
      <c r="I458" t="s">
        <v>118</v>
      </c>
      <c r="J458" t="s">
        <v>3931</v>
      </c>
    </row>
    <row r="459" spans="1:10" x14ac:dyDescent="0.2">
      <c r="A459" t="s">
        <v>3930</v>
      </c>
      <c r="E459" t="str">
        <f>HYPERLINK("http://nlpdeep.cs.uic.edu:8080/proofing/gsii/6558-social-history-0-0.pdf","gsii/6558-social-history-0-0.pdf")</f>
        <v>gsii/6558-social-history-0-0.pdf</v>
      </c>
      <c r="F459">
        <v>108346</v>
      </c>
      <c r="G459">
        <v>6558</v>
      </c>
      <c r="H459" t="s">
        <v>745</v>
      </c>
      <c r="I459" t="s">
        <v>118</v>
      </c>
      <c r="J459" t="s">
        <v>3931</v>
      </c>
    </row>
    <row r="460" spans="1:10" x14ac:dyDescent="0.2">
      <c r="A460" t="s">
        <v>3932</v>
      </c>
      <c r="E460" t="str">
        <f>HYPERLINK("http://nlpdeep.cs.uic.edu:8080/proofing/t5/6558-family-history-0-0.pdf","t5/6558-family-history-0-0.pdf")</f>
        <v>t5/6558-family-history-0-0.pdf</v>
      </c>
      <c r="F460">
        <v>108346</v>
      </c>
      <c r="G460">
        <v>6558</v>
      </c>
      <c r="H460" t="s">
        <v>745</v>
      </c>
      <c r="I460" t="s">
        <v>107</v>
      </c>
      <c r="J460" t="s">
        <v>3931</v>
      </c>
    </row>
    <row r="461" spans="1:10" x14ac:dyDescent="0.2">
      <c r="A461" t="s">
        <v>3932</v>
      </c>
      <c r="E461" t="str">
        <f>HYPERLINK("http://nlpdeep.cs.uic.edu:8080/proofing/gsii/6558-family-history-0-0.pdf","gsii/6558-family-history-0-0.pdf")</f>
        <v>gsii/6558-family-history-0-0.pdf</v>
      </c>
      <c r="F461">
        <v>108346</v>
      </c>
      <c r="G461">
        <v>6558</v>
      </c>
      <c r="H461" t="s">
        <v>745</v>
      </c>
      <c r="I461" t="s">
        <v>107</v>
      </c>
      <c r="J461" t="s">
        <v>3931</v>
      </c>
    </row>
    <row r="462" spans="1:10" x14ac:dyDescent="0.2">
      <c r="A462" t="s">
        <v>3933</v>
      </c>
      <c r="E462" t="str">
        <f>HYPERLINK("http://nlpdeep.cs.uic.edu:8080/proofing/t5/6558-physical-examination-0-0.pdf","t5/6558-physical-examination-0-0.pdf")</f>
        <v>t5/6558-physical-examination-0-0.pdf</v>
      </c>
      <c r="F462">
        <v>108346</v>
      </c>
      <c r="G462">
        <v>6558</v>
      </c>
      <c r="H462" t="s">
        <v>745</v>
      </c>
      <c r="I462" t="s">
        <v>138</v>
      </c>
      <c r="J462" t="s">
        <v>3934</v>
      </c>
    </row>
    <row r="463" spans="1:10" x14ac:dyDescent="0.2">
      <c r="A463" t="s">
        <v>3933</v>
      </c>
      <c r="E463" t="str">
        <f>HYPERLINK("http://nlpdeep.cs.uic.edu:8080/proofing/gsii/6558-physical-examination-0-0.pdf","gsii/6558-physical-examination-0-0.pdf")</f>
        <v>gsii/6558-physical-examination-0-0.pdf</v>
      </c>
      <c r="F463">
        <v>108346</v>
      </c>
      <c r="G463">
        <v>6558</v>
      </c>
      <c r="H463" t="s">
        <v>745</v>
      </c>
      <c r="I463" t="s">
        <v>138</v>
      </c>
      <c r="J463" t="s">
        <v>3934</v>
      </c>
    </row>
    <row r="464" spans="1:10" x14ac:dyDescent="0.2">
      <c r="A464" t="s">
        <v>3935</v>
      </c>
      <c r="E464" t="str">
        <f>HYPERLINK("http://nlpdeep.cs.uic.edu:8080/proofing/t5/6558-physical-examination-0-1.pdf","t5/6558-physical-examination-0-1.pdf")</f>
        <v>t5/6558-physical-examination-0-1.pdf</v>
      </c>
      <c r="F464">
        <v>108346</v>
      </c>
      <c r="G464">
        <v>6558</v>
      </c>
      <c r="H464" t="s">
        <v>745</v>
      </c>
      <c r="I464" t="s">
        <v>138</v>
      </c>
      <c r="J464" t="s">
        <v>3936</v>
      </c>
    </row>
    <row r="465" spans="1:10" x14ac:dyDescent="0.2">
      <c r="A465" t="s">
        <v>3935</v>
      </c>
      <c r="E465" t="str">
        <f>HYPERLINK("http://nlpdeep.cs.uic.edu:8080/proofing/gsii/6558-physical-examination-0-1.pdf","gsii/6558-physical-examination-0-1.pdf")</f>
        <v>gsii/6558-physical-examination-0-1.pdf</v>
      </c>
      <c r="F465">
        <v>108346</v>
      </c>
      <c r="G465">
        <v>6558</v>
      </c>
      <c r="H465" t="s">
        <v>745</v>
      </c>
      <c r="I465" t="s">
        <v>138</v>
      </c>
      <c r="J465" t="s">
        <v>3936</v>
      </c>
    </row>
    <row r="466" spans="1:10" x14ac:dyDescent="0.2">
      <c r="A466" t="s">
        <v>3937</v>
      </c>
      <c r="E466" t="str">
        <f>HYPERLINK("http://nlpdeep.cs.uic.edu:8080/proofing/t5/6558-physical-examination-0-2.pdf","t5/6558-physical-examination-0-2.pdf")</f>
        <v>t5/6558-physical-examination-0-2.pdf</v>
      </c>
      <c r="F466">
        <v>108346</v>
      </c>
      <c r="G466">
        <v>6558</v>
      </c>
      <c r="H466" t="s">
        <v>745</v>
      </c>
      <c r="I466" t="s">
        <v>138</v>
      </c>
      <c r="J466" t="s">
        <v>3938</v>
      </c>
    </row>
    <row r="467" spans="1:10" x14ac:dyDescent="0.2">
      <c r="A467" t="s">
        <v>3937</v>
      </c>
      <c r="E467" t="str">
        <f>HYPERLINK("http://nlpdeep.cs.uic.edu:8080/proofing/gsii/6558-physical-examination-0-2.pdf","gsii/6558-physical-examination-0-2.pdf")</f>
        <v>gsii/6558-physical-examination-0-2.pdf</v>
      </c>
      <c r="F467">
        <v>108346</v>
      </c>
      <c r="G467">
        <v>6558</v>
      </c>
      <c r="H467" t="s">
        <v>745</v>
      </c>
      <c r="I467" t="s">
        <v>138</v>
      </c>
      <c r="J467" t="s">
        <v>3938</v>
      </c>
    </row>
    <row r="468" spans="1:10" x14ac:dyDescent="0.2">
      <c r="A468" t="s">
        <v>3939</v>
      </c>
      <c r="E468" t="str">
        <f>HYPERLINK("http://nlpdeep.cs.uic.edu:8080/proofing/t5/6558-physical-examination-0-3.pdf","t5/6558-physical-examination-0-3.pdf")</f>
        <v>t5/6558-physical-examination-0-3.pdf</v>
      </c>
      <c r="F468">
        <v>108346</v>
      </c>
      <c r="G468">
        <v>6558</v>
      </c>
      <c r="H468" t="s">
        <v>745</v>
      </c>
      <c r="I468" t="s">
        <v>138</v>
      </c>
      <c r="J468" t="s">
        <v>3940</v>
      </c>
    </row>
    <row r="469" spans="1:10" x14ac:dyDescent="0.2">
      <c r="A469" t="s">
        <v>3939</v>
      </c>
      <c r="E469" t="str">
        <f>HYPERLINK("http://nlpdeep.cs.uic.edu:8080/proofing/gsii/6558-physical-examination-0-3.pdf","gsii/6558-physical-examination-0-3.pdf")</f>
        <v>gsii/6558-physical-examination-0-3.pdf</v>
      </c>
      <c r="F469">
        <v>108346</v>
      </c>
      <c r="G469">
        <v>6558</v>
      </c>
      <c r="H469" t="s">
        <v>745</v>
      </c>
      <c r="I469" t="s">
        <v>138</v>
      </c>
      <c r="J469" t="s">
        <v>3940</v>
      </c>
    </row>
    <row r="470" spans="1:10" x14ac:dyDescent="0.2">
      <c r="A470" t="s">
        <v>3941</v>
      </c>
      <c r="E470" t="str">
        <f>HYPERLINK("http://nlpdeep.cs.uic.edu:8080/proofing/t5/6558-physical-examination-0-4.pdf","t5/6558-physical-examination-0-4.pdf")</f>
        <v>t5/6558-physical-examination-0-4.pdf</v>
      </c>
      <c r="F470">
        <v>108346</v>
      </c>
      <c r="G470">
        <v>6558</v>
      </c>
      <c r="H470" t="s">
        <v>745</v>
      </c>
      <c r="I470" t="s">
        <v>138</v>
      </c>
      <c r="J470" t="s">
        <v>3942</v>
      </c>
    </row>
    <row r="471" spans="1:10" x14ac:dyDescent="0.2">
      <c r="A471" t="s">
        <v>3941</v>
      </c>
      <c r="E471" t="str">
        <f>HYPERLINK("http://nlpdeep.cs.uic.edu:8080/proofing/gsii/6558-physical-examination-0-4.pdf","gsii/6558-physical-examination-0-4.pdf")</f>
        <v>gsii/6558-physical-examination-0-4.pdf</v>
      </c>
      <c r="F471">
        <v>108346</v>
      </c>
      <c r="G471">
        <v>6558</v>
      </c>
      <c r="H471" t="s">
        <v>745</v>
      </c>
      <c r="I471" t="s">
        <v>138</v>
      </c>
      <c r="J471" t="s">
        <v>3942</v>
      </c>
    </row>
    <row r="472" spans="1:10" x14ac:dyDescent="0.2">
      <c r="A472" t="s">
        <v>3943</v>
      </c>
      <c r="E472" t="str">
        <f>HYPERLINK("http://nlpdeep.cs.uic.edu:8080/proofing/t5/6558-physical-examination-0-5.pdf","t5/6558-physical-examination-0-5.pdf")</f>
        <v>t5/6558-physical-examination-0-5.pdf</v>
      </c>
      <c r="F472">
        <v>108346</v>
      </c>
      <c r="G472">
        <v>6558</v>
      </c>
      <c r="H472" t="s">
        <v>745</v>
      </c>
      <c r="I472" t="s">
        <v>138</v>
      </c>
      <c r="J472" t="s">
        <v>3944</v>
      </c>
    </row>
    <row r="473" spans="1:10" x14ac:dyDescent="0.2">
      <c r="A473" t="s">
        <v>3943</v>
      </c>
      <c r="E473" t="str">
        <f>HYPERLINK("http://nlpdeep.cs.uic.edu:8080/proofing/gsii/6558-physical-examination-0-5.pdf","gsii/6558-physical-examination-0-5.pdf")</f>
        <v>gsii/6558-physical-examination-0-5.pdf</v>
      </c>
      <c r="F473">
        <v>108346</v>
      </c>
      <c r="G473">
        <v>6558</v>
      </c>
      <c r="H473" t="s">
        <v>745</v>
      </c>
      <c r="I473" t="s">
        <v>138</v>
      </c>
      <c r="J473" t="s">
        <v>3944</v>
      </c>
    </row>
    <row r="474" spans="1:10" x14ac:dyDescent="0.2">
      <c r="A474" t="s">
        <v>3945</v>
      </c>
      <c r="E474" t="str">
        <f>HYPERLINK("http://nlpdeep.cs.uic.edu:8080/proofing/t5/6558-physical-examination-0-6.pdf","t5/6558-physical-examination-0-6.pdf")</f>
        <v>t5/6558-physical-examination-0-6.pdf</v>
      </c>
      <c r="F474">
        <v>108346</v>
      </c>
      <c r="G474">
        <v>6558</v>
      </c>
      <c r="H474" t="s">
        <v>745</v>
      </c>
      <c r="I474" t="s">
        <v>138</v>
      </c>
      <c r="J474" t="s">
        <v>3946</v>
      </c>
    </row>
    <row r="475" spans="1:10" x14ac:dyDescent="0.2">
      <c r="A475" t="s">
        <v>3945</v>
      </c>
      <c r="E475" t="str">
        <f>HYPERLINK("http://nlpdeep.cs.uic.edu:8080/proofing/gsii/6558-physical-examination-0-6.pdf","gsii/6558-physical-examination-0-6.pdf")</f>
        <v>gsii/6558-physical-examination-0-6.pdf</v>
      </c>
      <c r="F475">
        <v>108346</v>
      </c>
      <c r="G475">
        <v>6558</v>
      </c>
      <c r="H475" t="s">
        <v>745</v>
      </c>
      <c r="I475" t="s">
        <v>138</v>
      </c>
      <c r="J475" t="s">
        <v>3946</v>
      </c>
    </row>
    <row r="476" spans="1:10" x14ac:dyDescent="0.2">
      <c r="A476" t="s">
        <v>3947</v>
      </c>
      <c r="E476" t="str">
        <f>HYPERLINK("http://nlpdeep.cs.uic.edu:8080/proofing/t5/6558-physical-examination-0-7.pdf","t5/6558-physical-examination-0-7.pdf")</f>
        <v>t5/6558-physical-examination-0-7.pdf</v>
      </c>
      <c r="F476">
        <v>108346</v>
      </c>
      <c r="G476">
        <v>6558</v>
      </c>
      <c r="H476" t="s">
        <v>745</v>
      </c>
      <c r="I476" t="s">
        <v>138</v>
      </c>
      <c r="J476" t="s">
        <v>3948</v>
      </c>
    </row>
    <row r="477" spans="1:10" x14ac:dyDescent="0.2">
      <c r="A477" t="s">
        <v>3947</v>
      </c>
      <c r="E477" t="str">
        <f>HYPERLINK("http://nlpdeep.cs.uic.edu:8080/proofing/gsii/6558-physical-examination-0-7.pdf","gsii/6558-physical-examination-0-7.pdf")</f>
        <v>gsii/6558-physical-examination-0-7.pdf</v>
      </c>
      <c r="F477">
        <v>108346</v>
      </c>
      <c r="G477">
        <v>6558</v>
      </c>
      <c r="H477" t="s">
        <v>745</v>
      </c>
      <c r="I477" t="s">
        <v>138</v>
      </c>
      <c r="J477" t="s">
        <v>3948</v>
      </c>
    </row>
    <row r="478" spans="1:10" x14ac:dyDescent="0.2">
      <c r="A478" t="s">
        <v>3949</v>
      </c>
      <c r="E478" t="str">
        <f>HYPERLINK("http://nlpdeep.cs.uic.edu:8080/proofing/t5/6558-physical-examination-0-8.pdf","t5/6558-physical-examination-0-8.pdf")</f>
        <v>t5/6558-physical-examination-0-8.pdf</v>
      </c>
      <c r="F478">
        <v>108346</v>
      </c>
      <c r="G478">
        <v>6558</v>
      </c>
      <c r="H478" t="s">
        <v>745</v>
      </c>
      <c r="I478" t="s">
        <v>138</v>
      </c>
      <c r="J478" t="s">
        <v>3950</v>
      </c>
    </row>
    <row r="479" spans="1:10" x14ac:dyDescent="0.2">
      <c r="A479" t="s">
        <v>3949</v>
      </c>
      <c r="E479" t="str">
        <f>HYPERLINK("http://nlpdeep.cs.uic.edu:8080/proofing/gsii/6558-physical-examination-0-8.pdf","gsii/6558-physical-examination-0-8.pdf")</f>
        <v>gsii/6558-physical-examination-0-8.pdf</v>
      </c>
      <c r="F479">
        <v>108346</v>
      </c>
      <c r="G479">
        <v>6558</v>
      </c>
      <c r="H479" t="s">
        <v>745</v>
      </c>
      <c r="I479" t="s">
        <v>138</v>
      </c>
      <c r="J479" t="s">
        <v>3950</v>
      </c>
    </row>
    <row r="480" spans="1:10" x14ac:dyDescent="0.2">
      <c r="A480" t="s">
        <v>3951</v>
      </c>
      <c r="E480" t="str">
        <f>HYPERLINK("http://nlpdeep.cs.uic.edu:8080/proofing/t5/6558-physical-examination-0-9.pdf","t5/6558-physical-examination-0-9.pdf")</f>
        <v>t5/6558-physical-examination-0-9.pdf</v>
      </c>
      <c r="F480">
        <v>108346</v>
      </c>
      <c r="G480">
        <v>6558</v>
      </c>
      <c r="H480" t="s">
        <v>745</v>
      </c>
      <c r="I480" t="s">
        <v>138</v>
      </c>
      <c r="J480" t="s">
        <v>3952</v>
      </c>
    </row>
    <row r="481" spans="1:10" x14ac:dyDescent="0.2">
      <c r="A481" t="s">
        <v>3951</v>
      </c>
      <c r="E481" t="str">
        <f>HYPERLINK("http://nlpdeep.cs.uic.edu:8080/proofing/gsii/6558-physical-examination-0-9.pdf","gsii/6558-physical-examination-0-9.pdf")</f>
        <v>gsii/6558-physical-examination-0-9.pdf</v>
      </c>
      <c r="F481">
        <v>108346</v>
      </c>
      <c r="G481">
        <v>6558</v>
      </c>
      <c r="H481" t="s">
        <v>745</v>
      </c>
      <c r="I481" t="s">
        <v>138</v>
      </c>
      <c r="J481" t="s">
        <v>3952</v>
      </c>
    </row>
    <row r="482" spans="1:10" x14ac:dyDescent="0.2">
      <c r="A482" t="s">
        <v>3953</v>
      </c>
      <c r="E482" t="str">
        <f>HYPERLINK("http://nlpdeep.cs.uic.edu:8080/proofing/t5/6558-physical-examination-0-10.pdf","t5/6558-physical-examination-0-10.pdf")</f>
        <v>t5/6558-physical-examination-0-10.pdf</v>
      </c>
      <c r="F482">
        <v>108346</v>
      </c>
      <c r="G482">
        <v>6558</v>
      </c>
      <c r="H482" t="s">
        <v>745</v>
      </c>
      <c r="I482" t="s">
        <v>138</v>
      </c>
      <c r="J482" t="s">
        <v>3954</v>
      </c>
    </row>
    <row r="483" spans="1:10" x14ac:dyDescent="0.2">
      <c r="A483" t="s">
        <v>3953</v>
      </c>
      <c r="E483" t="str">
        <f>HYPERLINK("http://nlpdeep.cs.uic.edu:8080/proofing/gsii/6558-physical-examination-0-10.pdf","gsii/6558-physical-examination-0-10.pdf")</f>
        <v>gsii/6558-physical-examination-0-10.pdf</v>
      </c>
      <c r="F483">
        <v>108346</v>
      </c>
      <c r="G483">
        <v>6558</v>
      </c>
      <c r="H483" t="s">
        <v>745</v>
      </c>
      <c r="I483" t="s">
        <v>138</v>
      </c>
      <c r="J483" t="s">
        <v>3954</v>
      </c>
    </row>
    <row r="484" spans="1:10" x14ac:dyDescent="0.2">
      <c r="A484" t="s">
        <v>3955</v>
      </c>
      <c r="E484" t="str">
        <f>HYPERLINK("http://nlpdeep.cs.uic.edu:8080/proofing/t5/6558-labs-imaging-0-0.pdf","t5/6558-labs-imaging-0-0.pdf")</f>
        <v>t5/6558-labs-imaging-0-0.pdf</v>
      </c>
      <c r="F484">
        <v>108346</v>
      </c>
      <c r="G484">
        <v>6558</v>
      </c>
      <c r="H484" t="s">
        <v>745</v>
      </c>
      <c r="I484" t="s">
        <v>147</v>
      </c>
      <c r="J484" t="s">
        <v>3956</v>
      </c>
    </row>
    <row r="485" spans="1:10" x14ac:dyDescent="0.2">
      <c r="A485" t="s">
        <v>3955</v>
      </c>
      <c r="E485" t="str">
        <f>HYPERLINK("http://nlpdeep.cs.uic.edu:8080/proofing/gsii/6558-labs-imaging-0-0.pdf","gsii/6558-labs-imaging-0-0.pdf")</f>
        <v>gsii/6558-labs-imaging-0-0.pdf</v>
      </c>
      <c r="F485">
        <v>108346</v>
      </c>
      <c r="G485">
        <v>6558</v>
      </c>
      <c r="H485" t="s">
        <v>745</v>
      </c>
      <c r="I485" t="s">
        <v>147</v>
      </c>
      <c r="J485" t="s">
        <v>3956</v>
      </c>
    </row>
    <row r="486" spans="1:10" x14ac:dyDescent="0.2">
      <c r="A486" t="s">
        <v>3957</v>
      </c>
      <c r="E486" t="str">
        <f>HYPERLINK("http://nlpdeep.cs.uic.edu:8080/proofing/t5/6558-hospital-course-0-0.pdf","t5/6558-hospital-course-0-0.pdf")</f>
        <v>t5/6558-hospital-course-0-0.pdf</v>
      </c>
      <c r="F486">
        <v>108346</v>
      </c>
      <c r="G486">
        <v>6558</v>
      </c>
      <c r="H486" t="s">
        <v>745</v>
      </c>
      <c r="I486" t="s">
        <v>999</v>
      </c>
      <c r="J486" t="s">
        <v>3958</v>
      </c>
    </row>
    <row r="487" spans="1:10" x14ac:dyDescent="0.2">
      <c r="A487" t="s">
        <v>3957</v>
      </c>
      <c r="E487" t="str">
        <f>HYPERLINK("http://nlpdeep.cs.uic.edu:8080/proofing/gsii/6558-hospital-course-0-0.pdf","gsii/6558-hospital-course-0-0.pdf")</f>
        <v>gsii/6558-hospital-course-0-0.pdf</v>
      </c>
      <c r="F487">
        <v>108346</v>
      </c>
      <c r="G487">
        <v>6558</v>
      </c>
      <c r="H487" t="s">
        <v>745</v>
      </c>
      <c r="I487" t="s">
        <v>999</v>
      </c>
      <c r="J487" t="s">
        <v>3958</v>
      </c>
    </row>
    <row r="488" spans="1:10" x14ac:dyDescent="0.2">
      <c r="A488" t="s">
        <v>3959</v>
      </c>
      <c r="E488" t="str">
        <f>HYPERLINK("http://nlpdeep.cs.uic.edu:8080/proofing/t5/6558-hospital-course-0-1.pdf","t5/6558-hospital-course-0-1.pdf")</f>
        <v>t5/6558-hospital-course-0-1.pdf</v>
      </c>
      <c r="F488">
        <v>108346</v>
      </c>
      <c r="G488">
        <v>6558</v>
      </c>
      <c r="H488" t="s">
        <v>745</v>
      </c>
      <c r="I488" t="s">
        <v>999</v>
      </c>
      <c r="J488" t="s">
        <v>3960</v>
      </c>
    </row>
    <row r="489" spans="1:10" x14ac:dyDescent="0.2">
      <c r="A489" t="s">
        <v>3959</v>
      </c>
      <c r="E489" t="str">
        <f>HYPERLINK("http://nlpdeep.cs.uic.edu:8080/proofing/gsii/6558-hospital-course-0-1.pdf","gsii/6558-hospital-course-0-1.pdf")</f>
        <v>gsii/6558-hospital-course-0-1.pdf</v>
      </c>
      <c r="F489">
        <v>108346</v>
      </c>
      <c r="G489">
        <v>6558</v>
      </c>
      <c r="H489" t="s">
        <v>745</v>
      </c>
      <c r="I489" t="s">
        <v>999</v>
      </c>
      <c r="J489" t="s">
        <v>3960</v>
      </c>
    </row>
    <row r="490" spans="1:10" x14ac:dyDescent="0.2">
      <c r="A490" t="s">
        <v>3961</v>
      </c>
      <c r="E490" t="str">
        <f>HYPERLINK("http://nlpdeep.cs.uic.edu:8080/proofing/t5/6558-hospital-course-0-2.pdf","t5/6558-hospital-course-0-2.pdf")</f>
        <v>t5/6558-hospital-course-0-2.pdf</v>
      </c>
      <c r="F490">
        <v>108346</v>
      </c>
      <c r="G490">
        <v>6558</v>
      </c>
      <c r="H490" t="s">
        <v>745</v>
      </c>
      <c r="I490" t="s">
        <v>999</v>
      </c>
      <c r="J490" t="s">
        <v>3962</v>
      </c>
    </row>
    <row r="491" spans="1:10" x14ac:dyDescent="0.2">
      <c r="A491" t="s">
        <v>3961</v>
      </c>
      <c r="E491" t="str">
        <f>HYPERLINK("http://nlpdeep.cs.uic.edu:8080/proofing/gsii/6558-hospital-course-0-2.pdf","gsii/6558-hospital-course-0-2.pdf")</f>
        <v>gsii/6558-hospital-course-0-2.pdf</v>
      </c>
      <c r="F491">
        <v>108346</v>
      </c>
      <c r="G491">
        <v>6558</v>
      </c>
      <c r="H491" t="s">
        <v>745</v>
      </c>
      <c r="I491" t="s">
        <v>999</v>
      </c>
      <c r="J491" t="s">
        <v>3962</v>
      </c>
    </row>
    <row r="492" spans="1:10" x14ac:dyDescent="0.2">
      <c r="A492" t="s">
        <v>3963</v>
      </c>
      <c r="E492" t="str">
        <f>HYPERLINK("http://nlpdeep.cs.uic.edu:8080/proofing/t5/6558-hospital-course-0-3.pdf","t5/6558-hospital-course-0-3.pdf")</f>
        <v>t5/6558-hospital-course-0-3.pdf</v>
      </c>
      <c r="F492">
        <v>108346</v>
      </c>
      <c r="G492">
        <v>6558</v>
      </c>
      <c r="H492" t="s">
        <v>745</v>
      </c>
      <c r="I492" t="s">
        <v>999</v>
      </c>
      <c r="J492" t="s">
        <v>3964</v>
      </c>
    </row>
    <row r="493" spans="1:10" x14ac:dyDescent="0.2">
      <c r="A493" t="s">
        <v>3963</v>
      </c>
      <c r="E493" t="str">
        <f>HYPERLINK("http://nlpdeep.cs.uic.edu:8080/proofing/gsii/6558-hospital-course-0-3.pdf","gsii/6558-hospital-course-0-3.pdf")</f>
        <v>gsii/6558-hospital-course-0-3.pdf</v>
      </c>
      <c r="F493">
        <v>108346</v>
      </c>
      <c r="G493">
        <v>6558</v>
      </c>
      <c r="H493" t="s">
        <v>745</v>
      </c>
      <c r="I493" t="s">
        <v>999</v>
      </c>
      <c r="J493" t="s">
        <v>3964</v>
      </c>
    </row>
    <row r="494" spans="1:10" x14ac:dyDescent="0.2">
      <c r="A494" t="s">
        <v>3965</v>
      </c>
      <c r="E494" t="str">
        <f>HYPERLINK("http://nlpdeep.cs.uic.edu:8080/proofing/t5/6558-hospital-course-0-4.pdf","t5/6558-hospital-course-0-4.pdf")</f>
        <v>t5/6558-hospital-course-0-4.pdf</v>
      </c>
      <c r="F494">
        <v>108346</v>
      </c>
      <c r="G494">
        <v>6558</v>
      </c>
      <c r="H494" t="s">
        <v>745</v>
      </c>
      <c r="I494" t="s">
        <v>999</v>
      </c>
      <c r="J494" t="s">
        <v>3966</v>
      </c>
    </row>
    <row r="495" spans="1:10" x14ac:dyDescent="0.2">
      <c r="A495" t="s">
        <v>3965</v>
      </c>
      <c r="E495" t="str">
        <f>HYPERLINK("http://nlpdeep.cs.uic.edu:8080/proofing/gsii/6558-hospital-course-0-4.pdf","gsii/6558-hospital-course-0-4.pdf")</f>
        <v>gsii/6558-hospital-course-0-4.pdf</v>
      </c>
      <c r="F495">
        <v>108346</v>
      </c>
      <c r="G495">
        <v>6558</v>
      </c>
      <c r="H495" t="s">
        <v>745</v>
      </c>
      <c r="I495" t="s">
        <v>999</v>
      </c>
      <c r="J495" t="s">
        <v>3966</v>
      </c>
    </row>
    <row r="496" spans="1:10" x14ac:dyDescent="0.2">
      <c r="A496" t="s">
        <v>3967</v>
      </c>
      <c r="E496" t="str">
        <f>HYPERLINK("http://nlpdeep.cs.uic.edu:8080/proofing/t5/6558-hospital-course-0-5.pdf","t5/6558-hospital-course-0-5.pdf")</f>
        <v>t5/6558-hospital-course-0-5.pdf</v>
      </c>
      <c r="F496">
        <v>108346</v>
      </c>
      <c r="G496">
        <v>6558</v>
      </c>
      <c r="H496" t="s">
        <v>745</v>
      </c>
      <c r="I496" t="s">
        <v>999</v>
      </c>
      <c r="J496" t="s">
        <v>3968</v>
      </c>
    </row>
    <row r="497" spans="1:10" x14ac:dyDescent="0.2">
      <c r="A497" t="s">
        <v>3967</v>
      </c>
      <c r="E497" t="str">
        <f>HYPERLINK("http://nlpdeep.cs.uic.edu:8080/proofing/gsii/6558-hospital-course-0-5.pdf","gsii/6558-hospital-course-0-5.pdf")</f>
        <v>gsii/6558-hospital-course-0-5.pdf</v>
      </c>
      <c r="F497">
        <v>108346</v>
      </c>
      <c r="G497">
        <v>6558</v>
      </c>
      <c r="H497" t="s">
        <v>745</v>
      </c>
      <c r="I497" t="s">
        <v>999</v>
      </c>
      <c r="J497" t="s">
        <v>3968</v>
      </c>
    </row>
    <row r="498" spans="1:10" x14ac:dyDescent="0.2">
      <c r="A498" t="s">
        <v>3969</v>
      </c>
      <c r="E498" t="str">
        <f>HYPERLINK("http://nlpdeep.cs.uic.edu:8080/proofing/t5/6558-hospital-course-0-6.pdf","t5/6558-hospital-course-0-6.pdf")</f>
        <v>t5/6558-hospital-course-0-6.pdf</v>
      </c>
      <c r="F498">
        <v>108346</v>
      </c>
      <c r="G498">
        <v>6558</v>
      </c>
      <c r="H498" t="s">
        <v>745</v>
      </c>
      <c r="I498" t="s">
        <v>999</v>
      </c>
      <c r="J498" t="s">
        <v>3970</v>
      </c>
    </row>
    <row r="499" spans="1:10" x14ac:dyDescent="0.2">
      <c r="A499" t="s">
        <v>3969</v>
      </c>
      <c r="E499" t="str">
        <f>HYPERLINK("http://nlpdeep.cs.uic.edu:8080/proofing/gsii/6558-hospital-course-0-6.pdf","gsii/6558-hospital-course-0-6.pdf")</f>
        <v>gsii/6558-hospital-course-0-6.pdf</v>
      </c>
      <c r="F499">
        <v>108346</v>
      </c>
      <c r="G499">
        <v>6558</v>
      </c>
      <c r="H499" t="s">
        <v>745</v>
      </c>
      <c r="I499" t="s">
        <v>999</v>
      </c>
      <c r="J499" t="s">
        <v>3970</v>
      </c>
    </row>
    <row r="500" spans="1:10" x14ac:dyDescent="0.2">
      <c r="A500" t="s">
        <v>3971</v>
      </c>
      <c r="E500" t="str">
        <f>HYPERLINK("http://nlpdeep.cs.uic.edu:8080/proofing/t5/6558-hospital-course-0-7.pdf","t5/6558-hospital-course-0-7.pdf")</f>
        <v>t5/6558-hospital-course-0-7.pdf</v>
      </c>
      <c r="F500">
        <v>108346</v>
      </c>
      <c r="G500">
        <v>6558</v>
      </c>
      <c r="H500" t="s">
        <v>745</v>
      </c>
      <c r="I500" t="s">
        <v>999</v>
      </c>
      <c r="J500" t="s">
        <v>3972</v>
      </c>
    </row>
    <row r="501" spans="1:10" x14ac:dyDescent="0.2">
      <c r="A501" t="s">
        <v>3971</v>
      </c>
      <c r="E501" t="str">
        <f>HYPERLINK("http://nlpdeep.cs.uic.edu:8080/proofing/gsii/6558-hospital-course-0-7.pdf","gsii/6558-hospital-course-0-7.pdf")</f>
        <v>gsii/6558-hospital-course-0-7.pdf</v>
      </c>
      <c r="F501">
        <v>108346</v>
      </c>
      <c r="G501">
        <v>6558</v>
      </c>
      <c r="H501" t="s">
        <v>745</v>
      </c>
      <c r="I501" t="s">
        <v>999</v>
      </c>
      <c r="J501" t="s">
        <v>3972</v>
      </c>
    </row>
    <row r="502" spans="1:10" x14ac:dyDescent="0.2">
      <c r="A502" t="s">
        <v>3973</v>
      </c>
      <c r="E502" t="str">
        <f>HYPERLINK("http://nlpdeep.cs.uic.edu:8080/proofing/t5/6558-hospital-course-0-8.pdf","t5/6558-hospital-course-0-8.pdf")</f>
        <v>t5/6558-hospital-course-0-8.pdf</v>
      </c>
      <c r="F502">
        <v>108346</v>
      </c>
      <c r="G502">
        <v>6558</v>
      </c>
      <c r="H502" t="s">
        <v>745</v>
      </c>
      <c r="I502" t="s">
        <v>999</v>
      </c>
      <c r="J502" t="s">
        <v>3974</v>
      </c>
    </row>
    <row r="503" spans="1:10" x14ac:dyDescent="0.2">
      <c r="A503" t="s">
        <v>3973</v>
      </c>
      <c r="E503" t="str">
        <f>HYPERLINK("http://nlpdeep.cs.uic.edu:8080/proofing/gsii/6558-hospital-course-0-8.pdf","gsii/6558-hospital-course-0-8.pdf")</f>
        <v>gsii/6558-hospital-course-0-8.pdf</v>
      </c>
      <c r="F503">
        <v>108346</v>
      </c>
      <c r="G503">
        <v>6558</v>
      </c>
      <c r="H503" t="s">
        <v>745</v>
      </c>
      <c r="I503" t="s">
        <v>999</v>
      </c>
      <c r="J503" t="s">
        <v>3974</v>
      </c>
    </row>
    <row r="504" spans="1:10" x14ac:dyDescent="0.2">
      <c r="A504" t="s">
        <v>3975</v>
      </c>
      <c r="E504" t="str">
        <f>HYPERLINK("http://nlpdeep.cs.uic.edu:8080/proofing/t5/6558-hospital-course-1-0.pdf","t5/6558-hospital-course-1-0.pdf")</f>
        <v>t5/6558-hospital-course-1-0.pdf</v>
      </c>
      <c r="F504">
        <v>108346</v>
      </c>
      <c r="G504">
        <v>6558</v>
      </c>
      <c r="H504" t="s">
        <v>745</v>
      </c>
      <c r="I504" t="s">
        <v>999</v>
      </c>
      <c r="J504" t="s">
        <v>3976</v>
      </c>
    </row>
    <row r="505" spans="1:10" x14ac:dyDescent="0.2">
      <c r="A505" t="s">
        <v>3975</v>
      </c>
      <c r="E505" t="str">
        <f>HYPERLINK("http://nlpdeep.cs.uic.edu:8080/proofing/gsii/6558-hospital-course-1-0.pdf","gsii/6558-hospital-course-1-0.pdf")</f>
        <v>gsii/6558-hospital-course-1-0.pdf</v>
      </c>
      <c r="F505">
        <v>108346</v>
      </c>
      <c r="G505">
        <v>6558</v>
      </c>
      <c r="H505" t="s">
        <v>745</v>
      </c>
      <c r="I505" t="s">
        <v>999</v>
      </c>
      <c r="J505" t="s">
        <v>3976</v>
      </c>
    </row>
    <row r="506" spans="1:10" x14ac:dyDescent="0.2">
      <c r="A506" t="s">
        <v>3977</v>
      </c>
      <c r="E506" t="str">
        <f>HYPERLINK("http://nlpdeep.cs.uic.edu:8080/proofing/t5/6558-hospital-course-1-1.pdf","t5/6558-hospital-course-1-1.pdf")</f>
        <v>t5/6558-hospital-course-1-1.pdf</v>
      </c>
      <c r="F506">
        <v>108346</v>
      </c>
      <c r="G506">
        <v>6558</v>
      </c>
      <c r="H506" t="s">
        <v>745</v>
      </c>
      <c r="I506" t="s">
        <v>999</v>
      </c>
      <c r="J506" t="s">
        <v>3978</v>
      </c>
    </row>
    <row r="507" spans="1:10" x14ac:dyDescent="0.2">
      <c r="A507" t="s">
        <v>3977</v>
      </c>
      <c r="E507" t="str">
        <f>HYPERLINK("http://nlpdeep.cs.uic.edu:8080/proofing/gsii/6558-hospital-course-1-1.pdf","gsii/6558-hospital-course-1-1.pdf")</f>
        <v>gsii/6558-hospital-course-1-1.pdf</v>
      </c>
      <c r="F507">
        <v>108346</v>
      </c>
      <c r="G507">
        <v>6558</v>
      </c>
      <c r="H507" t="s">
        <v>745</v>
      </c>
      <c r="I507" t="s">
        <v>999</v>
      </c>
      <c r="J507" t="s">
        <v>3978</v>
      </c>
    </row>
    <row r="508" spans="1:10" x14ac:dyDescent="0.2">
      <c r="A508" t="s">
        <v>3979</v>
      </c>
      <c r="E508" t="str">
        <f>HYPERLINK("http://nlpdeep.cs.uic.edu:8080/proofing/t5/6558-hospital-course-1-2.pdf","t5/6558-hospital-course-1-2.pdf")</f>
        <v>t5/6558-hospital-course-1-2.pdf</v>
      </c>
      <c r="F508">
        <v>108346</v>
      </c>
      <c r="G508">
        <v>6558</v>
      </c>
      <c r="H508" t="s">
        <v>745</v>
      </c>
      <c r="I508" t="s">
        <v>999</v>
      </c>
      <c r="J508" t="s">
        <v>3980</v>
      </c>
    </row>
    <row r="509" spans="1:10" x14ac:dyDescent="0.2">
      <c r="A509" t="s">
        <v>3979</v>
      </c>
      <c r="E509" t="str">
        <f>HYPERLINK("http://nlpdeep.cs.uic.edu:8080/proofing/gsii/6558-hospital-course-1-2.pdf","gsii/6558-hospital-course-1-2.pdf")</f>
        <v>gsii/6558-hospital-course-1-2.pdf</v>
      </c>
      <c r="F509">
        <v>108346</v>
      </c>
      <c r="G509">
        <v>6558</v>
      </c>
      <c r="H509" t="s">
        <v>745</v>
      </c>
      <c r="I509" t="s">
        <v>999</v>
      </c>
      <c r="J509" t="s">
        <v>3980</v>
      </c>
    </row>
    <row r="510" spans="1:10" x14ac:dyDescent="0.2">
      <c r="A510" t="s">
        <v>3981</v>
      </c>
      <c r="E510" t="str">
        <f>HYPERLINK("http://nlpdeep.cs.uic.edu:8080/proofing/t5/6558-hospital-course-1-3.pdf","t5/6558-hospital-course-1-3.pdf")</f>
        <v>t5/6558-hospital-course-1-3.pdf</v>
      </c>
      <c r="F510">
        <v>108346</v>
      </c>
      <c r="G510">
        <v>6558</v>
      </c>
      <c r="H510" t="s">
        <v>745</v>
      </c>
      <c r="I510" t="s">
        <v>999</v>
      </c>
      <c r="J510" t="s">
        <v>3982</v>
      </c>
    </row>
    <row r="511" spans="1:10" x14ac:dyDescent="0.2">
      <c r="A511" t="s">
        <v>3981</v>
      </c>
      <c r="E511" t="str">
        <f>HYPERLINK("http://nlpdeep.cs.uic.edu:8080/proofing/gsii/6558-hospital-course-1-3.pdf","gsii/6558-hospital-course-1-3.pdf")</f>
        <v>gsii/6558-hospital-course-1-3.pdf</v>
      </c>
      <c r="F511">
        <v>108346</v>
      </c>
      <c r="G511">
        <v>6558</v>
      </c>
      <c r="H511" t="s">
        <v>745</v>
      </c>
      <c r="I511" t="s">
        <v>999</v>
      </c>
      <c r="J511" t="s">
        <v>3982</v>
      </c>
    </row>
    <row r="512" spans="1:10" x14ac:dyDescent="0.2">
      <c r="A512" t="s">
        <v>3983</v>
      </c>
      <c r="E512" t="str">
        <f>HYPERLINK("http://nlpdeep.cs.uic.edu:8080/proofing/t5/6558-hospital-course-2-0.pdf","t5/6558-hospital-course-2-0.pdf")</f>
        <v>t5/6558-hospital-course-2-0.pdf</v>
      </c>
      <c r="F512">
        <v>108346</v>
      </c>
      <c r="G512">
        <v>6558</v>
      </c>
      <c r="H512" t="s">
        <v>745</v>
      </c>
      <c r="I512" t="s">
        <v>999</v>
      </c>
      <c r="J512" t="s">
        <v>3984</v>
      </c>
    </row>
    <row r="513" spans="1:10" x14ac:dyDescent="0.2">
      <c r="A513" t="s">
        <v>3983</v>
      </c>
      <c r="E513" t="str">
        <f>HYPERLINK("http://nlpdeep.cs.uic.edu:8080/proofing/gsii/6558-hospital-course-2-0.pdf","gsii/6558-hospital-course-2-0.pdf")</f>
        <v>gsii/6558-hospital-course-2-0.pdf</v>
      </c>
      <c r="F513">
        <v>108346</v>
      </c>
      <c r="G513">
        <v>6558</v>
      </c>
      <c r="H513" t="s">
        <v>745</v>
      </c>
      <c r="I513" t="s">
        <v>999</v>
      </c>
      <c r="J513" t="s">
        <v>3984</v>
      </c>
    </row>
    <row r="514" spans="1:10" x14ac:dyDescent="0.2">
      <c r="A514" t="s">
        <v>3985</v>
      </c>
      <c r="E514" t="str">
        <f>HYPERLINK("http://nlpdeep.cs.uic.edu:8080/proofing/t5/6558-hospital-course-2-1.pdf","t5/6558-hospital-course-2-1.pdf")</f>
        <v>t5/6558-hospital-course-2-1.pdf</v>
      </c>
      <c r="F514">
        <v>108346</v>
      </c>
      <c r="G514">
        <v>6558</v>
      </c>
      <c r="H514" t="s">
        <v>745</v>
      </c>
      <c r="I514" t="s">
        <v>999</v>
      </c>
      <c r="J514" t="s">
        <v>3986</v>
      </c>
    </row>
    <row r="515" spans="1:10" x14ac:dyDescent="0.2">
      <c r="A515" t="s">
        <v>3985</v>
      </c>
      <c r="E515" t="str">
        <f>HYPERLINK("http://nlpdeep.cs.uic.edu:8080/proofing/gsii/6558-hospital-course-2-1.pdf","gsii/6558-hospital-course-2-1.pdf")</f>
        <v>gsii/6558-hospital-course-2-1.pdf</v>
      </c>
      <c r="F515">
        <v>108346</v>
      </c>
      <c r="G515">
        <v>6558</v>
      </c>
      <c r="H515" t="s">
        <v>745</v>
      </c>
      <c r="I515" t="s">
        <v>999</v>
      </c>
      <c r="J515" t="s">
        <v>3986</v>
      </c>
    </row>
    <row r="516" spans="1:10" x14ac:dyDescent="0.2">
      <c r="A516" t="s">
        <v>3987</v>
      </c>
      <c r="E516" t="str">
        <f>HYPERLINK("http://nlpdeep.cs.uic.edu:8080/proofing/t5/6558-hospital-course-2-2.pdf","t5/6558-hospital-course-2-2.pdf")</f>
        <v>t5/6558-hospital-course-2-2.pdf</v>
      </c>
      <c r="F516">
        <v>108346</v>
      </c>
      <c r="G516">
        <v>6558</v>
      </c>
      <c r="H516" t="s">
        <v>745</v>
      </c>
      <c r="I516" t="s">
        <v>999</v>
      </c>
      <c r="J516" t="s">
        <v>3988</v>
      </c>
    </row>
    <row r="517" spans="1:10" x14ac:dyDescent="0.2">
      <c r="A517" t="s">
        <v>3987</v>
      </c>
      <c r="E517" t="str">
        <f>HYPERLINK("http://nlpdeep.cs.uic.edu:8080/proofing/gsii/6558-hospital-course-2-2.pdf","gsii/6558-hospital-course-2-2.pdf")</f>
        <v>gsii/6558-hospital-course-2-2.pdf</v>
      </c>
      <c r="F517">
        <v>108346</v>
      </c>
      <c r="G517">
        <v>6558</v>
      </c>
      <c r="H517" t="s">
        <v>745</v>
      </c>
      <c r="I517" t="s">
        <v>999</v>
      </c>
      <c r="J517" t="s">
        <v>3988</v>
      </c>
    </row>
    <row r="518" spans="1:10" x14ac:dyDescent="0.2">
      <c r="A518" t="s">
        <v>3989</v>
      </c>
      <c r="E518" t="str">
        <f>HYPERLINK("http://nlpdeep.cs.uic.edu:8080/proofing/t5/6558-hospital-course-2-3.pdf","t5/6558-hospital-course-2-3.pdf")</f>
        <v>t5/6558-hospital-course-2-3.pdf</v>
      </c>
      <c r="F518">
        <v>108346</v>
      </c>
      <c r="G518">
        <v>6558</v>
      </c>
      <c r="H518" t="s">
        <v>745</v>
      </c>
      <c r="I518" t="s">
        <v>999</v>
      </c>
      <c r="J518" t="s">
        <v>3990</v>
      </c>
    </row>
    <row r="519" spans="1:10" x14ac:dyDescent="0.2">
      <c r="A519" t="s">
        <v>3989</v>
      </c>
      <c r="E519" t="str">
        <f>HYPERLINK("http://nlpdeep.cs.uic.edu:8080/proofing/gsii/6558-hospital-course-2-3.pdf","gsii/6558-hospital-course-2-3.pdf")</f>
        <v>gsii/6558-hospital-course-2-3.pdf</v>
      </c>
      <c r="F519">
        <v>108346</v>
      </c>
      <c r="G519">
        <v>6558</v>
      </c>
      <c r="H519" t="s">
        <v>745</v>
      </c>
      <c r="I519" t="s">
        <v>999</v>
      </c>
      <c r="J519" t="s">
        <v>3990</v>
      </c>
    </row>
    <row r="520" spans="1:10" x14ac:dyDescent="0.2">
      <c r="A520" t="s">
        <v>3991</v>
      </c>
      <c r="E520" t="str">
        <f>HYPERLINK("http://nlpdeep.cs.uic.edu:8080/proofing/t5/6558-medication-history-0-0.pdf","t5/6558-medication-history-0-0.pdf")</f>
        <v>t5/6558-medication-history-0-0.pdf</v>
      </c>
      <c r="F520">
        <v>108346</v>
      </c>
      <c r="G520">
        <v>6558</v>
      </c>
      <c r="H520" t="s">
        <v>745</v>
      </c>
      <c r="I520" t="s">
        <v>336</v>
      </c>
      <c r="J520" t="s">
        <v>3992</v>
      </c>
    </row>
    <row r="521" spans="1:10" x14ac:dyDescent="0.2">
      <c r="A521" t="s">
        <v>3991</v>
      </c>
      <c r="E521" t="str">
        <f>HYPERLINK("http://nlpdeep.cs.uic.edu:8080/proofing/gsii/6558-medication-history-0-0.pdf","gsii/6558-medication-history-0-0.pdf")</f>
        <v>gsii/6558-medication-history-0-0.pdf</v>
      </c>
      <c r="F521">
        <v>108346</v>
      </c>
      <c r="G521">
        <v>6558</v>
      </c>
      <c r="H521" t="s">
        <v>745</v>
      </c>
      <c r="I521" t="s">
        <v>336</v>
      </c>
      <c r="J521" t="s">
        <v>3992</v>
      </c>
    </row>
    <row r="522" spans="1:10" x14ac:dyDescent="0.2">
      <c r="A522" t="s">
        <v>3993</v>
      </c>
      <c r="E522" t="str">
        <f>HYPERLINK("http://nlpdeep.cs.uic.edu:8080/proofing/t5/6558-discharge-medications-0-0.pdf","t5/6558-discharge-medications-0-0.pdf")</f>
        <v>t5/6558-discharge-medications-0-0.pdf</v>
      </c>
      <c r="F522">
        <v>108346</v>
      </c>
      <c r="G522">
        <v>6558</v>
      </c>
      <c r="H522" t="s">
        <v>745</v>
      </c>
      <c r="I522" t="s">
        <v>1122</v>
      </c>
      <c r="J522" t="s">
        <v>3994</v>
      </c>
    </row>
    <row r="523" spans="1:10" x14ac:dyDescent="0.2">
      <c r="A523" t="s">
        <v>3993</v>
      </c>
      <c r="E523" t="str">
        <f>HYPERLINK("http://nlpdeep.cs.uic.edu:8080/proofing/gsii/6558-discharge-medications-0-0.pdf","gsii/6558-discharge-medications-0-0.pdf")</f>
        <v>gsii/6558-discharge-medications-0-0.pdf</v>
      </c>
      <c r="F523">
        <v>108346</v>
      </c>
      <c r="G523">
        <v>6558</v>
      </c>
      <c r="H523" t="s">
        <v>745</v>
      </c>
      <c r="I523" t="s">
        <v>1122</v>
      </c>
      <c r="J523" t="s">
        <v>3994</v>
      </c>
    </row>
    <row r="524" spans="1:10" x14ac:dyDescent="0.2">
      <c r="A524" t="s">
        <v>3995</v>
      </c>
      <c r="E524" t="str">
        <f>HYPERLINK("http://nlpdeep.cs.uic.edu:8080/proofing/t5/6558-discharge-medications-0-1.pdf","t5/6558-discharge-medications-0-1.pdf")</f>
        <v>t5/6558-discharge-medications-0-1.pdf</v>
      </c>
      <c r="F524">
        <v>108346</v>
      </c>
      <c r="G524">
        <v>6558</v>
      </c>
      <c r="H524" t="s">
        <v>745</v>
      </c>
      <c r="I524" t="s">
        <v>1122</v>
      </c>
      <c r="J524" t="s">
        <v>3996</v>
      </c>
    </row>
    <row r="525" spans="1:10" x14ac:dyDescent="0.2">
      <c r="A525" t="s">
        <v>3995</v>
      </c>
      <c r="E525" t="str">
        <f>HYPERLINK("http://nlpdeep.cs.uic.edu:8080/proofing/gsii/6558-discharge-medications-0-1.pdf","gsii/6558-discharge-medications-0-1.pdf")</f>
        <v>gsii/6558-discharge-medications-0-1.pdf</v>
      </c>
      <c r="F525">
        <v>108346</v>
      </c>
      <c r="G525">
        <v>6558</v>
      </c>
      <c r="H525" t="s">
        <v>745</v>
      </c>
      <c r="I525" t="s">
        <v>1122</v>
      </c>
      <c r="J525" t="s">
        <v>3996</v>
      </c>
    </row>
    <row r="526" spans="1:10" x14ac:dyDescent="0.2">
      <c r="A526" t="s">
        <v>3997</v>
      </c>
      <c r="E526" t="str">
        <f>HYPERLINK("http://nlpdeep.cs.uic.edu:8080/proofing/t5/6558-discharge-medications-0-2.pdf","t5/6558-discharge-medications-0-2.pdf")</f>
        <v>t5/6558-discharge-medications-0-2.pdf</v>
      </c>
      <c r="F526">
        <v>108346</v>
      </c>
      <c r="G526">
        <v>6558</v>
      </c>
      <c r="H526" t="s">
        <v>745</v>
      </c>
      <c r="I526" t="s">
        <v>1122</v>
      </c>
      <c r="J526" t="s">
        <v>3998</v>
      </c>
    </row>
    <row r="527" spans="1:10" x14ac:dyDescent="0.2">
      <c r="A527" t="s">
        <v>3997</v>
      </c>
      <c r="E527" t="str">
        <f>HYPERLINK("http://nlpdeep.cs.uic.edu:8080/proofing/gsii/6558-discharge-medications-0-2.pdf","gsii/6558-discharge-medications-0-2.pdf")</f>
        <v>gsii/6558-discharge-medications-0-2.pdf</v>
      </c>
      <c r="F527">
        <v>108346</v>
      </c>
      <c r="G527">
        <v>6558</v>
      </c>
      <c r="H527" t="s">
        <v>745</v>
      </c>
      <c r="I527" t="s">
        <v>1122</v>
      </c>
      <c r="J527" t="s">
        <v>3998</v>
      </c>
    </row>
    <row r="528" spans="1:10" x14ac:dyDescent="0.2">
      <c r="A528" t="s">
        <v>3999</v>
      </c>
      <c r="E528" t="str">
        <f>HYPERLINK("http://nlpdeep.cs.uic.edu:8080/proofing/t5/6558-discharge-instructions-0-0.pdf","t5/6558-discharge-instructions-0-0.pdf")</f>
        <v>t5/6558-discharge-instructions-0-0.pdf</v>
      </c>
      <c r="F528">
        <v>108346</v>
      </c>
      <c r="G528">
        <v>6558</v>
      </c>
      <c r="H528" t="s">
        <v>745</v>
      </c>
      <c r="I528" t="s">
        <v>1179</v>
      </c>
    </row>
    <row r="529" spans="1:10" x14ac:dyDescent="0.2">
      <c r="A529" t="s">
        <v>3999</v>
      </c>
      <c r="E529" t="str">
        <f>HYPERLINK("http://nlpdeep.cs.uic.edu:8080/proofing/gsii/6558-discharge-instructions-0-0.pdf","gsii/6558-discharge-instructions-0-0.pdf")</f>
        <v>gsii/6558-discharge-instructions-0-0.pdf</v>
      </c>
      <c r="F529">
        <v>108346</v>
      </c>
      <c r="G529">
        <v>6558</v>
      </c>
      <c r="H529" t="s">
        <v>745</v>
      </c>
      <c r="I529" t="s">
        <v>1179</v>
      </c>
    </row>
    <row r="530" spans="1:10" x14ac:dyDescent="0.2">
      <c r="A530" t="s">
        <v>4000</v>
      </c>
      <c r="E530" t="str">
        <f>HYPERLINK("http://nlpdeep.cs.uic.edu:8080/proofing/t5/6558-discharge-instructions-1-0.pdf","t5/6558-discharge-instructions-1-0.pdf")</f>
        <v>t5/6558-discharge-instructions-1-0.pdf</v>
      </c>
      <c r="F530">
        <v>108346</v>
      </c>
      <c r="G530">
        <v>6558</v>
      </c>
      <c r="H530" t="s">
        <v>745</v>
      </c>
      <c r="I530" t="s">
        <v>1179</v>
      </c>
    </row>
    <row r="531" spans="1:10" x14ac:dyDescent="0.2">
      <c r="A531" t="s">
        <v>4000</v>
      </c>
      <c r="E531" t="str">
        <f>HYPERLINK("http://nlpdeep.cs.uic.edu:8080/proofing/gsii/6558-discharge-instructions-1-0.pdf","gsii/6558-discharge-instructions-1-0.pdf")</f>
        <v>gsii/6558-discharge-instructions-1-0.pdf</v>
      </c>
      <c r="F531">
        <v>108346</v>
      </c>
      <c r="G531">
        <v>6558</v>
      </c>
      <c r="H531" t="s">
        <v>745</v>
      </c>
      <c r="I531" t="s">
        <v>1179</v>
      </c>
    </row>
    <row r="532" spans="1:10" x14ac:dyDescent="0.2">
      <c r="A532" t="s">
        <v>4001</v>
      </c>
      <c r="E532" t="str">
        <f>HYPERLINK("http://nlpdeep.cs.uic.edu:8080/proofing/t5/6558-discharge-instructions-2-0.pdf","t5/6558-discharge-instructions-2-0.pdf")</f>
        <v>t5/6558-discharge-instructions-2-0.pdf</v>
      </c>
      <c r="F532">
        <v>108346</v>
      </c>
      <c r="G532">
        <v>6558</v>
      </c>
      <c r="H532" t="s">
        <v>745</v>
      </c>
      <c r="I532" t="s">
        <v>1179</v>
      </c>
    </row>
    <row r="533" spans="1:10" x14ac:dyDescent="0.2">
      <c r="A533" t="s">
        <v>4001</v>
      </c>
      <c r="E533" t="str">
        <f>HYPERLINK("http://nlpdeep.cs.uic.edu:8080/proofing/gsii/6558-discharge-instructions-2-0.pdf","gsii/6558-discharge-instructions-2-0.pdf")</f>
        <v>gsii/6558-discharge-instructions-2-0.pdf</v>
      </c>
      <c r="F533">
        <v>108346</v>
      </c>
      <c r="G533">
        <v>6558</v>
      </c>
      <c r="H533" t="s">
        <v>745</v>
      </c>
      <c r="I533" t="s">
        <v>1179</v>
      </c>
    </row>
    <row r="534" spans="1:10" x14ac:dyDescent="0.2">
      <c r="A534" t="s">
        <v>4002</v>
      </c>
      <c r="E534" t="str">
        <f>HYPERLINK("http://nlpdeep.cs.uic.edu:8080/proofing/t5/6558-discharge-instructions-2-1.pdf","t5/6558-discharge-instructions-2-1.pdf")</f>
        <v>t5/6558-discharge-instructions-2-1.pdf</v>
      </c>
      <c r="F534">
        <v>108346</v>
      </c>
      <c r="G534">
        <v>6558</v>
      </c>
      <c r="H534" t="s">
        <v>745</v>
      </c>
      <c r="I534" t="s">
        <v>1179</v>
      </c>
      <c r="J534" t="s">
        <v>4003</v>
      </c>
    </row>
    <row r="535" spans="1:10" x14ac:dyDescent="0.2">
      <c r="A535" t="s">
        <v>4002</v>
      </c>
      <c r="E535" t="str">
        <f>HYPERLINK("http://nlpdeep.cs.uic.edu:8080/proofing/gsii/6558-discharge-instructions-2-1.pdf","gsii/6558-discharge-instructions-2-1.pdf")</f>
        <v>gsii/6558-discharge-instructions-2-1.pdf</v>
      </c>
      <c r="F535">
        <v>108346</v>
      </c>
      <c r="G535">
        <v>6558</v>
      </c>
      <c r="H535" t="s">
        <v>745</v>
      </c>
      <c r="I535" t="s">
        <v>1179</v>
      </c>
      <c r="J535" t="s">
        <v>4003</v>
      </c>
    </row>
    <row r="536" spans="1:10" x14ac:dyDescent="0.2">
      <c r="A536" t="s">
        <v>4004</v>
      </c>
      <c r="E536" t="str">
        <f>HYPERLINK("http://nlpdeep.cs.uic.edu:8080/proofing/t5/6558-discharge-instructions-3-0.pdf","t5/6558-discharge-instructions-3-0.pdf")</f>
        <v>t5/6558-discharge-instructions-3-0.pdf</v>
      </c>
      <c r="F536">
        <v>108346</v>
      </c>
      <c r="G536">
        <v>6558</v>
      </c>
      <c r="H536" t="s">
        <v>745</v>
      </c>
      <c r="I536" t="s">
        <v>1179</v>
      </c>
      <c r="J536" t="s">
        <v>4005</v>
      </c>
    </row>
    <row r="537" spans="1:10" x14ac:dyDescent="0.2">
      <c r="A537" t="s">
        <v>4004</v>
      </c>
      <c r="E537" t="str">
        <f>HYPERLINK("http://nlpdeep.cs.uic.edu:8080/proofing/gsii/6558-discharge-instructions-3-0.pdf","gsii/6558-discharge-instructions-3-0.pdf")</f>
        <v>gsii/6558-discharge-instructions-3-0.pdf</v>
      </c>
      <c r="F537">
        <v>108346</v>
      </c>
      <c r="G537">
        <v>6558</v>
      </c>
      <c r="H537" t="s">
        <v>745</v>
      </c>
      <c r="I537" t="s">
        <v>1179</v>
      </c>
      <c r="J537" t="s">
        <v>4005</v>
      </c>
    </row>
    <row r="538" spans="1:10" x14ac:dyDescent="0.2">
      <c r="A538" t="s">
        <v>4006</v>
      </c>
      <c r="E538" t="str">
        <f>HYPERLINK("http://nlpdeep.cs.uic.edu:8080/proofing/t5/6558-discharge-instructions-3-1.pdf","t5/6558-discharge-instructions-3-1.pdf")</f>
        <v>t5/6558-discharge-instructions-3-1.pdf</v>
      </c>
      <c r="F538">
        <v>108346</v>
      </c>
      <c r="G538">
        <v>6558</v>
      </c>
      <c r="H538" t="s">
        <v>745</v>
      </c>
      <c r="I538" t="s">
        <v>1179</v>
      </c>
      <c r="J538" t="s">
        <v>4007</v>
      </c>
    </row>
    <row r="539" spans="1:10" x14ac:dyDescent="0.2">
      <c r="A539" t="s">
        <v>4006</v>
      </c>
      <c r="E539" t="str">
        <f>HYPERLINK("http://nlpdeep.cs.uic.edu:8080/proofing/gsii/6558-discharge-instructions-3-1.pdf","gsii/6558-discharge-instructions-3-1.pdf")</f>
        <v>gsii/6558-discharge-instructions-3-1.pdf</v>
      </c>
      <c r="F539">
        <v>108346</v>
      </c>
      <c r="G539">
        <v>6558</v>
      </c>
      <c r="H539" t="s">
        <v>745</v>
      </c>
      <c r="I539" t="s">
        <v>1179</v>
      </c>
      <c r="J539" t="s">
        <v>4007</v>
      </c>
    </row>
    <row r="540" spans="1:10" x14ac:dyDescent="0.2">
      <c r="A540" t="s">
        <v>4008</v>
      </c>
      <c r="E540" t="str">
        <f>HYPERLINK("http://nlpdeep.cs.uic.edu:8080/proofing/t5/6558-discharge-instructions-3-2.pdf","t5/6558-discharge-instructions-3-2.pdf")</f>
        <v>t5/6558-discharge-instructions-3-2.pdf</v>
      </c>
      <c r="F540">
        <v>108346</v>
      </c>
      <c r="G540">
        <v>6558</v>
      </c>
      <c r="H540" t="s">
        <v>745</v>
      </c>
      <c r="I540" t="s">
        <v>1179</v>
      </c>
      <c r="J540" t="s">
        <v>4009</v>
      </c>
    </row>
    <row r="541" spans="1:10" x14ac:dyDescent="0.2">
      <c r="A541" t="s">
        <v>4008</v>
      </c>
      <c r="E541" t="str">
        <f>HYPERLINK("http://nlpdeep.cs.uic.edu:8080/proofing/gsii/6558-discharge-instructions-3-2.pdf","gsii/6558-discharge-instructions-3-2.pdf")</f>
        <v>gsii/6558-discharge-instructions-3-2.pdf</v>
      </c>
      <c r="F541">
        <v>108346</v>
      </c>
      <c r="G541">
        <v>6558</v>
      </c>
      <c r="H541" t="s">
        <v>745</v>
      </c>
      <c r="I541" t="s">
        <v>1179</v>
      </c>
      <c r="J541" t="s">
        <v>4009</v>
      </c>
    </row>
    <row r="542" spans="1:10" x14ac:dyDescent="0.2">
      <c r="A542" t="s">
        <v>4010</v>
      </c>
      <c r="E542" t="str">
        <f>HYPERLINK("http://nlpdeep.cs.uic.edu:8080/proofing/t5/6558-discharge-instructions-4-0.pdf","t5/6558-discharge-instructions-4-0.pdf")</f>
        <v>t5/6558-discharge-instructions-4-0.pdf</v>
      </c>
      <c r="F542">
        <v>108346</v>
      </c>
      <c r="G542">
        <v>6558</v>
      </c>
      <c r="H542" t="s">
        <v>745</v>
      </c>
      <c r="I542" t="s">
        <v>1179</v>
      </c>
      <c r="J542" t="s">
        <v>4011</v>
      </c>
    </row>
    <row r="543" spans="1:10" x14ac:dyDescent="0.2">
      <c r="A543" t="s">
        <v>4010</v>
      </c>
      <c r="E543" t="str">
        <f>HYPERLINK("http://nlpdeep.cs.uic.edu:8080/proofing/gsii/6558-discharge-instructions-4-0.pdf","gsii/6558-discharge-instructions-4-0.pdf")</f>
        <v>gsii/6558-discharge-instructions-4-0.pdf</v>
      </c>
      <c r="F543">
        <v>108346</v>
      </c>
      <c r="G543">
        <v>6558</v>
      </c>
      <c r="H543" t="s">
        <v>745</v>
      </c>
      <c r="I543" t="s">
        <v>1179</v>
      </c>
      <c r="J543" t="s">
        <v>4011</v>
      </c>
    </row>
    <row r="544" spans="1:10" x14ac:dyDescent="0.2">
      <c r="A544" t="s">
        <v>4012</v>
      </c>
      <c r="E544" t="str">
        <f>HYPERLINK("http://nlpdeep.cs.uic.edu:8080/proofing/t5/6558-discharge-instructions-4-1.pdf","t5/6558-discharge-instructions-4-1.pdf")</f>
        <v>t5/6558-discharge-instructions-4-1.pdf</v>
      </c>
      <c r="F544">
        <v>108346</v>
      </c>
      <c r="G544">
        <v>6558</v>
      </c>
      <c r="H544" t="s">
        <v>745</v>
      </c>
      <c r="I544" t="s">
        <v>1179</v>
      </c>
      <c r="J544" t="s">
        <v>4013</v>
      </c>
    </row>
    <row r="545" spans="1:10" x14ac:dyDescent="0.2">
      <c r="A545" t="s">
        <v>4012</v>
      </c>
      <c r="E545" t="str">
        <f>HYPERLINK("http://nlpdeep.cs.uic.edu:8080/proofing/gsii/6558-discharge-instructions-4-1.pdf","gsii/6558-discharge-instructions-4-1.pdf")</f>
        <v>gsii/6558-discharge-instructions-4-1.pdf</v>
      </c>
      <c r="F545">
        <v>108346</v>
      </c>
      <c r="G545">
        <v>6558</v>
      </c>
      <c r="H545" t="s">
        <v>745</v>
      </c>
      <c r="I545" t="s">
        <v>1179</v>
      </c>
      <c r="J545" t="s">
        <v>4013</v>
      </c>
    </row>
    <row r="546" spans="1:10" x14ac:dyDescent="0.2">
      <c r="A546" t="s">
        <v>4014</v>
      </c>
      <c r="E546" t="str">
        <f>HYPERLINK("http://nlpdeep.cs.uic.edu:8080/proofing/t5/6558-discharge-instructions-4-2.pdf","t5/6558-discharge-instructions-4-2.pdf")</f>
        <v>t5/6558-discharge-instructions-4-2.pdf</v>
      </c>
      <c r="F546">
        <v>108346</v>
      </c>
      <c r="G546">
        <v>6558</v>
      </c>
      <c r="H546" t="s">
        <v>745</v>
      </c>
      <c r="I546" t="s">
        <v>1179</v>
      </c>
      <c r="J546" t="s">
        <v>4015</v>
      </c>
    </row>
    <row r="547" spans="1:10" x14ac:dyDescent="0.2">
      <c r="A547" t="s">
        <v>4014</v>
      </c>
      <c r="E547" t="str">
        <f>HYPERLINK("http://nlpdeep.cs.uic.edu:8080/proofing/gsii/6558-discharge-instructions-4-2.pdf","gsii/6558-discharge-instructions-4-2.pdf")</f>
        <v>gsii/6558-discharge-instructions-4-2.pdf</v>
      </c>
      <c r="F547">
        <v>108346</v>
      </c>
      <c r="G547">
        <v>6558</v>
      </c>
      <c r="H547" t="s">
        <v>745</v>
      </c>
      <c r="I547" t="s">
        <v>1179</v>
      </c>
      <c r="J547" t="s">
        <v>4015</v>
      </c>
    </row>
    <row r="548" spans="1:10" x14ac:dyDescent="0.2">
      <c r="A548" t="s">
        <v>4016</v>
      </c>
      <c r="E548" t="str">
        <f>HYPERLINK("http://nlpdeep.cs.uic.edu:8080/proofing/t5/6558-discharge-instructions-5-0.pdf","t5/6558-discharge-instructions-5-0.pdf")</f>
        <v>t5/6558-discharge-instructions-5-0.pdf</v>
      </c>
      <c r="F548">
        <v>108346</v>
      </c>
      <c r="G548">
        <v>6558</v>
      </c>
      <c r="H548" t="s">
        <v>745</v>
      </c>
      <c r="I548" t="s">
        <v>1179</v>
      </c>
      <c r="J548" t="s">
        <v>4017</v>
      </c>
    </row>
    <row r="549" spans="1:10" x14ac:dyDescent="0.2">
      <c r="A549" t="s">
        <v>4016</v>
      </c>
      <c r="E549" t="str">
        <f>HYPERLINK("http://nlpdeep.cs.uic.edu:8080/proofing/gsii/6558-discharge-instructions-5-0.pdf","gsii/6558-discharge-instructions-5-0.pdf")</f>
        <v>gsii/6558-discharge-instructions-5-0.pdf</v>
      </c>
      <c r="F549">
        <v>108346</v>
      </c>
      <c r="G549">
        <v>6558</v>
      </c>
      <c r="H549" t="s">
        <v>745</v>
      </c>
      <c r="I549" t="s">
        <v>1179</v>
      </c>
      <c r="J549" t="s">
        <v>4017</v>
      </c>
    </row>
    <row r="550" spans="1:10" x14ac:dyDescent="0.2">
      <c r="A550" t="s">
        <v>4018</v>
      </c>
      <c r="E550" t="str">
        <f>HYPERLINK("http://nlpdeep.cs.uic.edu:8080/proofing/t5/6558-discharge-instructions-5-1.pdf","t5/6558-discharge-instructions-5-1.pdf")</f>
        <v>t5/6558-discharge-instructions-5-1.pdf</v>
      </c>
      <c r="F550">
        <v>108346</v>
      </c>
      <c r="G550">
        <v>6558</v>
      </c>
      <c r="H550" t="s">
        <v>745</v>
      </c>
      <c r="I550" t="s">
        <v>1179</v>
      </c>
      <c r="J550" t="s">
        <v>4019</v>
      </c>
    </row>
    <row r="551" spans="1:10" x14ac:dyDescent="0.2">
      <c r="A551" t="s">
        <v>4018</v>
      </c>
      <c r="E551" t="str">
        <f>HYPERLINK("http://nlpdeep.cs.uic.edu:8080/proofing/gsii/6558-discharge-instructions-5-1.pdf","gsii/6558-discharge-instructions-5-1.pdf")</f>
        <v>gsii/6558-discharge-instructions-5-1.pdf</v>
      </c>
      <c r="F551">
        <v>108346</v>
      </c>
      <c r="G551">
        <v>6558</v>
      </c>
      <c r="H551" t="s">
        <v>745</v>
      </c>
      <c r="I551" t="s">
        <v>1179</v>
      </c>
      <c r="J551" t="s">
        <v>4019</v>
      </c>
    </row>
    <row r="552" spans="1:10" x14ac:dyDescent="0.2">
      <c r="A552" t="s">
        <v>4020</v>
      </c>
      <c r="E552" t="str">
        <f>HYPERLINK("http://nlpdeep.cs.uic.edu:8080/proofing/t5/6558-discharge-instructions-5-2.pdf","t5/6558-discharge-instructions-5-2.pdf")</f>
        <v>t5/6558-discharge-instructions-5-2.pdf</v>
      </c>
      <c r="F552">
        <v>108346</v>
      </c>
      <c r="G552">
        <v>6558</v>
      </c>
      <c r="H552" t="s">
        <v>745</v>
      </c>
      <c r="I552" t="s">
        <v>1179</v>
      </c>
      <c r="J552" t="s">
        <v>4021</v>
      </c>
    </row>
    <row r="553" spans="1:10" x14ac:dyDescent="0.2">
      <c r="A553" t="s">
        <v>4020</v>
      </c>
      <c r="E553" t="str">
        <f>HYPERLINK("http://nlpdeep.cs.uic.edu:8080/proofing/gsii/6558-discharge-instructions-5-2.pdf","gsii/6558-discharge-instructions-5-2.pdf")</f>
        <v>gsii/6558-discharge-instructions-5-2.pdf</v>
      </c>
      <c r="F553">
        <v>108346</v>
      </c>
      <c r="G553">
        <v>6558</v>
      </c>
      <c r="H553" t="s">
        <v>745</v>
      </c>
      <c r="I553" t="s">
        <v>1179</v>
      </c>
      <c r="J553" t="s">
        <v>4021</v>
      </c>
    </row>
    <row r="554" spans="1:10" x14ac:dyDescent="0.2">
      <c r="A554" t="s">
        <v>4022</v>
      </c>
      <c r="E554" t="str">
        <f>HYPERLINK("http://nlpdeep.cs.uic.edu:8080/proofing/t5/6558-discharge-instructions-6-0.pdf","t5/6558-discharge-instructions-6-0.pdf")</f>
        <v>t5/6558-discharge-instructions-6-0.pdf</v>
      </c>
      <c r="F554">
        <v>108346</v>
      </c>
      <c r="G554">
        <v>6558</v>
      </c>
      <c r="H554" t="s">
        <v>745</v>
      </c>
      <c r="I554" t="s">
        <v>1179</v>
      </c>
      <c r="J554" t="s">
        <v>4023</v>
      </c>
    </row>
    <row r="555" spans="1:10" x14ac:dyDescent="0.2">
      <c r="A555" t="s">
        <v>4022</v>
      </c>
      <c r="E555" t="str">
        <f>HYPERLINK("http://nlpdeep.cs.uic.edu:8080/proofing/gsii/6558-discharge-instructions-6-0.pdf","gsii/6558-discharge-instructions-6-0.pdf")</f>
        <v>gsii/6558-discharge-instructions-6-0.pdf</v>
      </c>
      <c r="F555">
        <v>108346</v>
      </c>
      <c r="G555">
        <v>6558</v>
      </c>
      <c r="H555" t="s">
        <v>745</v>
      </c>
      <c r="I555" t="s">
        <v>1179</v>
      </c>
      <c r="J555" t="s">
        <v>4023</v>
      </c>
    </row>
    <row r="556" spans="1:10" x14ac:dyDescent="0.2">
      <c r="A556" t="s">
        <v>4024</v>
      </c>
      <c r="E556" t="str">
        <f>HYPERLINK("http://nlpdeep.cs.uic.edu:8080/proofing/t5/6558-discharge-instructions-6-1.pdf","t5/6558-discharge-instructions-6-1.pdf")</f>
        <v>t5/6558-discharge-instructions-6-1.pdf</v>
      </c>
      <c r="F556">
        <v>108346</v>
      </c>
      <c r="G556">
        <v>6558</v>
      </c>
      <c r="H556" t="s">
        <v>745</v>
      </c>
      <c r="I556" t="s">
        <v>1179</v>
      </c>
      <c r="J556" t="s">
        <v>4025</v>
      </c>
    </row>
    <row r="557" spans="1:10" x14ac:dyDescent="0.2">
      <c r="A557" t="s">
        <v>4024</v>
      </c>
      <c r="E557" t="str">
        <f>HYPERLINK("http://nlpdeep.cs.uic.edu:8080/proofing/gsii/6558-discharge-instructions-6-1.pdf","gsii/6558-discharge-instructions-6-1.pdf")</f>
        <v>gsii/6558-discharge-instructions-6-1.pdf</v>
      </c>
      <c r="F557">
        <v>108346</v>
      </c>
      <c r="G557">
        <v>6558</v>
      </c>
      <c r="H557" t="s">
        <v>745</v>
      </c>
      <c r="I557" t="s">
        <v>1179</v>
      </c>
      <c r="J557" t="s">
        <v>4025</v>
      </c>
    </row>
    <row r="558" spans="1:10" x14ac:dyDescent="0.2">
      <c r="A558" t="s">
        <v>4026</v>
      </c>
      <c r="E558" t="str">
        <f>HYPERLINK("http://nlpdeep.cs.uic.edu:8080/proofing/t5/6558-discharge-instructions-6-2.pdf","t5/6558-discharge-instructions-6-2.pdf")</f>
        <v>t5/6558-discharge-instructions-6-2.pdf</v>
      </c>
      <c r="F558">
        <v>108346</v>
      </c>
      <c r="G558">
        <v>6558</v>
      </c>
      <c r="H558" t="s">
        <v>745</v>
      </c>
      <c r="I558" t="s">
        <v>1179</v>
      </c>
      <c r="J558" t="s">
        <v>4027</v>
      </c>
    </row>
    <row r="559" spans="1:10" x14ac:dyDescent="0.2">
      <c r="A559" t="s">
        <v>4026</v>
      </c>
      <c r="E559" t="str">
        <f>HYPERLINK("http://nlpdeep.cs.uic.edu:8080/proofing/gsii/6558-discharge-instructions-6-2.pdf","gsii/6558-discharge-instructions-6-2.pdf")</f>
        <v>gsii/6558-discharge-instructions-6-2.pdf</v>
      </c>
      <c r="F559">
        <v>108346</v>
      </c>
      <c r="G559">
        <v>6558</v>
      </c>
      <c r="H559" t="s">
        <v>745</v>
      </c>
      <c r="I559" t="s">
        <v>1179</v>
      </c>
      <c r="J559" t="s">
        <v>4027</v>
      </c>
    </row>
    <row r="560" spans="1:10" x14ac:dyDescent="0.2">
      <c r="A560" t="s">
        <v>4028</v>
      </c>
      <c r="E560" t="str">
        <f>HYPERLINK("http://nlpdeep.cs.uic.edu:8080/proofing/t5/6558-discharge-instructions-6-3.pdf","t5/6558-discharge-instructions-6-3.pdf")</f>
        <v>t5/6558-discharge-instructions-6-3.pdf</v>
      </c>
      <c r="F560">
        <v>108346</v>
      </c>
      <c r="G560">
        <v>6558</v>
      </c>
      <c r="H560" t="s">
        <v>745</v>
      </c>
      <c r="I560" t="s">
        <v>1179</v>
      </c>
      <c r="J560" t="s">
        <v>4029</v>
      </c>
    </row>
    <row r="561" spans="1:10" x14ac:dyDescent="0.2">
      <c r="A561" t="s">
        <v>4028</v>
      </c>
      <c r="E561" t="str">
        <f>HYPERLINK("http://nlpdeep.cs.uic.edu:8080/proofing/gsii/6558-discharge-instructions-6-3.pdf","gsii/6558-discharge-instructions-6-3.pdf")</f>
        <v>gsii/6558-discharge-instructions-6-3.pdf</v>
      </c>
      <c r="F561">
        <v>108346</v>
      </c>
      <c r="G561">
        <v>6558</v>
      </c>
      <c r="H561" t="s">
        <v>745</v>
      </c>
      <c r="I561" t="s">
        <v>1179</v>
      </c>
      <c r="J561" t="s">
        <v>4029</v>
      </c>
    </row>
    <row r="562" spans="1:10" x14ac:dyDescent="0.2">
      <c r="A562" t="s">
        <v>4030</v>
      </c>
      <c r="E562" t="str">
        <f>HYPERLINK("http://nlpdeep.cs.uic.edu:8080/proofing/t5/6558-discharge-instructions-6-4.pdf","t5/6558-discharge-instructions-6-4.pdf")</f>
        <v>t5/6558-discharge-instructions-6-4.pdf</v>
      </c>
      <c r="F562">
        <v>108346</v>
      </c>
      <c r="G562">
        <v>6558</v>
      </c>
      <c r="H562" t="s">
        <v>745</v>
      </c>
      <c r="I562" t="s">
        <v>1179</v>
      </c>
      <c r="J562" t="s">
        <v>4031</v>
      </c>
    </row>
    <row r="563" spans="1:10" x14ac:dyDescent="0.2">
      <c r="A563" t="s">
        <v>4030</v>
      </c>
      <c r="E563" t="str">
        <f>HYPERLINK("http://nlpdeep.cs.uic.edu:8080/proofing/gsii/6558-discharge-instructions-6-4.pdf","gsii/6558-discharge-instructions-6-4.pdf")</f>
        <v>gsii/6558-discharge-instructions-6-4.pdf</v>
      </c>
      <c r="F563">
        <v>108346</v>
      </c>
      <c r="G563">
        <v>6558</v>
      </c>
      <c r="H563" t="s">
        <v>745</v>
      </c>
      <c r="I563" t="s">
        <v>1179</v>
      </c>
      <c r="J563" t="s">
        <v>4031</v>
      </c>
    </row>
    <row r="564" spans="1:10" x14ac:dyDescent="0.2">
      <c r="A564" t="s">
        <v>4032</v>
      </c>
      <c r="E564" t="str">
        <f>HYPERLINK("http://nlpdeep.cs.uic.edu:8080/proofing/t5/6558-discharge-instructions-6-5.pdf","t5/6558-discharge-instructions-6-5.pdf")</f>
        <v>t5/6558-discharge-instructions-6-5.pdf</v>
      </c>
      <c r="F564">
        <v>108346</v>
      </c>
      <c r="G564">
        <v>6558</v>
      </c>
      <c r="H564" t="s">
        <v>745</v>
      </c>
      <c r="I564" t="s">
        <v>1179</v>
      </c>
      <c r="J564" t="s">
        <v>4033</v>
      </c>
    </row>
    <row r="565" spans="1:10" x14ac:dyDescent="0.2">
      <c r="A565" t="s">
        <v>4032</v>
      </c>
      <c r="E565" t="str">
        <f>HYPERLINK("http://nlpdeep.cs.uic.edu:8080/proofing/gsii/6558-discharge-instructions-6-5.pdf","gsii/6558-discharge-instructions-6-5.pdf")</f>
        <v>gsii/6558-discharge-instructions-6-5.pdf</v>
      </c>
      <c r="F565">
        <v>108346</v>
      </c>
      <c r="G565">
        <v>6558</v>
      </c>
      <c r="H565" t="s">
        <v>745</v>
      </c>
      <c r="I565" t="s">
        <v>1179</v>
      </c>
      <c r="J565" t="s">
        <v>4033</v>
      </c>
    </row>
    <row r="566" spans="1:10" x14ac:dyDescent="0.2">
      <c r="A566" t="s">
        <v>4034</v>
      </c>
      <c r="E566" t="str">
        <f>HYPERLINK("http://nlpdeep.cs.uic.edu:8080/proofing/t5/6558-discharge-instructions-6-6.pdf","t5/6558-discharge-instructions-6-6.pdf")</f>
        <v>t5/6558-discharge-instructions-6-6.pdf</v>
      </c>
      <c r="F566">
        <v>108346</v>
      </c>
      <c r="G566">
        <v>6558</v>
      </c>
      <c r="H566" t="s">
        <v>745</v>
      </c>
      <c r="I566" t="s">
        <v>1179</v>
      </c>
      <c r="J566" t="s">
        <v>4035</v>
      </c>
    </row>
    <row r="567" spans="1:10" x14ac:dyDescent="0.2">
      <c r="A567" t="s">
        <v>4034</v>
      </c>
      <c r="E567" t="str">
        <f>HYPERLINK("http://nlpdeep.cs.uic.edu:8080/proofing/gsii/6558-discharge-instructions-6-6.pdf","gsii/6558-discharge-instructions-6-6.pdf")</f>
        <v>gsii/6558-discharge-instructions-6-6.pdf</v>
      </c>
      <c r="F567">
        <v>108346</v>
      </c>
      <c r="G567">
        <v>6558</v>
      </c>
      <c r="H567" t="s">
        <v>745</v>
      </c>
      <c r="I567" t="s">
        <v>1179</v>
      </c>
      <c r="J567" t="s">
        <v>4035</v>
      </c>
    </row>
    <row r="568" spans="1:10" x14ac:dyDescent="0.2">
      <c r="A568" t="s">
        <v>4036</v>
      </c>
      <c r="E568" t="str">
        <f>HYPERLINK("http://nlpdeep.cs.uic.edu:8080/proofing/t5/6558-discharge-instructions-6-7.pdf","t5/6558-discharge-instructions-6-7.pdf")</f>
        <v>t5/6558-discharge-instructions-6-7.pdf</v>
      </c>
      <c r="F568">
        <v>108346</v>
      </c>
      <c r="G568">
        <v>6558</v>
      </c>
      <c r="H568" t="s">
        <v>745</v>
      </c>
      <c r="I568" t="s">
        <v>1179</v>
      </c>
      <c r="J568" t="s">
        <v>4037</v>
      </c>
    </row>
    <row r="569" spans="1:10" x14ac:dyDescent="0.2">
      <c r="A569" t="s">
        <v>4036</v>
      </c>
      <c r="E569" t="str">
        <f>HYPERLINK("http://nlpdeep.cs.uic.edu:8080/proofing/gsii/6558-discharge-instructions-6-7.pdf","gsii/6558-discharge-instructions-6-7.pdf")</f>
        <v>gsii/6558-discharge-instructions-6-7.pdf</v>
      </c>
      <c r="F569">
        <v>108346</v>
      </c>
      <c r="G569">
        <v>6558</v>
      </c>
      <c r="H569" t="s">
        <v>745</v>
      </c>
      <c r="I569" t="s">
        <v>1179</v>
      </c>
      <c r="J569" t="s">
        <v>4037</v>
      </c>
    </row>
    <row r="570" spans="1:10" x14ac:dyDescent="0.2">
      <c r="A570" t="s">
        <v>4038</v>
      </c>
      <c r="E570" t="str">
        <f>HYPERLINK("http://nlpdeep.cs.uic.edu:8080/proofing/t5/6558-discharge-instructions-7-0.pdf","t5/6558-discharge-instructions-7-0.pdf")</f>
        <v>t5/6558-discharge-instructions-7-0.pdf</v>
      </c>
      <c r="F570">
        <v>108346</v>
      </c>
      <c r="G570">
        <v>6558</v>
      </c>
      <c r="H570" t="s">
        <v>745</v>
      </c>
      <c r="I570" t="s">
        <v>1179</v>
      </c>
      <c r="J570" t="s">
        <v>4039</v>
      </c>
    </row>
    <row r="571" spans="1:10" x14ac:dyDescent="0.2">
      <c r="A571" t="s">
        <v>4038</v>
      </c>
      <c r="E571" t="str">
        <f>HYPERLINK("http://nlpdeep.cs.uic.edu:8080/proofing/gsii/6558-discharge-instructions-7-0.pdf","gsii/6558-discharge-instructions-7-0.pdf")</f>
        <v>gsii/6558-discharge-instructions-7-0.pdf</v>
      </c>
      <c r="F571">
        <v>108346</v>
      </c>
      <c r="G571">
        <v>6558</v>
      </c>
      <c r="H571" t="s">
        <v>745</v>
      </c>
      <c r="I571" t="s">
        <v>1179</v>
      </c>
      <c r="J571" t="s">
        <v>4039</v>
      </c>
    </row>
    <row r="572" spans="1:10" x14ac:dyDescent="0.2">
      <c r="A572" t="s">
        <v>4040</v>
      </c>
      <c r="E572" t="str">
        <f>HYPERLINK("http://nlpdeep.cs.uic.edu:8080/proofing/t5/6558-discharge-instructions-8-0.pdf","t5/6558-discharge-instructions-8-0.pdf")</f>
        <v>t5/6558-discharge-instructions-8-0.pdf</v>
      </c>
      <c r="F572">
        <v>108346</v>
      </c>
      <c r="G572">
        <v>6558</v>
      </c>
      <c r="H572" t="s">
        <v>745</v>
      </c>
      <c r="I572" t="s">
        <v>1179</v>
      </c>
      <c r="J572" t="s">
        <v>4041</v>
      </c>
    </row>
    <row r="573" spans="1:10" x14ac:dyDescent="0.2">
      <c r="A573" t="s">
        <v>4040</v>
      </c>
      <c r="E573" t="str">
        <f>HYPERLINK("http://nlpdeep.cs.uic.edu:8080/proofing/gsii/6558-discharge-instructions-8-0.pdf","gsii/6558-discharge-instructions-8-0.pdf")</f>
        <v>gsii/6558-discharge-instructions-8-0.pdf</v>
      </c>
      <c r="F573">
        <v>108346</v>
      </c>
      <c r="G573">
        <v>6558</v>
      </c>
      <c r="H573" t="s">
        <v>745</v>
      </c>
      <c r="I573" t="s">
        <v>1179</v>
      </c>
      <c r="J573" t="s">
        <v>4041</v>
      </c>
    </row>
    <row r="574" spans="1:10" x14ac:dyDescent="0.2">
      <c r="A574" t="s">
        <v>4042</v>
      </c>
      <c r="E574" t="str">
        <f>HYPERLINK("http://nlpdeep.cs.uic.edu:8080/proofing/t5/6558-discharge-instructions-8-1.pdf","t5/6558-discharge-instructions-8-1.pdf")</f>
        <v>t5/6558-discharge-instructions-8-1.pdf</v>
      </c>
      <c r="F574">
        <v>108346</v>
      </c>
      <c r="G574">
        <v>6558</v>
      </c>
      <c r="H574" t="s">
        <v>745</v>
      </c>
      <c r="I574" t="s">
        <v>1179</v>
      </c>
      <c r="J574" t="s">
        <v>4043</v>
      </c>
    </row>
    <row r="575" spans="1:10" x14ac:dyDescent="0.2">
      <c r="A575" t="s">
        <v>4042</v>
      </c>
      <c r="E575" t="str">
        <f>HYPERLINK("http://nlpdeep.cs.uic.edu:8080/proofing/gsii/6558-discharge-instructions-8-1.pdf","gsii/6558-discharge-instructions-8-1.pdf")</f>
        <v>gsii/6558-discharge-instructions-8-1.pdf</v>
      </c>
      <c r="F575">
        <v>108346</v>
      </c>
      <c r="G575">
        <v>6558</v>
      </c>
      <c r="H575" t="s">
        <v>745</v>
      </c>
      <c r="I575" t="s">
        <v>1179</v>
      </c>
      <c r="J575" t="s">
        <v>4043</v>
      </c>
    </row>
    <row r="576" spans="1:10" x14ac:dyDescent="0.2">
      <c r="A576" t="s">
        <v>4044</v>
      </c>
      <c r="E576" t="str">
        <f>HYPERLINK("http://nlpdeep.cs.uic.edu:8080/proofing/t5/6558-discharge-instructions-8-2.pdf","t5/6558-discharge-instructions-8-2.pdf")</f>
        <v>t5/6558-discharge-instructions-8-2.pdf</v>
      </c>
      <c r="F576">
        <v>108346</v>
      </c>
      <c r="G576">
        <v>6558</v>
      </c>
      <c r="H576" t="s">
        <v>745</v>
      </c>
      <c r="I576" t="s">
        <v>1179</v>
      </c>
      <c r="J576" t="s">
        <v>4045</v>
      </c>
    </row>
    <row r="577" spans="1:10" x14ac:dyDescent="0.2">
      <c r="A577" t="s">
        <v>4044</v>
      </c>
      <c r="E577" t="str">
        <f>HYPERLINK("http://nlpdeep.cs.uic.edu:8080/proofing/gsii/6558-discharge-instructions-8-2.pdf","gsii/6558-discharge-instructions-8-2.pdf")</f>
        <v>gsii/6558-discharge-instructions-8-2.pdf</v>
      </c>
      <c r="F577">
        <v>108346</v>
      </c>
      <c r="G577">
        <v>6558</v>
      </c>
      <c r="H577" t="s">
        <v>745</v>
      </c>
      <c r="I577" t="s">
        <v>1179</v>
      </c>
      <c r="J577" t="s">
        <v>4045</v>
      </c>
    </row>
    <row r="578" spans="1:10" x14ac:dyDescent="0.2">
      <c r="A578" t="s">
        <v>4046</v>
      </c>
      <c r="E578" t="str">
        <f>HYPERLINK("http://nlpdeep.cs.uic.edu:8080/proofing/t5/6558-discharge-instructions-8-3.pdf","t5/6558-discharge-instructions-8-3.pdf")</f>
        <v>t5/6558-discharge-instructions-8-3.pdf</v>
      </c>
      <c r="F578">
        <v>108346</v>
      </c>
      <c r="G578">
        <v>6558</v>
      </c>
      <c r="H578" t="s">
        <v>745</v>
      </c>
      <c r="I578" t="s">
        <v>1179</v>
      </c>
      <c r="J578" t="s">
        <v>4047</v>
      </c>
    </row>
    <row r="579" spans="1:10" x14ac:dyDescent="0.2">
      <c r="A579" t="s">
        <v>4046</v>
      </c>
      <c r="E579" t="str">
        <f>HYPERLINK("http://nlpdeep.cs.uic.edu:8080/proofing/gsii/6558-discharge-instructions-8-3.pdf","gsii/6558-discharge-instructions-8-3.pdf")</f>
        <v>gsii/6558-discharge-instructions-8-3.pdf</v>
      </c>
      <c r="F579">
        <v>108346</v>
      </c>
      <c r="G579">
        <v>6558</v>
      </c>
      <c r="H579" t="s">
        <v>745</v>
      </c>
      <c r="I579" t="s">
        <v>1179</v>
      </c>
      <c r="J579" t="s">
        <v>4047</v>
      </c>
    </row>
    <row r="580" spans="1:10" x14ac:dyDescent="0.2">
      <c r="A580" t="s">
        <v>4048</v>
      </c>
      <c r="E580" t="str">
        <f>HYPERLINK("http://nlpdeep.cs.uic.edu:8080/proofing/t5/6558-discharge-instructions-8-4.pdf","t5/6558-discharge-instructions-8-4.pdf")</f>
        <v>t5/6558-discharge-instructions-8-4.pdf</v>
      </c>
      <c r="F580">
        <v>108346</v>
      </c>
      <c r="G580">
        <v>6558</v>
      </c>
      <c r="H580" t="s">
        <v>745</v>
      </c>
      <c r="I580" t="s">
        <v>1179</v>
      </c>
      <c r="J580" t="s">
        <v>4049</v>
      </c>
    </row>
    <row r="581" spans="1:10" x14ac:dyDescent="0.2">
      <c r="A581" t="s">
        <v>4048</v>
      </c>
      <c r="E581" t="str">
        <f>HYPERLINK("http://nlpdeep.cs.uic.edu:8080/proofing/gsii/6558-discharge-instructions-8-4.pdf","gsii/6558-discharge-instructions-8-4.pdf")</f>
        <v>gsii/6558-discharge-instructions-8-4.pdf</v>
      </c>
      <c r="F581">
        <v>108346</v>
      </c>
      <c r="G581">
        <v>6558</v>
      </c>
      <c r="H581" t="s">
        <v>745</v>
      </c>
      <c r="I581" t="s">
        <v>1179</v>
      </c>
      <c r="J581" t="s">
        <v>4049</v>
      </c>
    </row>
    <row r="582" spans="1:10" x14ac:dyDescent="0.2">
      <c r="A582" t="s">
        <v>4050</v>
      </c>
      <c r="E582" t="str">
        <f>HYPERLINK("http://nlpdeep.cs.uic.edu:8080/proofing/t5/6558-discharge-instructions-8-5.pdf","t5/6558-discharge-instructions-8-5.pdf")</f>
        <v>t5/6558-discharge-instructions-8-5.pdf</v>
      </c>
      <c r="F582">
        <v>108346</v>
      </c>
      <c r="G582">
        <v>6558</v>
      </c>
      <c r="H582" t="s">
        <v>745</v>
      </c>
      <c r="I582" t="s">
        <v>1179</v>
      </c>
      <c r="J582" t="s">
        <v>4051</v>
      </c>
    </row>
    <row r="583" spans="1:10" x14ac:dyDescent="0.2">
      <c r="A583" t="s">
        <v>4050</v>
      </c>
      <c r="E583" t="str">
        <f>HYPERLINK("http://nlpdeep.cs.uic.edu:8080/proofing/gsii/6558-discharge-instructions-8-5.pdf","gsii/6558-discharge-instructions-8-5.pdf")</f>
        <v>gsii/6558-discharge-instructions-8-5.pdf</v>
      </c>
      <c r="F583">
        <v>108346</v>
      </c>
      <c r="G583">
        <v>6558</v>
      </c>
      <c r="H583" t="s">
        <v>745</v>
      </c>
      <c r="I583" t="s">
        <v>1179</v>
      </c>
      <c r="J583" t="s">
        <v>4051</v>
      </c>
    </row>
    <row r="584" spans="1:10" x14ac:dyDescent="0.2">
      <c r="A584" t="s">
        <v>4052</v>
      </c>
      <c r="E584" t="str">
        <f>HYPERLINK("http://nlpdeep.cs.uic.edu:8080/proofing/t5/6558-discharge-instructions-8-6.pdf","t5/6558-discharge-instructions-8-6.pdf")</f>
        <v>t5/6558-discharge-instructions-8-6.pdf</v>
      </c>
      <c r="F584">
        <v>108346</v>
      </c>
      <c r="G584">
        <v>6558</v>
      </c>
      <c r="H584" t="s">
        <v>745</v>
      </c>
      <c r="I584" t="s">
        <v>1179</v>
      </c>
      <c r="J584" t="s">
        <v>4053</v>
      </c>
    </row>
    <row r="585" spans="1:10" x14ac:dyDescent="0.2">
      <c r="A585" t="s">
        <v>4052</v>
      </c>
      <c r="E585" t="str">
        <f>HYPERLINK("http://nlpdeep.cs.uic.edu:8080/proofing/gsii/6558-discharge-instructions-8-6.pdf","gsii/6558-discharge-instructions-8-6.pdf")</f>
        <v>gsii/6558-discharge-instructions-8-6.pdf</v>
      </c>
      <c r="F585">
        <v>108346</v>
      </c>
      <c r="G585">
        <v>6558</v>
      </c>
      <c r="H585" t="s">
        <v>745</v>
      </c>
      <c r="I585" t="s">
        <v>1179</v>
      </c>
      <c r="J585" t="s">
        <v>4053</v>
      </c>
    </row>
    <row r="586" spans="1:10" x14ac:dyDescent="0.2">
      <c r="A586" t="s">
        <v>4054</v>
      </c>
      <c r="E586" t="str">
        <f>HYPERLINK("http://nlpdeep.cs.uic.edu:8080/proofing/t5/6558-discharge-instructions-8-7.pdf","t5/6558-discharge-instructions-8-7.pdf")</f>
        <v>t5/6558-discharge-instructions-8-7.pdf</v>
      </c>
      <c r="F586">
        <v>108346</v>
      </c>
      <c r="G586">
        <v>6558</v>
      </c>
      <c r="H586" t="s">
        <v>745</v>
      </c>
      <c r="I586" t="s">
        <v>1179</v>
      </c>
      <c r="J586" t="s">
        <v>4055</v>
      </c>
    </row>
    <row r="587" spans="1:10" x14ac:dyDescent="0.2">
      <c r="A587" t="s">
        <v>4054</v>
      </c>
      <c r="E587" t="str">
        <f>HYPERLINK("http://nlpdeep.cs.uic.edu:8080/proofing/gsii/6558-discharge-instructions-8-7.pdf","gsii/6558-discharge-instructions-8-7.pdf")</f>
        <v>gsii/6558-discharge-instructions-8-7.pdf</v>
      </c>
      <c r="F587">
        <v>108346</v>
      </c>
      <c r="G587">
        <v>6558</v>
      </c>
      <c r="H587" t="s">
        <v>745</v>
      </c>
      <c r="I587" t="s">
        <v>1179</v>
      </c>
      <c r="J587" t="s">
        <v>4055</v>
      </c>
    </row>
    <row r="588" spans="1:10" x14ac:dyDescent="0.2">
      <c r="A588" t="s">
        <v>4056</v>
      </c>
      <c r="E588" t="str">
        <f>HYPERLINK("http://nlpdeep.cs.uic.edu:8080/proofing/t5/6558-discharge-instructions-8-8.pdf","t5/6558-discharge-instructions-8-8.pdf")</f>
        <v>t5/6558-discharge-instructions-8-8.pdf</v>
      </c>
      <c r="F588">
        <v>108346</v>
      </c>
      <c r="G588">
        <v>6558</v>
      </c>
      <c r="H588" t="s">
        <v>745</v>
      </c>
      <c r="I588" t="s">
        <v>1179</v>
      </c>
      <c r="J588" t="s">
        <v>4057</v>
      </c>
    </row>
    <row r="589" spans="1:10" x14ac:dyDescent="0.2">
      <c r="A589" t="s">
        <v>4056</v>
      </c>
      <c r="E589" t="str">
        <f>HYPERLINK("http://nlpdeep.cs.uic.edu:8080/proofing/gsii/6558-discharge-instructions-8-8.pdf","gsii/6558-discharge-instructions-8-8.pdf")</f>
        <v>gsii/6558-discharge-instructions-8-8.pdf</v>
      </c>
      <c r="F589">
        <v>108346</v>
      </c>
      <c r="G589">
        <v>6558</v>
      </c>
      <c r="H589" t="s">
        <v>745</v>
      </c>
      <c r="I589" t="s">
        <v>1179</v>
      </c>
      <c r="J589" t="s">
        <v>4057</v>
      </c>
    </row>
    <row r="590" spans="1:10" x14ac:dyDescent="0.2">
      <c r="A590" t="s">
        <v>4058</v>
      </c>
      <c r="E590" t="str">
        <f>HYPERLINK("http://nlpdeep.cs.uic.edu:8080/proofing/t5/6558-discharge-instructions-8-9.pdf","t5/6558-discharge-instructions-8-9.pdf")</f>
        <v>t5/6558-discharge-instructions-8-9.pdf</v>
      </c>
      <c r="F590">
        <v>108346</v>
      </c>
      <c r="G590">
        <v>6558</v>
      </c>
      <c r="H590" t="s">
        <v>745</v>
      </c>
      <c r="I590" t="s">
        <v>1179</v>
      </c>
      <c r="J590" t="s">
        <v>4059</v>
      </c>
    </row>
    <row r="591" spans="1:10" x14ac:dyDescent="0.2">
      <c r="A591" t="s">
        <v>4058</v>
      </c>
      <c r="E591" t="str">
        <f>HYPERLINK("http://nlpdeep.cs.uic.edu:8080/proofing/gsii/6558-discharge-instructions-8-9.pdf","gsii/6558-discharge-instructions-8-9.pdf")</f>
        <v>gsii/6558-discharge-instructions-8-9.pdf</v>
      </c>
      <c r="F591">
        <v>108346</v>
      </c>
      <c r="G591">
        <v>6558</v>
      </c>
      <c r="H591" t="s">
        <v>745</v>
      </c>
      <c r="I591" t="s">
        <v>1179</v>
      </c>
      <c r="J591" t="s">
        <v>4059</v>
      </c>
    </row>
    <row r="592" spans="1:10" x14ac:dyDescent="0.2">
      <c r="A592" t="s">
        <v>4060</v>
      </c>
      <c r="E592" t="str">
        <f>HYPERLINK("http://nlpdeep.cs.uic.edu:8080/proofing/t5/6558-discharge-instructions-9-0.pdf","t5/6558-discharge-instructions-9-0.pdf")</f>
        <v>t5/6558-discharge-instructions-9-0.pdf</v>
      </c>
      <c r="F592">
        <v>108346</v>
      </c>
      <c r="G592">
        <v>6558</v>
      </c>
      <c r="H592" t="s">
        <v>745</v>
      </c>
      <c r="I592" t="s">
        <v>1179</v>
      </c>
      <c r="J592" t="s">
        <v>4061</v>
      </c>
    </row>
    <row r="593" spans="1:10" x14ac:dyDescent="0.2">
      <c r="A593" t="s">
        <v>4060</v>
      </c>
      <c r="E593" t="str">
        <f>HYPERLINK("http://nlpdeep.cs.uic.edu:8080/proofing/gsii/6558-discharge-instructions-9-0.pdf","gsii/6558-discharge-instructions-9-0.pdf")</f>
        <v>gsii/6558-discharge-instructions-9-0.pdf</v>
      </c>
      <c r="F593">
        <v>108346</v>
      </c>
      <c r="G593">
        <v>6558</v>
      </c>
      <c r="H593" t="s">
        <v>745</v>
      </c>
      <c r="I593" t="s">
        <v>1179</v>
      </c>
      <c r="J593" t="s">
        <v>4061</v>
      </c>
    </row>
    <row r="594" spans="1:10" x14ac:dyDescent="0.2">
      <c r="A594" t="s">
        <v>4062</v>
      </c>
      <c r="E594" t="str">
        <f>HYPERLINK("http://nlpdeep.cs.uic.edu:8080/proofing/t5/6558-discharge-instructions-9-1.pdf","t5/6558-discharge-instructions-9-1.pdf")</f>
        <v>t5/6558-discharge-instructions-9-1.pdf</v>
      </c>
      <c r="F594">
        <v>108346</v>
      </c>
      <c r="G594">
        <v>6558</v>
      </c>
      <c r="H594" t="s">
        <v>745</v>
      </c>
      <c r="I594" t="s">
        <v>1179</v>
      </c>
      <c r="J594" t="s">
        <v>4063</v>
      </c>
    </row>
    <row r="595" spans="1:10" x14ac:dyDescent="0.2">
      <c r="A595" t="s">
        <v>4062</v>
      </c>
      <c r="E595" t="str">
        <f>HYPERLINK("http://nlpdeep.cs.uic.edu:8080/proofing/gsii/6558-discharge-instructions-9-1.pdf","gsii/6558-discharge-instructions-9-1.pdf")</f>
        <v>gsii/6558-discharge-instructions-9-1.pdf</v>
      </c>
      <c r="F595">
        <v>108346</v>
      </c>
      <c r="G595">
        <v>6558</v>
      </c>
      <c r="H595" t="s">
        <v>745</v>
      </c>
      <c r="I595" t="s">
        <v>1179</v>
      </c>
      <c r="J595" t="s">
        <v>4063</v>
      </c>
    </row>
    <row r="596" spans="1:10" x14ac:dyDescent="0.2">
      <c r="A596" t="s">
        <v>4064</v>
      </c>
      <c r="E596" t="str">
        <f>HYPERLINK("http://nlpdeep.cs.uic.edu:8080/proofing/t5/6558-discharge-instructions-9-2.pdf","t5/6558-discharge-instructions-9-2.pdf")</f>
        <v>t5/6558-discharge-instructions-9-2.pdf</v>
      </c>
      <c r="F596">
        <v>108346</v>
      </c>
      <c r="G596">
        <v>6558</v>
      </c>
      <c r="H596" t="s">
        <v>745</v>
      </c>
      <c r="I596" t="s">
        <v>1179</v>
      </c>
      <c r="J596" t="s">
        <v>4065</v>
      </c>
    </row>
    <row r="597" spans="1:10" x14ac:dyDescent="0.2">
      <c r="A597" t="s">
        <v>4064</v>
      </c>
      <c r="E597" t="str">
        <f>HYPERLINK("http://nlpdeep.cs.uic.edu:8080/proofing/gsii/6558-discharge-instructions-9-2.pdf","gsii/6558-discharge-instructions-9-2.pdf")</f>
        <v>gsii/6558-discharge-instructions-9-2.pdf</v>
      </c>
      <c r="F597">
        <v>108346</v>
      </c>
      <c r="G597">
        <v>6558</v>
      </c>
      <c r="H597" t="s">
        <v>745</v>
      </c>
      <c r="I597" t="s">
        <v>1179</v>
      </c>
      <c r="J597" t="s">
        <v>4065</v>
      </c>
    </row>
    <row r="598" spans="1:10" x14ac:dyDescent="0.2">
      <c r="A598" t="s">
        <v>4066</v>
      </c>
      <c r="E598" t="str">
        <f>HYPERLINK("http://nlpdeep.cs.uic.edu:8080/proofing/t5/6558-discharge-instructions-9-3.pdf","t5/6558-discharge-instructions-9-3.pdf")</f>
        <v>t5/6558-discharge-instructions-9-3.pdf</v>
      </c>
      <c r="F598">
        <v>108346</v>
      </c>
      <c r="G598">
        <v>6558</v>
      </c>
      <c r="H598" t="s">
        <v>745</v>
      </c>
      <c r="I598" t="s">
        <v>1179</v>
      </c>
      <c r="J598" t="s">
        <v>4067</v>
      </c>
    </row>
    <row r="599" spans="1:10" x14ac:dyDescent="0.2">
      <c r="A599" t="s">
        <v>4066</v>
      </c>
      <c r="E599" t="str">
        <f>HYPERLINK("http://nlpdeep.cs.uic.edu:8080/proofing/gsii/6558-discharge-instructions-9-3.pdf","gsii/6558-discharge-instructions-9-3.pdf")</f>
        <v>gsii/6558-discharge-instructions-9-3.pdf</v>
      </c>
      <c r="F599">
        <v>108346</v>
      </c>
      <c r="G599">
        <v>6558</v>
      </c>
      <c r="H599" t="s">
        <v>745</v>
      </c>
      <c r="I599" t="s">
        <v>1179</v>
      </c>
      <c r="J599" t="s">
        <v>4067</v>
      </c>
    </row>
    <row r="600" spans="1:10" x14ac:dyDescent="0.2">
      <c r="A600" t="s">
        <v>4068</v>
      </c>
      <c r="E600" t="str">
        <f>HYPERLINK("http://nlpdeep.cs.uic.edu:8080/proofing/t5/6558-discharge-condition-0-0.pdf","t5/6558-discharge-condition-0-0.pdf")</f>
        <v>t5/6558-discharge-condition-0-0.pdf</v>
      </c>
      <c r="F600">
        <v>108346</v>
      </c>
      <c r="G600">
        <v>6558</v>
      </c>
      <c r="H600" t="s">
        <v>745</v>
      </c>
      <c r="I600" t="s">
        <v>1172</v>
      </c>
      <c r="J600" t="s">
        <v>1173</v>
      </c>
    </row>
    <row r="601" spans="1:10" x14ac:dyDescent="0.2">
      <c r="A601" t="s">
        <v>4068</v>
      </c>
      <c r="E601" t="str">
        <f>HYPERLINK("http://nlpdeep.cs.uic.edu:8080/proofing/gsii/6558-discharge-condition-0-0.pdf","gsii/6558-discharge-condition-0-0.pdf")</f>
        <v>gsii/6558-discharge-condition-0-0.pdf</v>
      </c>
      <c r="F601">
        <v>108346</v>
      </c>
      <c r="G601">
        <v>6558</v>
      </c>
      <c r="H601" t="s">
        <v>745</v>
      </c>
      <c r="I601" t="s">
        <v>1172</v>
      </c>
      <c r="J601" t="s">
        <v>1173</v>
      </c>
    </row>
    <row r="602" spans="1:10" x14ac:dyDescent="0.2">
      <c r="A602" t="s">
        <v>4069</v>
      </c>
      <c r="E602" t="str">
        <f>HYPERLINK("http://nlpdeep.cs.uic.edu:8080/proofing/t5/6558-discharge-condition-0-1.pdf","t5/6558-discharge-condition-0-1.pdf")</f>
        <v>t5/6558-discharge-condition-0-1.pdf</v>
      </c>
      <c r="F602">
        <v>108346</v>
      </c>
      <c r="G602">
        <v>6558</v>
      </c>
      <c r="H602" t="s">
        <v>745</v>
      </c>
      <c r="I602" t="s">
        <v>1172</v>
      </c>
      <c r="J602" t="s">
        <v>1175</v>
      </c>
    </row>
    <row r="603" spans="1:10" x14ac:dyDescent="0.2">
      <c r="A603" t="s">
        <v>4069</v>
      </c>
      <c r="E603" t="str">
        <f>HYPERLINK("http://nlpdeep.cs.uic.edu:8080/proofing/gsii/6558-discharge-condition-0-1.pdf","gsii/6558-discharge-condition-0-1.pdf")</f>
        <v>gsii/6558-discharge-condition-0-1.pdf</v>
      </c>
      <c r="F603">
        <v>108346</v>
      </c>
      <c r="G603">
        <v>6558</v>
      </c>
      <c r="H603" t="s">
        <v>745</v>
      </c>
      <c r="I603" t="s">
        <v>1172</v>
      </c>
      <c r="J603" t="s">
        <v>1175</v>
      </c>
    </row>
    <row r="604" spans="1:10" x14ac:dyDescent="0.2">
      <c r="A604" t="s">
        <v>4070</v>
      </c>
      <c r="E604" t="str">
        <f>HYPERLINK("http://nlpdeep.cs.uic.edu:8080/proofing/t5/6558-discharge-condition-0-2.pdf","t5/6558-discharge-condition-0-2.pdf")</f>
        <v>t5/6558-discharge-condition-0-2.pdf</v>
      </c>
      <c r="F604">
        <v>108346</v>
      </c>
      <c r="G604">
        <v>6558</v>
      </c>
      <c r="H604" t="s">
        <v>745</v>
      </c>
      <c r="I604" t="s">
        <v>1172</v>
      </c>
      <c r="J604" t="s">
        <v>4071</v>
      </c>
    </row>
    <row r="605" spans="1:10" x14ac:dyDescent="0.2">
      <c r="A605" t="s">
        <v>4070</v>
      </c>
      <c r="E605" t="str">
        <f>HYPERLINK("http://nlpdeep.cs.uic.edu:8080/proofing/gsii/6558-discharge-condition-0-2.pdf","gsii/6558-discharge-condition-0-2.pdf")</f>
        <v>gsii/6558-discharge-condition-0-2.pdf</v>
      </c>
      <c r="F605">
        <v>108346</v>
      </c>
      <c r="G605">
        <v>6558</v>
      </c>
      <c r="H605" t="s">
        <v>745</v>
      </c>
      <c r="I605" t="s">
        <v>1172</v>
      </c>
      <c r="J605" t="s">
        <v>4071</v>
      </c>
    </row>
    <row r="606" spans="1:10" x14ac:dyDescent="0.2">
      <c r="A606" t="s">
        <v>4072</v>
      </c>
      <c r="E606" t="str">
        <f>HYPERLINK("http://nlpdeep.cs.uic.edu:8080/proofing/t5/6558-facility-0-0.pdf","t5/6558-facility-0-0.pdf")</f>
        <v>t5/6558-facility-0-0.pdf</v>
      </c>
      <c r="F606">
        <v>108346</v>
      </c>
      <c r="G606">
        <v>6558</v>
      </c>
      <c r="H606" t="s">
        <v>745</v>
      </c>
      <c r="I606" t="s">
        <v>1165</v>
      </c>
      <c r="J606" t="s">
        <v>4073</v>
      </c>
    </row>
    <row r="607" spans="1:10" x14ac:dyDescent="0.2">
      <c r="A607" t="s">
        <v>4072</v>
      </c>
      <c r="E607" t="str">
        <f>HYPERLINK("http://nlpdeep.cs.uic.edu:8080/proofing/gsii/6558-facility-0-0.pdf","gsii/6558-facility-0-0.pdf")</f>
        <v>gsii/6558-facility-0-0.pdf</v>
      </c>
      <c r="F607">
        <v>108346</v>
      </c>
      <c r="G607">
        <v>6558</v>
      </c>
      <c r="H607" t="s">
        <v>745</v>
      </c>
      <c r="I607" t="s">
        <v>1165</v>
      </c>
      <c r="J607" t="s">
        <v>4073</v>
      </c>
    </row>
    <row r="608" spans="1:10" x14ac:dyDescent="0.2">
      <c r="A608" t="s">
        <v>4074</v>
      </c>
      <c r="E608" t="str">
        <f>HYPERLINK("http://nlpdeep.cs.uic.edu:8080/proofing/t5/6558-discharge-diagnosis-0-0.pdf","t5/6558-discharge-diagnosis-0-0.pdf")</f>
        <v>t5/6558-discharge-diagnosis-0-0.pdf</v>
      </c>
      <c r="F608">
        <v>108346</v>
      </c>
      <c r="G608">
        <v>6558</v>
      </c>
      <c r="H608" t="s">
        <v>745</v>
      </c>
      <c r="I608" t="s">
        <v>1168</v>
      </c>
      <c r="J608" t="s">
        <v>4075</v>
      </c>
    </row>
    <row r="609" spans="1:10" x14ac:dyDescent="0.2">
      <c r="A609" t="s">
        <v>4074</v>
      </c>
      <c r="E609" t="str">
        <f>HYPERLINK("http://nlpdeep.cs.uic.edu:8080/proofing/gsii/6558-discharge-diagnosis-0-0.pdf","gsii/6558-discharge-diagnosis-0-0.pdf")</f>
        <v>gsii/6558-discharge-diagnosis-0-0.pdf</v>
      </c>
      <c r="F609">
        <v>108346</v>
      </c>
      <c r="G609">
        <v>6558</v>
      </c>
      <c r="H609" t="s">
        <v>745</v>
      </c>
      <c r="I609" t="s">
        <v>1168</v>
      </c>
      <c r="J609" t="s">
        <v>4075</v>
      </c>
    </row>
    <row r="610" spans="1:10" x14ac:dyDescent="0.2">
      <c r="A610" t="s">
        <v>4076</v>
      </c>
      <c r="E610" t="str">
        <f>HYPERLINK("http://nlpdeep.cs.uic.edu:8080/proofing/t5/4309-allergies-0-0.pdf","t5/4309-allergies-0-0.pdf")</f>
        <v>t5/4309-allergies-0-0.pdf</v>
      </c>
      <c r="F610">
        <v>109181</v>
      </c>
      <c r="G610">
        <v>4309</v>
      </c>
      <c r="H610" t="s">
        <v>745</v>
      </c>
      <c r="I610" t="s">
        <v>64</v>
      </c>
      <c r="J610" t="s">
        <v>4077</v>
      </c>
    </row>
    <row r="611" spans="1:10" x14ac:dyDescent="0.2">
      <c r="A611" t="s">
        <v>4076</v>
      </c>
      <c r="E611" t="str">
        <f>HYPERLINK("http://nlpdeep.cs.uic.edu:8080/proofing/gsii/4309-allergies-0-0.pdf","gsii/4309-allergies-0-0.pdf")</f>
        <v>gsii/4309-allergies-0-0.pdf</v>
      </c>
      <c r="F611">
        <v>109181</v>
      </c>
      <c r="G611">
        <v>4309</v>
      </c>
      <c r="H611" t="s">
        <v>745</v>
      </c>
      <c r="I611" t="s">
        <v>64</v>
      </c>
      <c r="J611" t="s">
        <v>4077</v>
      </c>
    </row>
    <row r="612" spans="1:10" x14ac:dyDescent="0.2">
      <c r="A612" t="s">
        <v>4078</v>
      </c>
      <c r="E612" t="str">
        <f>HYPERLINK("http://nlpdeep.cs.uic.edu:8080/proofing/t5/4309-chief-complaint-0-0.pdf","t5/4309-chief-complaint-0-0.pdf")</f>
        <v>t5/4309-chief-complaint-0-0.pdf</v>
      </c>
      <c r="F612">
        <v>109181</v>
      </c>
      <c r="G612">
        <v>4309</v>
      </c>
      <c r="H612" t="s">
        <v>745</v>
      </c>
      <c r="I612" t="s">
        <v>10</v>
      </c>
      <c r="J612" t="s">
        <v>4079</v>
      </c>
    </row>
    <row r="613" spans="1:10" x14ac:dyDescent="0.2">
      <c r="A613" t="s">
        <v>4078</v>
      </c>
      <c r="E613" t="str">
        <f>HYPERLINK("http://nlpdeep.cs.uic.edu:8080/proofing/gsii/4309-chief-complaint-0-0.pdf","gsii/4309-chief-complaint-0-0.pdf")</f>
        <v>gsii/4309-chief-complaint-0-0.pdf</v>
      </c>
      <c r="F613">
        <v>109181</v>
      </c>
      <c r="G613">
        <v>4309</v>
      </c>
      <c r="H613" t="s">
        <v>745</v>
      </c>
      <c r="I613" t="s">
        <v>10</v>
      </c>
      <c r="J613" t="s">
        <v>4079</v>
      </c>
    </row>
    <row r="614" spans="1:10" x14ac:dyDescent="0.2">
      <c r="A614" t="s">
        <v>4080</v>
      </c>
      <c r="E614" t="str">
        <f>HYPERLINK("http://nlpdeep.cs.uic.edu:8080/proofing/t5/4309-major-surgical-or-invasive-procedure-0-0.pdf","t5/4309-major-surgical-or-invasive-procedure-0-0.pdf")</f>
        <v>t5/4309-major-surgical-or-invasive-procedure-0-0.pdf</v>
      </c>
      <c r="F614">
        <v>109181</v>
      </c>
      <c r="G614">
        <v>4309</v>
      </c>
      <c r="H614" t="s">
        <v>745</v>
      </c>
      <c r="I614" t="s">
        <v>750</v>
      </c>
      <c r="J614" t="s">
        <v>4081</v>
      </c>
    </row>
    <row r="615" spans="1:10" x14ac:dyDescent="0.2">
      <c r="A615" t="s">
        <v>4080</v>
      </c>
      <c r="E615" t="str">
        <f>HYPERLINK("http://nlpdeep.cs.uic.edu:8080/proofing/gsii/4309-major-surgical-or-invasive-procedure-0-0.pdf","gsii/4309-major-surgical-or-invasive-procedure-0-0.pdf")</f>
        <v>gsii/4309-major-surgical-or-invasive-procedure-0-0.pdf</v>
      </c>
      <c r="F615">
        <v>109181</v>
      </c>
      <c r="G615">
        <v>4309</v>
      </c>
      <c r="H615" t="s">
        <v>745</v>
      </c>
      <c r="I615" t="s">
        <v>750</v>
      </c>
      <c r="J615" t="s">
        <v>4081</v>
      </c>
    </row>
    <row r="616" spans="1:10" x14ac:dyDescent="0.2">
      <c r="A616" t="s">
        <v>4082</v>
      </c>
      <c r="E616" t="str">
        <f>HYPERLINK("http://nlpdeep.cs.uic.edu:8080/proofing/t5/4309-history-of-present-illness-0-0.pdf","t5/4309-history-of-present-illness-0-0.pdf")</f>
        <v>t5/4309-history-of-present-illness-0-0.pdf</v>
      </c>
      <c r="F616">
        <v>109181</v>
      </c>
      <c r="G616">
        <v>4309</v>
      </c>
      <c r="H616" t="s">
        <v>745</v>
      </c>
      <c r="I616" t="s">
        <v>13</v>
      </c>
      <c r="J616" t="s">
        <v>4083</v>
      </c>
    </row>
    <row r="617" spans="1:10" x14ac:dyDescent="0.2">
      <c r="A617" t="s">
        <v>4082</v>
      </c>
      <c r="E617" t="str">
        <f>HYPERLINK("http://nlpdeep.cs.uic.edu:8080/proofing/gsii/4309-history-of-present-illness-0-0.pdf","gsii/4309-history-of-present-illness-0-0.pdf")</f>
        <v>gsii/4309-history-of-present-illness-0-0.pdf</v>
      </c>
      <c r="F617">
        <v>109181</v>
      </c>
      <c r="G617">
        <v>4309</v>
      </c>
      <c r="H617" t="s">
        <v>745</v>
      </c>
      <c r="I617" t="s">
        <v>13</v>
      </c>
      <c r="J617" t="s">
        <v>4083</v>
      </c>
    </row>
    <row r="618" spans="1:10" x14ac:dyDescent="0.2">
      <c r="A618" t="s">
        <v>4084</v>
      </c>
      <c r="E618" t="str">
        <f>HYPERLINK("http://nlpdeep.cs.uic.edu:8080/proofing/t5/4309-history-of-present-illness-0-1.pdf","t5/4309-history-of-present-illness-0-1.pdf")</f>
        <v>t5/4309-history-of-present-illness-0-1.pdf</v>
      </c>
      <c r="F618">
        <v>109181</v>
      </c>
      <c r="G618">
        <v>4309</v>
      </c>
      <c r="H618" t="s">
        <v>745</v>
      </c>
      <c r="I618" t="s">
        <v>13</v>
      </c>
      <c r="J618" t="s">
        <v>4085</v>
      </c>
    </row>
    <row r="619" spans="1:10" x14ac:dyDescent="0.2">
      <c r="A619" t="s">
        <v>4084</v>
      </c>
      <c r="E619" t="str">
        <f>HYPERLINK("http://nlpdeep.cs.uic.edu:8080/proofing/gsii/4309-history-of-present-illness-0-1.pdf","gsii/4309-history-of-present-illness-0-1.pdf")</f>
        <v>gsii/4309-history-of-present-illness-0-1.pdf</v>
      </c>
      <c r="F619">
        <v>109181</v>
      </c>
      <c r="G619">
        <v>4309</v>
      </c>
      <c r="H619" t="s">
        <v>745</v>
      </c>
      <c r="I619" t="s">
        <v>13</v>
      </c>
      <c r="J619" t="s">
        <v>4085</v>
      </c>
    </row>
    <row r="620" spans="1:10" x14ac:dyDescent="0.2">
      <c r="A620" t="s">
        <v>4086</v>
      </c>
      <c r="E620" t="str">
        <f>HYPERLINK("http://nlpdeep.cs.uic.edu:8080/proofing/t5/4309-history-of-present-illness-0-2.pdf","t5/4309-history-of-present-illness-0-2.pdf")</f>
        <v>t5/4309-history-of-present-illness-0-2.pdf</v>
      </c>
      <c r="F620">
        <v>109181</v>
      </c>
      <c r="G620">
        <v>4309</v>
      </c>
      <c r="H620" t="s">
        <v>745</v>
      </c>
      <c r="I620" t="s">
        <v>13</v>
      </c>
      <c r="J620" t="s">
        <v>4087</v>
      </c>
    </row>
    <row r="621" spans="1:10" x14ac:dyDescent="0.2">
      <c r="A621" t="s">
        <v>4086</v>
      </c>
      <c r="E621" t="str">
        <f>HYPERLINK("http://nlpdeep.cs.uic.edu:8080/proofing/gsii/4309-history-of-present-illness-0-2.pdf","gsii/4309-history-of-present-illness-0-2.pdf")</f>
        <v>gsii/4309-history-of-present-illness-0-2.pdf</v>
      </c>
      <c r="F621">
        <v>109181</v>
      </c>
      <c r="G621">
        <v>4309</v>
      </c>
      <c r="H621" t="s">
        <v>745</v>
      </c>
      <c r="I621" t="s">
        <v>13</v>
      </c>
      <c r="J621" t="s">
        <v>4087</v>
      </c>
    </row>
    <row r="622" spans="1:10" x14ac:dyDescent="0.2">
      <c r="A622" t="s">
        <v>4088</v>
      </c>
      <c r="E622" t="str">
        <f>HYPERLINK("http://nlpdeep.cs.uic.edu:8080/proofing/t5/4309-history-of-present-illness-0-3.pdf","t5/4309-history-of-present-illness-0-3.pdf")</f>
        <v>t5/4309-history-of-present-illness-0-3.pdf</v>
      </c>
      <c r="F622">
        <v>109181</v>
      </c>
      <c r="G622">
        <v>4309</v>
      </c>
      <c r="H622" t="s">
        <v>745</v>
      </c>
      <c r="I622" t="s">
        <v>13</v>
      </c>
      <c r="J622" t="s">
        <v>4089</v>
      </c>
    </row>
    <row r="623" spans="1:10" x14ac:dyDescent="0.2">
      <c r="A623" t="s">
        <v>4088</v>
      </c>
      <c r="E623" t="str">
        <f>HYPERLINK("http://nlpdeep.cs.uic.edu:8080/proofing/gsii/4309-history-of-present-illness-0-3.pdf","gsii/4309-history-of-present-illness-0-3.pdf")</f>
        <v>gsii/4309-history-of-present-illness-0-3.pdf</v>
      </c>
      <c r="F623">
        <v>109181</v>
      </c>
      <c r="G623">
        <v>4309</v>
      </c>
      <c r="H623" t="s">
        <v>745</v>
      </c>
      <c r="I623" t="s">
        <v>13</v>
      </c>
      <c r="J623" t="s">
        <v>4089</v>
      </c>
    </row>
    <row r="624" spans="1:10" x14ac:dyDescent="0.2">
      <c r="A624" t="s">
        <v>4090</v>
      </c>
      <c r="E624" t="str">
        <f>HYPERLINK("http://nlpdeep.cs.uic.edu:8080/proofing/t5/4309-history-of-present-illness-0-4.pdf","t5/4309-history-of-present-illness-0-4.pdf")</f>
        <v>t5/4309-history-of-present-illness-0-4.pdf</v>
      </c>
      <c r="F624">
        <v>109181</v>
      </c>
      <c r="G624">
        <v>4309</v>
      </c>
      <c r="H624" t="s">
        <v>745</v>
      </c>
      <c r="I624" t="s">
        <v>13</v>
      </c>
      <c r="J624" t="s">
        <v>4091</v>
      </c>
    </row>
    <row r="625" spans="1:10" x14ac:dyDescent="0.2">
      <c r="A625" t="s">
        <v>4090</v>
      </c>
      <c r="E625" t="str">
        <f>HYPERLINK("http://nlpdeep.cs.uic.edu:8080/proofing/gsii/4309-history-of-present-illness-0-4.pdf","gsii/4309-history-of-present-illness-0-4.pdf")</f>
        <v>gsii/4309-history-of-present-illness-0-4.pdf</v>
      </c>
      <c r="F625">
        <v>109181</v>
      </c>
      <c r="G625">
        <v>4309</v>
      </c>
      <c r="H625" t="s">
        <v>745</v>
      </c>
      <c r="I625" t="s">
        <v>13</v>
      </c>
      <c r="J625" t="s">
        <v>4091</v>
      </c>
    </row>
    <row r="626" spans="1:10" x14ac:dyDescent="0.2">
      <c r="A626" t="s">
        <v>4092</v>
      </c>
      <c r="E626" t="str">
        <f>HYPERLINK("http://nlpdeep.cs.uic.edu:8080/proofing/t5/4309-history-of-present-illness-0-5.pdf","t5/4309-history-of-present-illness-0-5.pdf")</f>
        <v>t5/4309-history-of-present-illness-0-5.pdf</v>
      </c>
      <c r="F626">
        <v>109181</v>
      </c>
      <c r="G626">
        <v>4309</v>
      </c>
      <c r="H626" t="s">
        <v>745</v>
      </c>
      <c r="I626" t="s">
        <v>13</v>
      </c>
      <c r="J626" t="s">
        <v>4093</v>
      </c>
    </row>
    <row r="627" spans="1:10" x14ac:dyDescent="0.2">
      <c r="A627" t="s">
        <v>4092</v>
      </c>
      <c r="E627" t="str">
        <f>HYPERLINK("http://nlpdeep.cs.uic.edu:8080/proofing/gsii/4309-history-of-present-illness-0-5.pdf","gsii/4309-history-of-present-illness-0-5.pdf")</f>
        <v>gsii/4309-history-of-present-illness-0-5.pdf</v>
      </c>
      <c r="F627">
        <v>109181</v>
      </c>
      <c r="G627">
        <v>4309</v>
      </c>
      <c r="H627" t="s">
        <v>745</v>
      </c>
      <c r="I627" t="s">
        <v>13</v>
      </c>
      <c r="J627" t="s">
        <v>4093</v>
      </c>
    </row>
    <row r="628" spans="1:10" x14ac:dyDescent="0.2">
      <c r="A628" t="s">
        <v>4094</v>
      </c>
      <c r="E628" t="str">
        <f>HYPERLINK("http://nlpdeep.cs.uic.edu:8080/proofing/t5/4309-history-of-present-illness-0-6.pdf","t5/4309-history-of-present-illness-0-6.pdf")</f>
        <v>t5/4309-history-of-present-illness-0-6.pdf</v>
      </c>
      <c r="F628">
        <v>109181</v>
      </c>
      <c r="G628">
        <v>4309</v>
      </c>
      <c r="H628" t="s">
        <v>745</v>
      </c>
      <c r="I628" t="s">
        <v>13</v>
      </c>
      <c r="J628" t="s">
        <v>4095</v>
      </c>
    </row>
    <row r="629" spans="1:10" x14ac:dyDescent="0.2">
      <c r="A629" t="s">
        <v>4094</v>
      </c>
      <c r="E629" t="str">
        <f>HYPERLINK("http://nlpdeep.cs.uic.edu:8080/proofing/gsii/4309-history-of-present-illness-0-6.pdf","gsii/4309-history-of-present-illness-0-6.pdf")</f>
        <v>gsii/4309-history-of-present-illness-0-6.pdf</v>
      </c>
      <c r="F629">
        <v>109181</v>
      </c>
      <c r="G629">
        <v>4309</v>
      </c>
      <c r="H629" t="s">
        <v>745</v>
      </c>
      <c r="I629" t="s">
        <v>13</v>
      </c>
      <c r="J629" t="s">
        <v>4095</v>
      </c>
    </row>
    <row r="630" spans="1:10" x14ac:dyDescent="0.2">
      <c r="A630" t="s">
        <v>4096</v>
      </c>
      <c r="E630" t="str">
        <f>HYPERLINK("http://nlpdeep.cs.uic.edu:8080/proofing/t5/4309-history-of-present-illness-0-7.pdf","t5/4309-history-of-present-illness-0-7.pdf")</f>
        <v>t5/4309-history-of-present-illness-0-7.pdf</v>
      </c>
      <c r="F630">
        <v>109181</v>
      </c>
      <c r="G630">
        <v>4309</v>
      </c>
      <c r="H630" t="s">
        <v>745</v>
      </c>
      <c r="I630" t="s">
        <v>13</v>
      </c>
      <c r="J630" t="s">
        <v>4097</v>
      </c>
    </row>
    <row r="631" spans="1:10" x14ac:dyDescent="0.2">
      <c r="A631" t="s">
        <v>4096</v>
      </c>
      <c r="E631" t="str">
        <f>HYPERLINK("http://nlpdeep.cs.uic.edu:8080/proofing/gsii/4309-history-of-present-illness-0-7.pdf","gsii/4309-history-of-present-illness-0-7.pdf")</f>
        <v>gsii/4309-history-of-present-illness-0-7.pdf</v>
      </c>
      <c r="F631">
        <v>109181</v>
      </c>
      <c r="G631">
        <v>4309</v>
      </c>
      <c r="H631" t="s">
        <v>745</v>
      </c>
      <c r="I631" t="s">
        <v>13</v>
      </c>
      <c r="J631" t="s">
        <v>4097</v>
      </c>
    </row>
    <row r="632" spans="1:10" x14ac:dyDescent="0.2">
      <c r="A632" t="s">
        <v>4098</v>
      </c>
      <c r="E632" t="str">
        <f>HYPERLINK("http://nlpdeep.cs.uic.edu:8080/proofing/t5/4309-history-of-present-illness-0-8.pdf","t5/4309-history-of-present-illness-0-8.pdf")</f>
        <v>t5/4309-history-of-present-illness-0-8.pdf</v>
      </c>
      <c r="F632">
        <v>109181</v>
      </c>
      <c r="G632">
        <v>4309</v>
      </c>
      <c r="H632" t="s">
        <v>745</v>
      </c>
      <c r="I632" t="s">
        <v>13</v>
      </c>
      <c r="J632" t="s">
        <v>4099</v>
      </c>
    </row>
    <row r="633" spans="1:10" x14ac:dyDescent="0.2">
      <c r="A633" t="s">
        <v>4098</v>
      </c>
      <c r="E633" t="str">
        <f>HYPERLINK("http://nlpdeep.cs.uic.edu:8080/proofing/gsii/4309-history-of-present-illness-0-8.pdf","gsii/4309-history-of-present-illness-0-8.pdf")</f>
        <v>gsii/4309-history-of-present-illness-0-8.pdf</v>
      </c>
      <c r="F633">
        <v>109181</v>
      </c>
      <c r="G633">
        <v>4309</v>
      </c>
      <c r="H633" t="s">
        <v>745</v>
      </c>
      <c r="I633" t="s">
        <v>13</v>
      </c>
      <c r="J633" t="s">
        <v>4099</v>
      </c>
    </row>
    <row r="634" spans="1:10" x14ac:dyDescent="0.2">
      <c r="A634" t="s">
        <v>4100</v>
      </c>
      <c r="E634" t="str">
        <f>HYPERLINK("http://nlpdeep.cs.uic.edu:8080/proofing/t5/4309-history-of-present-illness-0-9.pdf","t5/4309-history-of-present-illness-0-9.pdf")</f>
        <v>t5/4309-history-of-present-illness-0-9.pdf</v>
      </c>
      <c r="F634">
        <v>109181</v>
      </c>
      <c r="G634">
        <v>4309</v>
      </c>
      <c r="H634" t="s">
        <v>745</v>
      </c>
      <c r="I634" t="s">
        <v>13</v>
      </c>
      <c r="J634" t="s">
        <v>4101</v>
      </c>
    </row>
    <row r="635" spans="1:10" x14ac:dyDescent="0.2">
      <c r="A635" t="s">
        <v>4100</v>
      </c>
      <c r="E635" t="str">
        <f>HYPERLINK("http://nlpdeep.cs.uic.edu:8080/proofing/gsii/4309-history-of-present-illness-0-9.pdf","gsii/4309-history-of-present-illness-0-9.pdf")</f>
        <v>gsii/4309-history-of-present-illness-0-9.pdf</v>
      </c>
      <c r="F635">
        <v>109181</v>
      </c>
      <c r="G635">
        <v>4309</v>
      </c>
      <c r="H635" t="s">
        <v>745</v>
      </c>
      <c r="I635" t="s">
        <v>13</v>
      </c>
      <c r="J635" t="s">
        <v>4101</v>
      </c>
    </row>
    <row r="636" spans="1:10" x14ac:dyDescent="0.2">
      <c r="A636" t="s">
        <v>4102</v>
      </c>
      <c r="E636" t="str">
        <f>HYPERLINK("http://nlpdeep.cs.uic.edu:8080/proofing/t5/4309-history-of-present-illness-0-10.pdf","t5/4309-history-of-present-illness-0-10.pdf")</f>
        <v>t5/4309-history-of-present-illness-0-10.pdf</v>
      </c>
      <c r="F636">
        <v>109181</v>
      </c>
      <c r="G636">
        <v>4309</v>
      </c>
      <c r="H636" t="s">
        <v>745</v>
      </c>
      <c r="I636" t="s">
        <v>13</v>
      </c>
      <c r="J636" t="s">
        <v>4103</v>
      </c>
    </row>
    <row r="637" spans="1:10" x14ac:dyDescent="0.2">
      <c r="A637" t="s">
        <v>4102</v>
      </c>
      <c r="E637" t="str">
        <f>HYPERLINK("http://nlpdeep.cs.uic.edu:8080/proofing/gsii/4309-history-of-present-illness-0-10.pdf","gsii/4309-history-of-present-illness-0-10.pdf")</f>
        <v>gsii/4309-history-of-present-illness-0-10.pdf</v>
      </c>
      <c r="F637">
        <v>109181</v>
      </c>
      <c r="G637">
        <v>4309</v>
      </c>
      <c r="H637" t="s">
        <v>745</v>
      </c>
      <c r="I637" t="s">
        <v>13</v>
      </c>
      <c r="J637" t="s">
        <v>4103</v>
      </c>
    </row>
    <row r="638" spans="1:10" x14ac:dyDescent="0.2">
      <c r="A638" t="s">
        <v>4104</v>
      </c>
      <c r="E638" t="str">
        <f>HYPERLINK("http://nlpdeep.cs.uic.edu:8080/proofing/t5/4309-history-of-present-illness-0-11.pdf","t5/4309-history-of-present-illness-0-11.pdf")</f>
        <v>t5/4309-history-of-present-illness-0-11.pdf</v>
      </c>
      <c r="F638">
        <v>109181</v>
      </c>
      <c r="G638">
        <v>4309</v>
      </c>
      <c r="H638" t="s">
        <v>745</v>
      </c>
      <c r="I638" t="s">
        <v>13</v>
      </c>
      <c r="J638" t="s">
        <v>4105</v>
      </c>
    </row>
    <row r="639" spans="1:10" x14ac:dyDescent="0.2">
      <c r="A639" t="s">
        <v>4104</v>
      </c>
      <c r="E639" t="str">
        <f>HYPERLINK("http://nlpdeep.cs.uic.edu:8080/proofing/gsii/4309-history-of-present-illness-0-11.pdf","gsii/4309-history-of-present-illness-0-11.pdf")</f>
        <v>gsii/4309-history-of-present-illness-0-11.pdf</v>
      </c>
      <c r="F639">
        <v>109181</v>
      </c>
      <c r="G639">
        <v>4309</v>
      </c>
      <c r="H639" t="s">
        <v>745</v>
      </c>
      <c r="I639" t="s">
        <v>13</v>
      </c>
      <c r="J639" t="s">
        <v>4105</v>
      </c>
    </row>
    <row r="640" spans="1:10" x14ac:dyDescent="0.2">
      <c r="A640" t="s">
        <v>4106</v>
      </c>
      <c r="E640" t="str">
        <f>HYPERLINK("http://nlpdeep.cs.uic.edu:8080/proofing/t5/4309-history-of-present-illness-0-12.pdf","t5/4309-history-of-present-illness-0-12.pdf")</f>
        <v>t5/4309-history-of-present-illness-0-12.pdf</v>
      </c>
      <c r="F640">
        <v>109181</v>
      </c>
      <c r="G640">
        <v>4309</v>
      </c>
      <c r="H640" t="s">
        <v>745</v>
      </c>
      <c r="I640" t="s">
        <v>13</v>
      </c>
      <c r="J640" t="s">
        <v>4107</v>
      </c>
    </row>
    <row r="641" spans="1:10" x14ac:dyDescent="0.2">
      <c r="A641" t="s">
        <v>4106</v>
      </c>
      <c r="E641" t="str">
        <f>HYPERLINK("http://nlpdeep.cs.uic.edu:8080/proofing/gsii/4309-history-of-present-illness-0-12.pdf","gsii/4309-history-of-present-illness-0-12.pdf")</f>
        <v>gsii/4309-history-of-present-illness-0-12.pdf</v>
      </c>
      <c r="F641">
        <v>109181</v>
      </c>
      <c r="G641">
        <v>4309</v>
      </c>
      <c r="H641" t="s">
        <v>745</v>
      </c>
      <c r="I641" t="s">
        <v>13</v>
      </c>
      <c r="J641" t="s">
        <v>4107</v>
      </c>
    </row>
    <row r="642" spans="1:10" x14ac:dyDescent="0.2">
      <c r="A642" t="s">
        <v>4108</v>
      </c>
      <c r="E642" t="str">
        <f>HYPERLINK("http://nlpdeep.cs.uic.edu:8080/proofing/t5/4309-history-of-present-illness-1-0.pdf","t5/4309-history-of-present-illness-1-0.pdf")</f>
        <v>t5/4309-history-of-present-illness-1-0.pdf</v>
      </c>
      <c r="F642">
        <v>109181</v>
      </c>
      <c r="G642">
        <v>4309</v>
      </c>
      <c r="H642" t="s">
        <v>745</v>
      </c>
      <c r="I642" t="s">
        <v>13</v>
      </c>
      <c r="J642" t="s">
        <v>4109</v>
      </c>
    </row>
    <row r="643" spans="1:10" x14ac:dyDescent="0.2">
      <c r="A643" t="s">
        <v>4108</v>
      </c>
      <c r="E643" t="str">
        <f>HYPERLINK("http://nlpdeep.cs.uic.edu:8080/proofing/gsii/4309-history-of-present-illness-1-0.pdf","gsii/4309-history-of-present-illness-1-0.pdf")</f>
        <v>gsii/4309-history-of-present-illness-1-0.pdf</v>
      </c>
      <c r="F643">
        <v>109181</v>
      </c>
      <c r="G643">
        <v>4309</v>
      </c>
      <c r="H643" t="s">
        <v>745</v>
      </c>
      <c r="I643" t="s">
        <v>13</v>
      </c>
      <c r="J643" t="s">
        <v>4109</v>
      </c>
    </row>
    <row r="644" spans="1:10" x14ac:dyDescent="0.2">
      <c r="A644" t="s">
        <v>4110</v>
      </c>
      <c r="E644" t="str">
        <f>HYPERLINK("http://nlpdeep.cs.uic.edu:8080/proofing/t5/4309-history-of-present-illness-1-1.pdf","t5/4309-history-of-present-illness-1-1.pdf")</f>
        <v>t5/4309-history-of-present-illness-1-1.pdf</v>
      </c>
      <c r="F644">
        <v>109181</v>
      </c>
      <c r="G644">
        <v>4309</v>
      </c>
      <c r="H644" t="s">
        <v>745</v>
      </c>
      <c r="I644" t="s">
        <v>13</v>
      </c>
      <c r="J644" t="s">
        <v>4111</v>
      </c>
    </row>
    <row r="645" spans="1:10" x14ac:dyDescent="0.2">
      <c r="A645" t="s">
        <v>4110</v>
      </c>
      <c r="E645" t="str">
        <f>HYPERLINK("http://nlpdeep.cs.uic.edu:8080/proofing/gsii/4309-history-of-present-illness-1-1.pdf","gsii/4309-history-of-present-illness-1-1.pdf")</f>
        <v>gsii/4309-history-of-present-illness-1-1.pdf</v>
      </c>
      <c r="F645">
        <v>109181</v>
      </c>
      <c r="G645">
        <v>4309</v>
      </c>
      <c r="H645" t="s">
        <v>745</v>
      </c>
      <c r="I645" t="s">
        <v>13</v>
      </c>
      <c r="J645" t="s">
        <v>4111</v>
      </c>
    </row>
    <row r="646" spans="1:10" x14ac:dyDescent="0.2">
      <c r="A646" t="s">
        <v>4112</v>
      </c>
      <c r="E646" t="str">
        <f>HYPERLINK("http://nlpdeep.cs.uic.edu:8080/proofing/t5/4309-history-of-present-illness-1-2.pdf","t5/4309-history-of-present-illness-1-2.pdf")</f>
        <v>t5/4309-history-of-present-illness-1-2.pdf</v>
      </c>
      <c r="F646">
        <v>109181</v>
      </c>
      <c r="G646">
        <v>4309</v>
      </c>
      <c r="H646" t="s">
        <v>745</v>
      </c>
      <c r="I646" t="s">
        <v>13</v>
      </c>
      <c r="J646" t="s">
        <v>4113</v>
      </c>
    </row>
    <row r="647" spans="1:10" x14ac:dyDescent="0.2">
      <c r="A647" t="s">
        <v>4112</v>
      </c>
      <c r="E647" t="str">
        <f>HYPERLINK("http://nlpdeep.cs.uic.edu:8080/proofing/gsii/4309-history-of-present-illness-1-2.pdf","gsii/4309-history-of-present-illness-1-2.pdf")</f>
        <v>gsii/4309-history-of-present-illness-1-2.pdf</v>
      </c>
      <c r="F647">
        <v>109181</v>
      </c>
      <c r="G647">
        <v>4309</v>
      </c>
      <c r="H647" t="s">
        <v>745</v>
      </c>
      <c r="I647" t="s">
        <v>13</v>
      </c>
      <c r="J647" t="s">
        <v>4113</v>
      </c>
    </row>
    <row r="648" spans="1:10" x14ac:dyDescent="0.2">
      <c r="A648" t="s">
        <v>4114</v>
      </c>
      <c r="E648" t="str">
        <f>HYPERLINK("http://nlpdeep.cs.uic.edu:8080/proofing/t5/4309-history-of-present-illness-1-3.pdf","t5/4309-history-of-present-illness-1-3.pdf")</f>
        <v>t5/4309-history-of-present-illness-1-3.pdf</v>
      </c>
      <c r="F648">
        <v>109181</v>
      </c>
      <c r="G648">
        <v>4309</v>
      </c>
      <c r="H648" t="s">
        <v>745</v>
      </c>
      <c r="I648" t="s">
        <v>13</v>
      </c>
      <c r="J648" t="s">
        <v>4115</v>
      </c>
    </row>
    <row r="649" spans="1:10" x14ac:dyDescent="0.2">
      <c r="A649" t="s">
        <v>4114</v>
      </c>
      <c r="E649" t="str">
        <f>HYPERLINK("http://nlpdeep.cs.uic.edu:8080/proofing/gsii/4309-history-of-present-illness-1-3.pdf","gsii/4309-history-of-present-illness-1-3.pdf")</f>
        <v>gsii/4309-history-of-present-illness-1-3.pdf</v>
      </c>
      <c r="F649">
        <v>109181</v>
      </c>
      <c r="G649">
        <v>4309</v>
      </c>
      <c r="H649" t="s">
        <v>745</v>
      </c>
      <c r="I649" t="s">
        <v>13</v>
      </c>
      <c r="J649" t="s">
        <v>4115</v>
      </c>
    </row>
    <row r="650" spans="1:10" x14ac:dyDescent="0.2">
      <c r="A650" t="s">
        <v>4116</v>
      </c>
      <c r="E650" t="str">
        <f>HYPERLINK("http://nlpdeep.cs.uic.edu:8080/proofing/t5/4309-history-of-present-illness-1-4.pdf","t5/4309-history-of-present-illness-1-4.pdf")</f>
        <v>t5/4309-history-of-present-illness-1-4.pdf</v>
      </c>
      <c r="F650">
        <v>109181</v>
      </c>
      <c r="G650">
        <v>4309</v>
      </c>
      <c r="H650" t="s">
        <v>745</v>
      </c>
      <c r="I650" t="s">
        <v>13</v>
      </c>
      <c r="J650" t="s">
        <v>4117</v>
      </c>
    </row>
    <row r="651" spans="1:10" x14ac:dyDescent="0.2">
      <c r="A651" t="s">
        <v>4116</v>
      </c>
      <c r="E651" t="str">
        <f>HYPERLINK("http://nlpdeep.cs.uic.edu:8080/proofing/gsii/4309-history-of-present-illness-1-4.pdf","gsii/4309-history-of-present-illness-1-4.pdf")</f>
        <v>gsii/4309-history-of-present-illness-1-4.pdf</v>
      </c>
      <c r="F651">
        <v>109181</v>
      </c>
      <c r="G651">
        <v>4309</v>
      </c>
      <c r="H651" t="s">
        <v>745</v>
      </c>
      <c r="I651" t="s">
        <v>13</v>
      </c>
      <c r="J651" t="s">
        <v>4117</v>
      </c>
    </row>
    <row r="652" spans="1:10" x14ac:dyDescent="0.2">
      <c r="A652" t="s">
        <v>4118</v>
      </c>
      <c r="E652" t="str">
        <f>HYPERLINK("http://nlpdeep.cs.uic.edu:8080/proofing/t5/4309-history-of-present-illness-1-5.pdf","t5/4309-history-of-present-illness-1-5.pdf")</f>
        <v>t5/4309-history-of-present-illness-1-5.pdf</v>
      </c>
      <c r="F652">
        <v>109181</v>
      </c>
      <c r="G652">
        <v>4309</v>
      </c>
      <c r="H652" t="s">
        <v>745</v>
      </c>
      <c r="I652" t="s">
        <v>13</v>
      </c>
      <c r="J652" t="s">
        <v>4119</v>
      </c>
    </row>
    <row r="653" spans="1:10" x14ac:dyDescent="0.2">
      <c r="A653" t="s">
        <v>4118</v>
      </c>
      <c r="E653" t="str">
        <f>HYPERLINK("http://nlpdeep.cs.uic.edu:8080/proofing/gsii/4309-history-of-present-illness-1-5.pdf","gsii/4309-history-of-present-illness-1-5.pdf")</f>
        <v>gsii/4309-history-of-present-illness-1-5.pdf</v>
      </c>
      <c r="F653">
        <v>109181</v>
      </c>
      <c r="G653">
        <v>4309</v>
      </c>
      <c r="H653" t="s">
        <v>745</v>
      </c>
      <c r="I653" t="s">
        <v>13</v>
      </c>
      <c r="J653" t="s">
        <v>4119</v>
      </c>
    </row>
    <row r="654" spans="1:10" x14ac:dyDescent="0.2">
      <c r="A654" t="s">
        <v>4120</v>
      </c>
      <c r="E654" t="str">
        <f>HYPERLINK("http://nlpdeep.cs.uic.edu:8080/proofing/t5/4309-history-of-present-illness-1-6.pdf","t5/4309-history-of-present-illness-1-6.pdf")</f>
        <v>t5/4309-history-of-present-illness-1-6.pdf</v>
      </c>
      <c r="F654">
        <v>109181</v>
      </c>
      <c r="G654">
        <v>4309</v>
      </c>
      <c r="H654" t="s">
        <v>745</v>
      </c>
      <c r="I654" t="s">
        <v>13</v>
      </c>
      <c r="J654" t="s">
        <v>4121</v>
      </c>
    </row>
    <row r="655" spans="1:10" x14ac:dyDescent="0.2">
      <c r="A655" t="s">
        <v>4120</v>
      </c>
      <c r="E655" t="str">
        <f>HYPERLINK("http://nlpdeep.cs.uic.edu:8080/proofing/gsii/4309-history-of-present-illness-1-6.pdf","gsii/4309-history-of-present-illness-1-6.pdf")</f>
        <v>gsii/4309-history-of-present-illness-1-6.pdf</v>
      </c>
      <c r="F655">
        <v>109181</v>
      </c>
      <c r="G655">
        <v>4309</v>
      </c>
      <c r="H655" t="s">
        <v>745</v>
      </c>
      <c r="I655" t="s">
        <v>13</v>
      </c>
      <c r="J655" t="s">
        <v>4121</v>
      </c>
    </row>
    <row r="656" spans="1:10" x14ac:dyDescent="0.2">
      <c r="A656" t="s">
        <v>4122</v>
      </c>
      <c r="E656" t="str">
        <f>HYPERLINK("http://nlpdeep.cs.uic.edu:8080/proofing/t5/4309-history-of-present-illness-1-7.pdf","t5/4309-history-of-present-illness-1-7.pdf")</f>
        <v>t5/4309-history-of-present-illness-1-7.pdf</v>
      </c>
      <c r="F656">
        <v>109181</v>
      </c>
      <c r="G656">
        <v>4309</v>
      </c>
      <c r="H656" t="s">
        <v>745</v>
      </c>
      <c r="I656" t="s">
        <v>13</v>
      </c>
      <c r="J656" t="s">
        <v>4123</v>
      </c>
    </row>
    <row r="657" spans="1:10" x14ac:dyDescent="0.2">
      <c r="A657" t="s">
        <v>4122</v>
      </c>
      <c r="E657" t="str">
        <f>HYPERLINK("http://nlpdeep.cs.uic.edu:8080/proofing/gsii/4309-history-of-present-illness-1-7.pdf","gsii/4309-history-of-present-illness-1-7.pdf")</f>
        <v>gsii/4309-history-of-present-illness-1-7.pdf</v>
      </c>
      <c r="F657">
        <v>109181</v>
      </c>
      <c r="G657">
        <v>4309</v>
      </c>
      <c r="H657" t="s">
        <v>745</v>
      </c>
      <c r="I657" t="s">
        <v>13</v>
      </c>
      <c r="J657" t="s">
        <v>4123</v>
      </c>
    </row>
    <row r="658" spans="1:10" x14ac:dyDescent="0.2">
      <c r="A658" t="s">
        <v>4124</v>
      </c>
      <c r="E658" t="str">
        <f>HYPERLINK("http://nlpdeep.cs.uic.edu:8080/proofing/t5/4309-history-of-present-illness-1-8.pdf","t5/4309-history-of-present-illness-1-8.pdf")</f>
        <v>t5/4309-history-of-present-illness-1-8.pdf</v>
      </c>
      <c r="F658">
        <v>109181</v>
      </c>
      <c r="G658">
        <v>4309</v>
      </c>
      <c r="H658" t="s">
        <v>745</v>
      </c>
      <c r="I658" t="s">
        <v>13</v>
      </c>
      <c r="J658" t="s">
        <v>4125</v>
      </c>
    </row>
    <row r="659" spans="1:10" x14ac:dyDescent="0.2">
      <c r="A659" t="s">
        <v>4124</v>
      </c>
      <c r="E659" t="str">
        <f>HYPERLINK("http://nlpdeep.cs.uic.edu:8080/proofing/gsii/4309-history-of-present-illness-1-8.pdf","gsii/4309-history-of-present-illness-1-8.pdf")</f>
        <v>gsii/4309-history-of-present-illness-1-8.pdf</v>
      </c>
      <c r="F659">
        <v>109181</v>
      </c>
      <c r="G659">
        <v>4309</v>
      </c>
      <c r="H659" t="s">
        <v>745</v>
      </c>
      <c r="I659" t="s">
        <v>13</v>
      </c>
      <c r="J659" t="s">
        <v>4125</v>
      </c>
    </row>
    <row r="660" spans="1:10" x14ac:dyDescent="0.2">
      <c r="A660" t="s">
        <v>4126</v>
      </c>
      <c r="E660" t="str">
        <f>HYPERLINK("http://nlpdeep.cs.uic.edu:8080/proofing/t5/4309-history-of-present-illness-1-9.pdf","t5/4309-history-of-present-illness-1-9.pdf")</f>
        <v>t5/4309-history-of-present-illness-1-9.pdf</v>
      </c>
      <c r="F660">
        <v>109181</v>
      </c>
      <c r="G660">
        <v>4309</v>
      </c>
      <c r="H660" t="s">
        <v>745</v>
      </c>
      <c r="I660" t="s">
        <v>13</v>
      </c>
      <c r="J660" t="s">
        <v>4127</v>
      </c>
    </row>
    <row r="661" spans="1:10" x14ac:dyDescent="0.2">
      <c r="A661" t="s">
        <v>4126</v>
      </c>
      <c r="E661" t="str">
        <f>HYPERLINK("http://nlpdeep.cs.uic.edu:8080/proofing/gsii/4309-history-of-present-illness-1-9.pdf","gsii/4309-history-of-present-illness-1-9.pdf")</f>
        <v>gsii/4309-history-of-present-illness-1-9.pdf</v>
      </c>
      <c r="F661">
        <v>109181</v>
      </c>
      <c r="G661">
        <v>4309</v>
      </c>
      <c r="H661" t="s">
        <v>745</v>
      </c>
      <c r="I661" t="s">
        <v>13</v>
      </c>
      <c r="J661" t="s">
        <v>4127</v>
      </c>
    </row>
    <row r="662" spans="1:10" x14ac:dyDescent="0.2">
      <c r="A662" t="s">
        <v>4128</v>
      </c>
      <c r="E662" t="str">
        <f>HYPERLINK("http://nlpdeep.cs.uic.edu:8080/proofing/t5/4309-history-of-present-illness-1-10.pdf","t5/4309-history-of-present-illness-1-10.pdf")</f>
        <v>t5/4309-history-of-present-illness-1-10.pdf</v>
      </c>
      <c r="F662">
        <v>109181</v>
      </c>
      <c r="G662">
        <v>4309</v>
      </c>
      <c r="H662" t="s">
        <v>745</v>
      </c>
      <c r="I662" t="s">
        <v>13</v>
      </c>
      <c r="J662" t="s">
        <v>4129</v>
      </c>
    </row>
    <row r="663" spans="1:10" x14ac:dyDescent="0.2">
      <c r="A663" t="s">
        <v>4128</v>
      </c>
      <c r="E663" t="str">
        <f>HYPERLINK("http://nlpdeep.cs.uic.edu:8080/proofing/gsii/4309-history-of-present-illness-1-10.pdf","gsii/4309-history-of-present-illness-1-10.pdf")</f>
        <v>gsii/4309-history-of-present-illness-1-10.pdf</v>
      </c>
      <c r="F663">
        <v>109181</v>
      </c>
      <c r="G663">
        <v>4309</v>
      </c>
      <c r="H663" t="s">
        <v>745</v>
      </c>
      <c r="I663" t="s">
        <v>13</v>
      </c>
      <c r="J663" t="s">
        <v>4129</v>
      </c>
    </row>
    <row r="664" spans="1:10" x14ac:dyDescent="0.2">
      <c r="A664" t="s">
        <v>4130</v>
      </c>
      <c r="E664" t="str">
        <f>HYPERLINK("http://nlpdeep.cs.uic.edu:8080/proofing/t5/4309-history-of-present-illness-1-11.pdf","t5/4309-history-of-present-illness-1-11.pdf")</f>
        <v>t5/4309-history-of-present-illness-1-11.pdf</v>
      </c>
      <c r="F664">
        <v>109181</v>
      </c>
      <c r="G664">
        <v>4309</v>
      </c>
      <c r="H664" t="s">
        <v>745</v>
      </c>
      <c r="I664" t="s">
        <v>13</v>
      </c>
      <c r="J664" t="s">
        <v>4131</v>
      </c>
    </row>
    <row r="665" spans="1:10" x14ac:dyDescent="0.2">
      <c r="A665" t="s">
        <v>4130</v>
      </c>
      <c r="E665" t="str">
        <f>HYPERLINK("http://nlpdeep.cs.uic.edu:8080/proofing/gsii/4309-history-of-present-illness-1-11.pdf","gsii/4309-history-of-present-illness-1-11.pdf")</f>
        <v>gsii/4309-history-of-present-illness-1-11.pdf</v>
      </c>
      <c r="F665">
        <v>109181</v>
      </c>
      <c r="G665">
        <v>4309</v>
      </c>
      <c r="H665" t="s">
        <v>745</v>
      </c>
      <c r="I665" t="s">
        <v>13</v>
      </c>
      <c r="J665" t="s">
        <v>4131</v>
      </c>
    </row>
    <row r="666" spans="1:10" x14ac:dyDescent="0.2">
      <c r="A666" t="s">
        <v>4132</v>
      </c>
      <c r="E666" t="str">
        <f>HYPERLINK("http://nlpdeep.cs.uic.edu:8080/proofing/t5/4309-history-of-present-illness-1-12.pdf","t5/4309-history-of-present-illness-1-12.pdf")</f>
        <v>t5/4309-history-of-present-illness-1-12.pdf</v>
      </c>
      <c r="F666">
        <v>109181</v>
      </c>
      <c r="G666">
        <v>4309</v>
      </c>
      <c r="H666" t="s">
        <v>745</v>
      </c>
      <c r="I666" t="s">
        <v>13</v>
      </c>
      <c r="J666" t="s">
        <v>4133</v>
      </c>
    </row>
    <row r="667" spans="1:10" x14ac:dyDescent="0.2">
      <c r="A667" t="s">
        <v>4132</v>
      </c>
      <c r="E667" t="str">
        <f>HYPERLINK("http://nlpdeep.cs.uic.edu:8080/proofing/gsii/4309-history-of-present-illness-1-12.pdf","gsii/4309-history-of-present-illness-1-12.pdf")</f>
        <v>gsii/4309-history-of-present-illness-1-12.pdf</v>
      </c>
      <c r="F667">
        <v>109181</v>
      </c>
      <c r="G667">
        <v>4309</v>
      </c>
      <c r="H667" t="s">
        <v>745</v>
      </c>
      <c r="I667" t="s">
        <v>13</v>
      </c>
      <c r="J667" t="s">
        <v>4133</v>
      </c>
    </row>
    <row r="668" spans="1:10" x14ac:dyDescent="0.2">
      <c r="A668" t="s">
        <v>4134</v>
      </c>
      <c r="E668" t="str">
        <f>HYPERLINK("http://nlpdeep.cs.uic.edu:8080/proofing/t5/4309-history-of-present-illness-1-13.pdf","t5/4309-history-of-present-illness-1-13.pdf")</f>
        <v>t5/4309-history-of-present-illness-1-13.pdf</v>
      </c>
      <c r="F668">
        <v>109181</v>
      </c>
      <c r="G668">
        <v>4309</v>
      </c>
      <c r="H668" t="s">
        <v>745</v>
      </c>
      <c r="I668" t="s">
        <v>13</v>
      </c>
      <c r="J668" t="s">
        <v>4135</v>
      </c>
    </row>
    <row r="669" spans="1:10" x14ac:dyDescent="0.2">
      <c r="A669" t="s">
        <v>4134</v>
      </c>
      <c r="E669" t="str">
        <f>HYPERLINK("http://nlpdeep.cs.uic.edu:8080/proofing/gsii/4309-history-of-present-illness-1-13.pdf","gsii/4309-history-of-present-illness-1-13.pdf")</f>
        <v>gsii/4309-history-of-present-illness-1-13.pdf</v>
      </c>
      <c r="F669">
        <v>109181</v>
      </c>
      <c r="G669">
        <v>4309</v>
      </c>
      <c r="H669" t="s">
        <v>745</v>
      </c>
      <c r="I669" t="s">
        <v>13</v>
      </c>
      <c r="J669" t="s">
        <v>4135</v>
      </c>
    </row>
    <row r="670" spans="1:10" x14ac:dyDescent="0.2">
      <c r="A670" t="s">
        <v>4136</v>
      </c>
      <c r="E670" t="str">
        <f>HYPERLINK("http://nlpdeep.cs.uic.edu:8080/proofing/t5/4309-history-of-present-illness-1-14.pdf","t5/4309-history-of-present-illness-1-14.pdf")</f>
        <v>t5/4309-history-of-present-illness-1-14.pdf</v>
      </c>
      <c r="F670">
        <v>109181</v>
      </c>
      <c r="G670">
        <v>4309</v>
      </c>
      <c r="H670" t="s">
        <v>745</v>
      </c>
      <c r="I670" t="s">
        <v>13</v>
      </c>
      <c r="J670" t="s">
        <v>4137</v>
      </c>
    </row>
    <row r="671" spans="1:10" x14ac:dyDescent="0.2">
      <c r="A671" t="s">
        <v>4136</v>
      </c>
      <c r="E671" t="str">
        <f>HYPERLINK("http://nlpdeep.cs.uic.edu:8080/proofing/gsii/4309-history-of-present-illness-1-14.pdf","gsii/4309-history-of-present-illness-1-14.pdf")</f>
        <v>gsii/4309-history-of-present-illness-1-14.pdf</v>
      </c>
      <c r="F671">
        <v>109181</v>
      </c>
      <c r="G671">
        <v>4309</v>
      </c>
      <c r="H671" t="s">
        <v>745</v>
      </c>
      <c r="I671" t="s">
        <v>13</v>
      </c>
      <c r="J671" t="s">
        <v>4137</v>
      </c>
    </row>
    <row r="672" spans="1:10" x14ac:dyDescent="0.2">
      <c r="A672" t="s">
        <v>4138</v>
      </c>
      <c r="E672" t="str">
        <f>HYPERLINK("http://nlpdeep.cs.uic.edu:8080/proofing/t5/4309-past-medical-history-0-0.pdf","t5/4309-past-medical-history-0-0.pdf")</f>
        <v>t5/4309-past-medical-history-0-0.pdf</v>
      </c>
      <c r="F672">
        <v>109181</v>
      </c>
      <c r="G672">
        <v>4309</v>
      </c>
      <c r="H672" t="s">
        <v>745</v>
      </c>
      <c r="I672" t="s">
        <v>76</v>
      </c>
      <c r="J672" t="s">
        <v>4139</v>
      </c>
    </row>
    <row r="673" spans="1:10" x14ac:dyDescent="0.2">
      <c r="A673" t="s">
        <v>4138</v>
      </c>
      <c r="E673" t="str">
        <f>HYPERLINK("http://nlpdeep.cs.uic.edu:8080/proofing/gsii/4309-past-medical-history-0-0.pdf","gsii/4309-past-medical-history-0-0.pdf")</f>
        <v>gsii/4309-past-medical-history-0-0.pdf</v>
      </c>
      <c r="F673">
        <v>109181</v>
      </c>
      <c r="G673">
        <v>4309</v>
      </c>
      <c r="H673" t="s">
        <v>745</v>
      </c>
      <c r="I673" t="s">
        <v>76</v>
      </c>
      <c r="J673" t="s">
        <v>4139</v>
      </c>
    </row>
    <row r="674" spans="1:10" x14ac:dyDescent="0.2">
      <c r="A674" t="s">
        <v>4140</v>
      </c>
      <c r="E674" t="str">
        <f>HYPERLINK("http://nlpdeep.cs.uic.edu:8080/proofing/t5/4309-past-medical-history-0-1.pdf","t5/4309-past-medical-history-0-1.pdf")</f>
        <v>t5/4309-past-medical-history-0-1.pdf</v>
      </c>
      <c r="F674">
        <v>109181</v>
      </c>
      <c r="G674">
        <v>4309</v>
      </c>
      <c r="H674" t="s">
        <v>745</v>
      </c>
      <c r="I674" t="s">
        <v>76</v>
      </c>
      <c r="J674" t="s">
        <v>4141</v>
      </c>
    </row>
    <row r="675" spans="1:10" x14ac:dyDescent="0.2">
      <c r="A675" t="s">
        <v>4140</v>
      </c>
      <c r="E675" t="str">
        <f>HYPERLINK("http://nlpdeep.cs.uic.edu:8080/proofing/gsii/4309-past-medical-history-0-1.pdf","gsii/4309-past-medical-history-0-1.pdf")</f>
        <v>gsii/4309-past-medical-history-0-1.pdf</v>
      </c>
      <c r="F675">
        <v>109181</v>
      </c>
      <c r="G675">
        <v>4309</v>
      </c>
      <c r="H675" t="s">
        <v>745</v>
      </c>
      <c r="I675" t="s">
        <v>76</v>
      </c>
      <c r="J675" t="s">
        <v>4141</v>
      </c>
    </row>
    <row r="676" spans="1:10" x14ac:dyDescent="0.2">
      <c r="A676" t="s">
        <v>4142</v>
      </c>
      <c r="E676" t="str">
        <f>HYPERLINK("http://nlpdeep.cs.uic.edu:8080/proofing/t5/4309-past-medical-history-0-2.pdf","t5/4309-past-medical-history-0-2.pdf")</f>
        <v>t5/4309-past-medical-history-0-2.pdf</v>
      </c>
      <c r="F676">
        <v>109181</v>
      </c>
      <c r="G676">
        <v>4309</v>
      </c>
      <c r="H676" t="s">
        <v>745</v>
      </c>
      <c r="I676" t="s">
        <v>76</v>
      </c>
      <c r="J676" t="s">
        <v>4143</v>
      </c>
    </row>
    <row r="677" spans="1:10" x14ac:dyDescent="0.2">
      <c r="A677" t="s">
        <v>4142</v>
      </c>
      <c r="E677" t="str">
        <f>HYPERLINK("http://nlpdeep.cs.uic.edu:8080/proofing/gsii/4309-past-medical-history-0-2.pdf","gsii/4309-past-medical-history-0-2.pdf")</f>
        <v>gsii/4309-past-medical-history-0-2.pdf</v>
      </c>
      <c r="F677">
        <v>109181</v>
      </c>
      <c r="G677">
        <v>4309</v>
      </c>
      <c r="H677" t="s">
        <v>745</v>
      </c>
      <c r="I677" t="s">
        <v>76</v>
      </c>
      <c r="J677" t="s">
        <v>4143</v>
      </c>
    </row>
    <row r="678" spans="1:10" x14ac:dyDescent="0.2">
      <c r="A678" t="s">
        <v>4144</v>
      </c>
      <c r="E678" t="str">
        <f>HYPERLINK("http://nlpdeep.cs.uic.edu:8080/proofing/t5/4309-past-medical-history-0-3.pdf","t5/4309-past-medical-history-0-3.pdf")</f>
        <v>t5/4309-past-medical-history-0-3.pdf</v>
      </c>
      <c r="F678">
        <v>109181</v>
      </c>
      <c r="G678">
        <v>4309</v>
      </c>
      <c r="H678" t="s">
        <v>745</v>
      </c>
      <c r="I678" t="s">
        <v>76</v>
      </c>
    </row>
    <row r="679" spans="1:10" x14ac:dyDescent="0.2">
      <c r="A679" t="s">
        <v>4144</v>
      </c>
      <c r="E679" t="str">
        <f>HYPERLINK("http://nlpdeep.cs.uic.edu:8080/proofing/gsii/4309-past-medical-history-0-3.pdf","gsii/4309-past-medical-history-0-3.pdf")</f>
        <v>gsii/4309-past-medical-history-0-3.pdf</v>
      </c>
      <c r="F679">
        <v>109181</v>
      </c>
      <c r="G679">
        <v>4309</v>
      </c>
      <c r="H679" t="s">
        <v>745</v>
      </c>
      <c r="I679" t="s">
        <v>76</v>
      </c>
    </row>
    <row r="680" spans="1:10" x14ac:dyDescent="0.2">
      <c r="A680" t="s">
        <v>4145</v>
      </c>
      <c r="E680" t="str">
        <f>HYPERLINK("http://nlpdeep.cs.uic.edu:8080/proofing/t5/4309-past-medical-history-1-0.pdf","t5/4309-past-medical-history-1-0.pdf")</f>
        <v>t5/4309-past-medical-history-1-0.pdf</v>
      </c>
      <c r="F680">
        <v>109181</v>
      </c>
      <c r="G680">
        <v>4309</v>
      </c>
      <c r="H680" t="s">
        <v>745</v>
      </c>
      <c r="I680" t="s">
        <v>76</v>
      </c>
    </row>
    <row r="681" spans="1:10" x14ac:dyDescent="0.2">
      <c r="A681" t="s">
        <v>4145</v>
      </c>
      <c r="E681" t="str">
        <f>HYPERLINK("http://nlpdeep.cs.uic.edu:8080/proofing/gsii/4309-past-medical-history-1-0.pdf","gsii/4309-past-medical-history-1-0.pdf")</f>
        <v>gsii/4309-past-medical-history-1-0.pdf</v>
      </c>
      <c r="F681">
        <v>109181</v>
      </c>
      <c r="G681">
        <v>4309</v>
      </c>
      <c r="H681" t="s">
        <v>745</v>
      </c>
      <c r="I681" t="s">
        <v>76</v>
      </c>
    </row>
    <row r="682" spans="1:10" x14ac:dyDescent="0.2">
      <c r="A682" t="s">
        <v>4146</v>
      </c>
      <c r="E682" t="str">
        <f>HYPERLINK("http://nlpdeep.cs.uic.edu:8080/proofing/t5/4309-past-medical-history-2-0.pdf","t5/4309-past-medical-history-2-0.pdf")</f>
        <v>t5/4309-past-medical-history-2-0.pdf</v>
      </c>
      <c r="F682">
        <v>109181</v>
      </c>
      <c r="G682">
        <v>4309</v>
      </c>
      <c r="H682" t="s">
        <v>745</v>
      </c>
      <c r="I682" t="s">
        <v>76</v>
      </c>
    </row>
    <row r="683" spans="1:10" x14ac:dyDescent="0.2">
      <c r="A683" t="s">
        <v>4146</v>
      </c>
      <c r="E683" t="str">
        <f>HYPERLINK("http://nlpdeep.cs.uic.edu:8080/proofing/gsii/4309-past-medical-history-2-0.pdf","gsii/4309-past-medical-history-2-0.pdf")</f>
        <v>gsii/4309-past-medical-history-2-0.pdf</v>
      </c>
      <c r="F683">
        <v>109181</v>
      </c>
      <c r="G683">
        <v>4309</v>
      </c>
      <c r="H683" t="s">
        <v>745</v>
      </c>
      <c r="I683" t="s">
        <v>76</v>
      </c>
    </row>
    <row r="684" spans="1:10" x14ac:dyDescent="0.2">
      <c r="A684" t="s">
        <v>4147</v>
      </c>
      <c r="E684" t="str">
        <f>HYPERLINK("http://nlpdeep.cs.uic.edu:8080/proofing/t5/4309-past-medical-history-3-0.pdf","t5/4309-past-medical-history-3-0.pdf")</f>
        <v>t5/4309-past-medical-history-3-0.pdf</v>
      </c>
      <c r="F684">
        <v>109181</v>
      </c>
      <c r="G684">
        <v>4309</v>
      </c>
      <c r="H684" t="s">
        <v>745</v>
      </c>
      <c r="I684" t="s">
        <v>76</v>
      </c>
      <c r="J684" t="s">
        <v>4148</v>
      </c>
    </row>
    <row r="685" spans="1:10" x14ac:dyDescent="0.2">
      <c r="A685" t="s">
        <v>4147</v>
      </c>
      <c r="E685" t="str">
        <f>HYPERLINK("http://nlpdeep.cs.uic.edu:8080/proofing/gsii/4309-past-medical-history-3-0.pdf","gsii/4309-past-medical-history-3-0.pdf")</f>
        <v>gsii/4309-past-medical-history-3-0.pdf</v>
      </c>
      <c r="F685">
        <v>109181</v>
      </c>
      <c r="G685">
        <v>4309</v>
      </c>
      <c r="H685" t="s">
        <v>745</v>
      </c>
      <c r="I685" t="s">
        <v>76</v>
      </c>
      <c r="J685" t="s">
        <v>4148</v>
      </c>
    </row>
    <row r="686" spans="1:10" x14ac:dyDescent="0.2">
      <c r="A686" t="s">
        <v>4149</v>
      </c>
      <c r="E686" t="str">
        <f>HYPERLINK("http://nlpdeep.cs.uic.edu:8080/proofing/t5/4309-social-history-0-0.pdf","t5/4309-social-history-0-0.pdf")</f>
        <v>t5/4309-social-history-0-0.pdf</v>
      </c>
      <c r="F686">
        <v>109181</v>
      </c>
      <c r="G686">
        <v>4309</v>
      </c>
      <c r="H686" t="s">
        <v>745</v>
      </c>
      <c r="I686" t="s">
        <v>118</v>
      </c>
      <c r="J686" t="s">
        <v>4150</v>
      </c>
    </row>
    <row r="687" spans="1:10" x14ac:dyDescent="0.2">
      <c r="A687" t="s">
        <v>4149</v>
      </c>
      <c r="E687" t="str">
        <f>HYPERLINK("http://nlpdeep.cs.uic.edu:8080/proofing/gsii/4309-social-history-0-0.pdf","gsii/4309-social-history-0-0.pdf")</f>
        <v>gsii/4309-social-history-0-0.pdf</v>
      </c>
      <c r="F687">
        <v>109181</v>
      </c>
      <c r="G687">
        <v>4309</v>
      </c>
      <c r="H687" t="s">
        <v>745</v>
      </c>
      <c r="I687" t="s">
        <v>118</v>
      </c>
      <c r="J687" t="s">
        <v>4150</v>
      </c>
    </row>
    <row r="688" spans="1:10" x14ac:dyDescent="0.2">
      <c r="A688" t="s">
        <v>4151</v>
      </c>
      <c r="E688" t="str">
        <f>HYPERLINK("http://nlpdeep.cs.uic.edu:8080/proofing/t5/4309-social-history-0-1.pdf","t5/4309-social-history-0-1.pdf")</f>
        <v>t5/4309-social-history-0-1.pdf</v>
      </c>
      <c r="F688">
        <v>109181</v>
      </c>
      <c r="G688">
        <v>4309</v>
      </c>
      <c r="H688" t="s">
        <v>745</v>
      </c>
      <c r="I688" t="s">
        <v>118</v>
      </c>
      <c r="J688" t="s">
        <v>4152</v>
      </c>
    </row>
    <row r="689" spans="1:10" x14ac:dyDescent="0.2">
      <c r="A689" t="s">
        <v>4151</v>
      </c>
      <c r="E689" t="str">
        <f>HYPERLINK("http://nlpdeep.cs.uic.edu:8080/proofing/gsii/4309-social-history-0-1.pdf","gsii/4309-social-history-0-1.pdf")</f>
        <v>gsii/4309-social-history-0-1.pdf</v>
      </c>
      <c r="F689">
        <v>109181</v>
      </c>
      <c r="G689">
        <v>4309</v>
      </c>
      <c r="H689" t="s">
        <v>745</v>
      </c>
      <c r="I689" t="s">
        <v>118</v>
      </c>
      <c r="J689" t="s">
        <v>4152</v>
      </c>
    </row>
    <row r="690" spans="1:10" x14ac:dyDescent="0.2">
      <c r="A690" t="s">
        <v>4153</v>
      </c>
      <c r="E690" t="str">
        <f>HYPERLINK("http://nlpdeep.cs.uic.edu:8080/proofing/t5/4309-social-history-0-2.pdf","t5/4309-social-history-0-2.pdf")</f>
        <v>t5/4309-social-history-0-2.pdf</v>
      </c>
      <c r="F690">
        <v>109181</v>
      </c>
      <c r="G690">
        <v>4309</v>
      </c>
      <c r="H690" t="s">
        <v>745</v>
      </c>
      <c r="I690" t="s">
        <v>118</v>
      </c>
      <c r="J690" t="s">
        <v>4154</v>
      </c>
    </row>
    <row r="691" spans="1:10" x14ac:dyDescent="0.2">
      <c r="A691" t="s">
        <v>4153</v>
      </c>
      <c r="E691" t="str">
        <f>HYPERLINK("http://nlpdeep.cs.uic.edu:8080/proofing/gsii/4309-social-history-0-2.pdf","gsii/4309-social-history-0-2.pdf")</f>
        <v>gsii/4309-social-history-0-2.pdf</v>
      </c>
      <c r="F691">
        <v>109181</v>
      </c>
      <c r="G691">
        <v>4309</v>
      </c>
      <c r="H691" t="s">
        <v>745</v>
      </c>
      <c r="I691" t="s">
        <v>118</v>
      </c>
      <c r="J691" t="s">
        <v>4154</v>
      </c>
    </row>
    <row r="692" spans="1:10" x14ac:dyDescent="0.2">
      <c r="A692" t="s">
        <v>4155</v>
      </c>
      <c r="E692" t="str">
        <f>HYPERLINK("http://nlpdeep.cs.uic.edu:8080/proofing/t5/4309-social-history-0-3.pdf","t5/4309-social-history-0-3.pdf")</f>
        <v>t5/4309-social-history-0-3.pdf</v>
      </c>
      <c r="F692">
        <v>109181</v>
      </c>
      <c r="G692">
        <v>4309</v>
      </c>
      <c r="H692" t="s">
        <v>745</v>
      </c>
      <c r="I692" t="s">
        <v>118</v>
      </c>
      <c r="J692" t="s">
        <v>4156</v>
      </c>
    </row>
    <row r="693" spans="1:10" x14ac:dyDescent="0.2">
      <c r="A693" t="s">
        <v>4155</v>
      </c>
      <c r="E693" t="str">
        <f>HYPERLINK("http://nlpdeep.cs.uic.edu:8080/proofing/gsii/4309-social-history-0-3.pdf","gsii/4309-social-history-0-3.pdf")</f>
        <v>gsii/4309-social-history-0-3.pdf</v>
      </c>
      <c r="F693">
        <v>109181</v>
      </c>
      <c r="G693">
        <v>4309</v>
      </c>
      <c r="H693" t="s">
        <v>745</v>
      </c>
      <c r="I693" t="s">
        <v>118</v>
      </c>
      <c r="J693" t="s">
        <v>4156</v>
      </c>
    </row>
    <row r="694" spans="1:10" x14ac:dyDescent="0.2">
      <c r="A694" t="s">
        <v>4157</v>
      </c>
      <c r="E694" t="str">
        <f>HYPERLINK("http://nlpdeep.cs.uic.edu:8080/proofing/t5/4309-social-history-0-4.pdf","t5/4309-social-history-0-4.pdf")</f>
        <v>t5/4309-social-history-0-4.pdf</v>
      </c>
      <c r="F694">
        <v>109181</v>
      </c>
      <c r="G694">
        <v>4309</v>
      </c>
      <c r="H694" t="s">
        <v>745</v>
      </c>
      <c r="I694" t="s">
        <v>118</v>
      </c>
      <c r="J694" t="s">
        <v>4158</v>
      </c>
    </row>
    <row r="695" spans="1:10" x14ac:dyDescent="0.2">
      <c r="A695" t="s">
        <v>4157</v>
      </c>
      <c r="E695" t="str">
        <f>HYPERLINK("http://nlpdeep.cs.uic.edu:8080/proofing/gsii/4309-social-history-0-4.pdf","gsii/4309-social-history-0-4.pdf")</f>
        <v>gsii/4309-social-history-0-4.pdf</v>
      </c>
      <c r="F695">
        <v>109181</v>
      </c>
      <c r="G695">
        <v>4309</v>
      </c>
      <c r="H695" t="s">
        <v>745</v>
      </c>
      <c r="I695" t="s">
        <v>118</v>
      </c>
      <c r="J695" t="s">
        <v>4158</v>
      </c>
    </row>
    <row r="696" spans="1:10" x14ac:dyDescent="0.2">
      <c r="A696" t="s">
        <v>4159</v>
      </c>
      <c r="E696" t="str">
        <f>HYPERLINK("http://nlpdeep.cs.uic.edu:8080/proofing/t5/4309-family-history-0-0.pdf","t5/4309-family-history-0-0.pdf")</f>
        <v>t5/4309-family-history-0-0.pdf</v>
      </c>
      <c r="F696">
        <v>109181</v>
      </c>
      <c r="G696">
        <v>4309</v>
      </c>
      <c r="H696" t="s">
        <v>745</v>
      </c>
      <c r="I696" t="s">
        <v>107</v>
      </c>
      <c r="J696" t="s">
        <v>4160</v>
      </c>
    </row>
    <row r="697" spans="1:10" x14ac:dyDescent="0.2">
      <c r="A697" t="s">
        <v>4159</v>
      </c>
      <c r="E697" t="str">
        <f>HYPERLINK("http://nlpdeep.cs.uic.edu:8080/proofing/gsii/4309-family-history-0-0.pdf","gsii/4309-family-history-0-0.pdf")</f>
        <v>gsii/4309-family-history-0-0.pdf</v>
      </c>
      <c r="F697">
        <v>109181</v>
      </c>
      <c r="G697">
        <v>4309</v>
      </c>
      <c r="H697" t="s">
        <v>745</v>
      </c>
      <c r="I697" t="s">
        <v>107</v>
      </c>
      <c r="J697" t="s">
        <v>4160</v>
      </c>
    </row>
    <row r="698" spans="1:10" x14ac:dyDescent="0.2">
      <c r="A698" t="s">
        <v>4161</v>
      </c>
      <c r="E698" t="str">
        <f>HYPERLINK("http://nlpdeep.cs.uic.edu:8080/proofing/t5/4309-physical-examination-0-0.pdf","t5/4309-physical-examination-0-0.pdf")</f>
        <v>t5/4309-physical-examination-0-0.pdf</v>
      </c>
      <c r="F698">
        <v>109181</v>
      </c>
      <c r="G698">
        <v>4309</v>
      </c>
      <c r="H698" t="s">
        <v>745</v>
      </c>
      <c r="I698" t="s">
        <v>138</v>
      </c>
      <c r="J698" t="s">
        <v>4162</v>
      </c>
    </row>
    <row r="699" spans="1:10" x14ac:dyDescent="0.2">
      <c r="A699" t="s">
        <v>4161</v>
      </c>
      <c r="E699" t="str">
        <f>HYPERLINK("http://nlpdeep.cs.uic.edu:8080/proofing/gsii/4309-physical-examination-0-0.pdf","gsii/4309-physical-examination-0-0.pdf")</f>
        <v>gsii/4309-physical-examination-0-0.pdf</v>
      </c>
      <c r="F699">
        <v>109181</v>
      </c>
      <c r="G699">
        <v>4309</v>
      </c>
      <c r="H699" t="s">
        <v>745</v>
      </c>
      <c r="I699" t="s">
        <v>138</v>
      </c>
      <c r="J699" t="s">
        <v>4162</v>
      </c>
    </row>
    <row r="700" spans="1:10" x14ac:dyDescent="0.2">
      <c r="A700" t="s">
        <v>4163</v>
      </c>
      <c r="E700" t="str">
        <f>HYPERLINK("http://nlpdeep.cs.uic.edu:8080/proofing/t5/4309-physical-examination-1-0.pdf","t5/4309-physical-examination-1-0.pdf")</f>
        <v>t5/4309-physical-examination-1-0.pdf</v>
      </c>
      <c r="F700">
        <v>109181</v>
      </c>
      <c r="G700">
        <v>4309</v>
      </c>
      <c r="H700" t="s">
        <v>745</v>
      </c>
      <c r="I700" t="s">
        <v>138</v>
      </c>
      <c r="J700" t="s">
        <v>4164</v>
      </c>
    </row>
    <row r="701" spans="1:10" x14ac:dyDescent="0.2">
      <c r="A701" t="s">
        <v>4163</v>
      </c>
      <c r="E701" t="str">
        <f>HYPERLINK("http://nlpdeep.cs.uic.edu:8080/proofing/gsii/4309-physical-examination-1-0.pdf","gsii/4309-physical-examination-1-0.pdf")</f>
        <v>gsii/4309-physical-examination-1-0.pdf</v>
      </c>
      <c r="F701">
        <v>109181</v>
      </c>
      <c r="G701">
        <v>4309</v>
      </c>
      <c r="H701" t="s">
        <v>745</v>
      </c>
      <c r="I701" t="s">
        <v>138</v>
      </c>
      <c r="J701" t="s">
        <v>4164</v>
      </c>
    </row>
    <row r="702" spans="1:10" x14ac:dyDescent="0.2">
      <c r="A702" t="s">
        <v>4165</v>
      </c>
      <c r="E702" t="str">
        <f>HYPERLINK("http://nlpdeep.cs.uic.edu:8080/proofing/t5/4309-labs-imaging-0-0.pdf","t5/4309-labs-imaging-0-0.pdf")</f>
        <v>t5/4309-labs-imaging-0-0.pdf</v>
      </c>
      <c r="F702">
        <v>109181</v>
      </c>
      <c r="G702">
        <v>4309</v>
      </c>
      <c r="H702" t="s">
        <v>745</v>
      </c>
      <c r="I702" t="s">
        <v>147</v>
      </c>
    </row>
    <row r="703" spans="1:10" x14ac:dyDescent="0.2">
      <c r="A703" t="s">
        <v>4165</v>
      </c>
      <c r="E703" t="str">
        <f>HYPERLINK("http://nlpdeep.cs.uic.edu:8080/proofing/gsii/4309-labs-imaging-0-0.pdf","gsii/4309-labs-imaging-0-0.pdf")</f>
        <v>gsii/4309-labs-imaging-0-0.pdf</v>
      </c>
      <c r="F703">
        <v>109181</v>
      </c>
      <c r="G703">
        <v>4309</v>
      </c>
      <c r="H703" t="s">
        <v>745</v>
      </c>
      <c r="I703" t="s">
        <v>147</v>
      </c>
    </row>
    <row r="704" spans="1:10" x14ac:dyDescent="0.2">
      <c r="A704" t="s">
        <v>4166</v>
      </c>
      <c r="E704" t="str">
        <f>HYPERLINK("http://nlpdeep.cs.uic.edu:8080/proofing/t5/4309-labs-imaging-1-0.pdf","t5/4309-labs-imaging-1-0.pdf")</f>
        <v>t5/4309-labs-imaging-1-0.pdf</v>
      </c>
      <c r="F704">
        <v>109181</v>
      </c>
      <c r="G704">
        <v>4309</v>
      </c>
      <c r="H704" t="s">
        <v>745</v>
      </c>
      <c r="I704" t="s">
        <v>147</v>
      </c>
      <c r="J704" t="s">
        <v>4167</v>
      </c>
    </row>
    <row r="705" spans="1:10" x14ac:dyDescent="0.2">
      <c r="A705" t="s">
        <v>4166</v>
      </c>
      <c r="E705" t="str">
        <f>HYPERLINK("http://nlpdeep.cs.uic.edu:8080/proofing/gsii/4309-labs-imaging-1-0.pdf","gsii/4309-labs-imaging-1-0.pdf")</f>
        <v>gsii/4309-labs-imaging-1-0.pdf</v>
      </c>
      <c r="F705">
        <v>109181</v>
      </c>
      <c r="G705">
        <v>4309</v>
      </c>
      <c r="H705" t="s">
        <v>745</v>
      </c>
      <c r="I705" t="s">
        <v>147</v>
      </c>
      <c r="J705" t="s">
        <v>4167</v>
      </c>
    </row>
    <row r="706" spans="1:10" x14ac:dyDescent="0.2">
      <c r="A706" t="s">
        <v>4168</v>
      </c>
      <c r="E706" t="str">
        <f>HYPERLINK("http://nlpdeep.cs.uic.edu:8080/proofing/t5/4309-labs-imaging-1-1.pdf","t5/4309-labs-imaging-1-1.pdf")</f>
        <v>t5/4309-labs-imaging-1-1.pdf</v>
      </c>
      <c r="F706">
        <v>109181</v>
      </c>
      <c r="G706">
        <v>4309</v>
      </c>
      <c r="H706" t="s">
        <v>745</v>
      </c>
      <c r="I706" t="s">
        <v>147</v>
      </c>
      <c r="J706" t="s">
        <v>4169</v>
      </c>
    </row>
    <row r="707" spans="1:10" x14ac:dyDescent="0.2">
      <c r="A707" t="s">
        <v>4168</v>
      </c>
      <c r="E707" t="str">
        <f>HYPERLINK("http://nlpdeep.cs.uic.edu:8080/proofing/gsii/4309-labs-imaging-1-1.pdf","gsii/4309-labs-imaging-1-1.pdf")</f>
        <v>gsii/4309-labs-imaging-1-1.pdf</v>
      </c>
      <c r="F707">
        <v>109181</v>
      </c>
      <c r="G707">
        <v>4309</v>
      </c>
      <c r="H707" t="s">
        <v>745</v>
      </c>
      <c r="I707" t="s">
        <v>147</v>
      </c>
      <c r="J707" t="s">
        <v>4169</v>
      </c>
    </row>
    <row r="708" spans="1:10" x14ac:dyDescent="0.2">
      <c r="A708" t="s">
        <v>4170</v>
      </c>
      <c r="E708" t="str">
        <f>HYPERLINK("http://nlpdeep.cs.uic.edu:8080/proofing/t5/4309-labs-imaging-1-2.pdf","t5/4309-labs-imaging-1-2.pdf")</f>
        <v>t5/4309-labs-imaging-1-2.pdf</v>
      </c>
      <c r="F708">
        <v>109181</v>
      </c>
      <c r="G708">
        <v>4309</v>
      </c>
      <c r="H708" t="s">
        <v>745</v>
      </c>
      <c r="I708" t="s">
        <v>147</v>
      </c>
    </row>
    <row r="709" spans="1:10" x14ac:dyDescent="0.2">
      <c r="A709" t="s">
        <v>4170</v>
      </c>
      <c r="E709" t="str">
        <f>HYPERLINK("http://nlpdeep.cs.uic.edu:8080/proofing/gsii/4309-labs-imaging-1-2.pdf","gsii/4309-labs-imaging-1-2.pdf")</f>
        <v>gsii/4309-labs-imaging-1-2.pdf</v>
      </c>
      <c r="F709">
        <v>109181</v>
      </c>
      <c r="G709">
        <v>4309</v>
      </c>
      <c r="H709" t="s">
        <v>745</v>
      </c>
      <c r="I709" t="s">
        <v>147</v>
      </c>
    </row>
    <row r="710" spans="1:10" x14ac:dyDescent="0.2">
      <c r="A710" t="s">
        <v>4171</v>
      </c>
      <c r="E710" t="str">
        <f>HYPERLINK("http://nlpdeep.cs.uic.edu:8080/proofing/t5/4309-labs-imaging-2-0.pdf","t5/4309-labs-imaging-2-0.pdf")</f>
        <v>t5/4309-labs-imaging-2-0.pdf</v>
      </c>
      <c r="F710">
        <v>109181</v>
      </c>
      <c r="G710">
        <v>4309</v>
      </c>
      <c r="H710" t="s">
        <v>745</v>
      </c>
      <c r="I710" t="s">
        <v>147</v>
      </c>
    </row>
    <row r="711" spans="1:10" x14ac:dyDescent="0.2">
      <c r="A711" t="s">
        <v>4171</v>
      </c>
      <c r="E711" t="str">
        <f>HYPERLINK("http://nlpdeep.cs.uic.edu:8080/proofing/gsii/4309-labs-imaging-2-0.pdf","gsii/4309-labs-imaging-2-0.pdf")</f>
        <v>gsii/4309-labs-imaging-2-0.pdf</v>
      </c>
      <c r="F711">
        <v>109181</v>
      </c>
      <c r="G711">
        <v>4309</v>
      </c>
      <c r="H711" t="s">
        <v>745</v>
      </c>
      <c r="I711" t="s">
        <v>147</v>
      </c>
    </row>
    <row r="712" spans="1:10" x14ac:dyDescent="0.2">
      <c r="A712" t="s">
        <v>4172</v>
      </c>
      <c r="E712" t="str">
        <f>HYPERLINK("http://nlpdeep.cs.uic.edu:8080/proofing/t5/4309-labs-imaging-3-0.pdf","t5/4309-labs-imaging-3-0.pdf")</f>
        <v>t5/4309-labs-imaging-3-0.pdf</v>
      </c>
      <c r="F712">
        <v>109181</v>
      </c>
      <c r="G712">
        <v>4309</v>
      </c>
      <c r="H712" t="s">
        <v>745</v>
      </c>
      <c r="I712" t="s">
        <v>147</v>
      </c>
    </row>
    <row r="713" spans="1:10" x14ac:dyDescent="0.2">
      <c r="A713" t="s">
        <v>4172</v>
      </c>
      <c r="E713" t="str">
        <f>HYPERLINK("http://nlpdeep.cs.uic.edu:8080/proofing/gsii/4309-labs-imaging-3-0.pdf","gsii/4309-labs-imaging-3-0.pdf")</f>
        <v>gsii/4309-labs-imaging-3-0.pdf</v>
      </c>
      <c r="F713">
        <v>109181</v>
      </c>
      <c r="G713">
        <v>4309</v>
      </c>
      <c r="H713" t="s">
        <v>745</v>
      </c>
      <c r="I713" t="s">
        <v>147</v>
      </c>
    </row>
    <row r="714" spans="1:10" x14ac:dyDescent="0.2">
      <c r="A714" t="s">
        <v>4173</v>
      </c>
      <c r="E714" t="str">
        <f>HYPERLINK("http://nlpdeep.cs.uic.edu:8080/proofing/t5/4309-labs-imaging-3-1.pdf","t5/4309-labs-imaging-3-1.pdf")</f>
        <v>t5/4309-labs-imaging-3-1.pdf</v>
      </c>
      <c r="F714">
        <v>109181</v>
      </c>
      <c r="G714">
        <v>4309</v>
      </c>
      <c r="H714" t="s">
        <v>745</v>
      </c>
      <c r="I714" t="s">
        <v>147</v>
      </c>
      <c r="J714" t="s">
        <v>4174</v>
      </c>
    </row>
    <row r="715" spans="1:10" x14ac:dyDescent="0.2">
      <c r="A715" t="s">
        <v>4173</v>
      </c>
      <c r="E715" t="str">
        <f>HYPERLINK("http://nlpdeep.cs.uic.edu:8080/proofing/gsii/4309-labs-imaging-3-1.pdf","gsii/4309-labs-imaging-3-1.pdf")</f>
        <v>gsii/4309-labs-imaging-3-1.pdf</v>
      </c>
      <c r="F715">
        <v>109181</v>
      </c>
      <c r="G715">
        <v>4309</v>
      </c>
      <c r="H715" t="s">
        <v>745</v>
      </c>
      <c r="I715" t="s">
        <v>147</v>
      </c>
      <c r="J715" t="s">
        <v>4174</v>
      </c>
    </row>
    <row r="716" spans="1:10" x14ac:dyDescent="0.2">
      <c r="A716" t="s">
        <v>4175</v>
      </c>
      <c r="E716" t="str">
        <f>HYPERLINK("http://nlpdeep.cs.uic.edu:8080/proofing/t5/4309-labs-imaging-3-2.pdf","t5/4309-labs-imaging-3-2.pdf")</f>
        <v>t5/4309-labs-imaging-3-2.pdf</v>
      </c>
      <c r="F716">
        <v>109181</v>
      </c>
      <c r="G716">
        <v>4309</v>
      </c>
      <c r="H716" t="s">
        <v>745</v>
      </c>
      <c r="I716" t="s">
        <v>147</v>
      </c>
      <c r="J716" t="s">
        <v>4176</v>
      </c>
    </row>
    <row r="717" spans="1:10" x14ac:dyDescent="0.2">
      <c r="A717" t="s">
        <v>4175</v>
      </c>
      <c r="E717" t="str">
        <f>HYPERLINK("http://nlpdeep.cs.uic.edu:8080/proofing/gsii/4309-labs-imaging-3-2.pdf","gsii/4309-labs-imaging-3-2.pdf")</f>
        <v>gsii/4309-labs-imaging-3-2.pdf</v>
      </c>
      <c r="F717">
        <v>109181</v>
      </c>
      <c r="G717">
        <v>4309</v>
      </c>
      <c r="H717" t="s">
        <v>745</v>
      </c>
      <c r="I717" t="s">
        <v>147</v>
      </c>
      <c r="J717" t="s">
        <v>4176</v>
      </c>
    </row>
    <row r="718" spans="1:10" x14ac:dyDescent="0.2">
      <c r="A718" t="s">
        <v>4177</v>
      </c>
      <c r="E718" t="str">
        <f>HYPERLINK("http://nlpdeep.cs.uic.edu:8080/proofing/t5/4309-labs-imaging-3-3.pdf","t5/4309-labs-imaging-3-3.pdf")</f>
        <v>t5/4309-labs-imaging-3-3.pdf</v>
      </c>
      <c r="F718">
        <v>109181</v>
      </c>
      <c r="G718">
        <v>4309</v>
      </c>
      <c r="H718" t="s">
        <v>745</v>
      </c>
      <c r="I718" t="s">
        <v>147</v>
      </c>
      <c r="J718" t="s">
        <v>4178</v>
      </c>
    </row>
    <row r="719" spans="1:10" x14ac:dyDescent="0.2">
      <c r="A719" t="s">
        <v>4177</v>
      </c>
      <c r="E719" t="str">
        <f>HYPERLINK("http://nlpdeep.cs.uic.edu:8080/proofing/gsii/4309-labs-imaging-3-3.pdf","gsii/4309-labs-imaging-3-3.pdf")</f>
        <v>gsii/4309-labs-imaging-3-3.pdf</v>
      </c>
      <c r="F719">
        <v>109181</v>
      </c>
      <c r="G719">
        <v>4309</v>
      </c>
      <c r="H719" t="s">
        <v>745</v>
      </c>
      <c r="I719" t="s">
        <v>147</v>
      </c>
      <c r="J719" t="s">
        <v>4178</v>
      </c>
    </row>
    <row r="720" spans="1:10" x14ac:dyDescent="0.2">
      <c r="A720" t="s">
        <v>4179</v>
      </c>
      <c r="E720" t="str">
        <f>HYPERLINK("http://nlpdeep.cs.uic.edu:8080/proofing/t5/4309-labs-imaging-3-4.pdf","t5/4309-labs-imaging-3-4.pdf")</f>
        <v>t5/4309-labs-imaging-3-4.pdf</v>
      </c>
      <c r="F720">
        <v>109181</v>
      </c>
      <c r="G720">
        <v>4309</v>
      </c>
      <c r="H720" t="s">
        <v>745</v>
      </c>
      <c r="I720" t="s">
        <v>147</v>
      </c>
      <c r="J720" t="s">
        <v>4180</v>
      </c>
    </row>
    <row r="721" spans="1:10" x14ac:dyDescent="0.2">
      <c r="A721" t="s">
        <v>4179</v>
      </c>
      <c r="E721" t="str">
        <f>HYPERLINK("http://nlpdeep.cs.uic.edu:8080/proofing/gsii/4309-labs-imaging-3-4.pdf","gsii/4309-labs-imaging-3-4.pdf")</f>
        <v>gsii/4309-labs-imaging-3-4.pdf</v>
      </c>
      <c r="F721">
        <v>109181</v>
      </c>
      <c r="G721">
        <v>4309</v>
      </c>
      <c r="H721" t="s">
        <v>745</v>
      </c>
      <c r="I721" t="s">
        <v>147</v>
      </c>
      <c r="J721" t="s">
        <v>4180</v>
      </c>
    </row>
    <row r="722" spans="1:10" x14ac:dyDescent="0.2">
      <c r="A722" t="s">
        <v>4181</v>
      </c>
      <c r="E722" t="str">
        <f>HYPERLINK("http://nlpdeep.cs.uic.edu:8080/proofing/t5/4309-labs-imaging-3-5.pdf","t5/4309-labs-imaging-3-5.pdf")</f>
        <v>t5/4309-labs-imaging-3-5.pdf</v>
      </c>
      <c r="F722">
        <v>109181</v>
      </c>
      <c r="G722">
        <v>4309</v>
      </c>
      <c r="H722" t="s">
        <v>745</v>
      </c>
      <c r="I722" t="s">
        <v>147</v>
      </c>
      <c r="J722" t="s">
        <v>4182</v>
      </c>
    </row>
    <row r="723" spans="1:10" x14ac:dyDescent="0.2">
      <c r="A723" t="s">
        <v>4181</v>
      </c>
      <c r="E723" t="str">
        <f>HYPERLINK("http://nlpdeep.cs.uic.edu:8080/proofing/gsii/4309-labs-imaging-3-5.pdf","gsii/4309-labs-imaging-3-5.pdf")</f>
        <v>gsii/4309-labs-imaging-3-5.pdf</v>
      </c>
      <c r="F723">
        <v>109181</v>
      </c>
      <c r="G723">
        <v>4309</v>
      </c>
      <c r="H723" t="s">
        <v>745</v>
      </c>
      <c r="I723" t="s">
        <v>147</v>
      </c>
      <c r="J723" t="s">
        <v>4182</v>
      </c>
    </row>
    <row r="724" spans="1:10" x14ac:dyDescent="0.2">
      <c r="A724" t="s">
        <v>4183</v>
      </c>
      <c r="E724" t="str">
        <f>HYPERLINK("http://nlpdeep.cs.uic.edu:8080/proofing/t5/4309-labs-imaging-3-6.pdf","t5/4309-labs-imaging-3-6.pdf")</f>
        <v>t5/4309-labs-imaging-3-6.pdf</v>
      </c>
      <c r="F724">
        <v>109181</v>
      </c>
      <c r="G724">
        <v>4309</v>
      </c>
      <c r="H724" t="s">
        <v>745</v>
      </c>
      <c r="I724" t="s">
        <v>147</v>
      </c>
      <c r="J724" t="s">
        <v>4184</v>
      </c>
    </row>
    <row r="725" spans="1:10" x14ac:dyDescent="0.2">
      <c r="A725" t="s">
        <v>4183</v>
      </c>
      <c r="E725" t="str">
        <f>HYPERLINK("http://nlpdeep.cs.uic.edu:8080/proofing/gsii/4309-labs-imaging-3-6.pdf","gsii/4309-labs-imaging-3-6.pdf")</f>
        <v>gsii/4309-labs-imaging-3-6.pdf</v>
      </c>
      <c r="F725">
        <v>109181</v>
      </c>
      <c r="G725">
        <v>4309</v>
      </c>
      <c r="H725" t="s">
        <v>745</v>
      </c>
      <c r="I725" t="s">
        <v>147</v>
      </c>
      <c r="J725" t="s">
        <v>4184</v>
      </c>
    </row>
    <row r="726" spans="1:10" x14ac:dyDescent="0.2">
      <c r="A726" t="s">
        <v>4185</v>
      </c>
      <c r="E726" t="str">
        <f>HYPERLINK("http://nlpdeep.cs.uic.edu:8080/proofing/t5/4309-labs-imaging-3-7.pdf","t5/4309-labs-imaging-3-7.pdf")</f>
        <v>t5/4309-labs-imaging-3-7.pdf</v>
      </c>
      <c r="F726">
        <v>109181</v>
      </c>
      <c r="G726">
        <v>4309</v>
      </c>
      <c r="H726" t="s">
        <v>745</v>
      </c>
      <c r="I726" t="s">
        <v>147</v>
      </c>
      <c r="J726" t="s">
        <v>4186</v>
      </c>
    </row>
    <row r="727" spans="1:10" x14ac:dyDescent="0.2">
      <c r="A727" t="s">
        <v>4185</v>
      </c>
      <c r="E727" t="str">
        <f>HYPERLINK("http://nlpdeep.cs.uic.edu:8080/proofing/gsii/4309-labs-imaging-3-7.pdf","gsii/4309-labs-imaging-3-7.pdf")</f>
        <v>gsii/4309-labs-imaging-3-7.pdf</v>
      </c>
      <c r="F727">
        <v>109181</v>
      </c>
      <c r="G727">
        <v>4309</v>
      </c>
      <c r="H727" t="s">
        <v>745</v>
      </c>
      <c r="I727" t="s">
        <v>147</v>
      </c>
      <c r="J727" t="s">
        <v>4186</v>
      </c>
    </row>
    <row r="728" spans="1:10" x14ac:dyDescent="0.2">
      <c r="A728" t="s">
        <v>4187</v>
      </c>
      <c r="E728" t="str">
        <f>HYPERLINK("http://nlpdeep.cs.uic.edu:8080/proofing/t5/4309-labs-imaging-3-8.pdf","t5/4309-labs-imaging-3-8.pdf")</f>
        <v>t5/4309-labs-imaging-3-8.pdf</v>
      </c>
      <c r="F728">
        <v>109181</v>
      </c>
      <c r="G728">
        <v>4309</v>
      </c>
      <c r="H728" t="s">
        <v>745</v>
      </c>
      <c r="I728" t="s">
        <v>147</v>
      </c>
      <c r="J728" t="s">
        <v>4188</v>
      </c>
    </row>
    <row r="729" spans="1:10" x14ac:dyDescent="0.2">
      <c r="A729" t="s">
        <v>4187</v>
      </c>
      <c r="E729" t="str">
        <f>HYPERLINK("http://nlpdeep.cs.uic.edu:8080/proofing/gsii/4309-labs-imaging-3-8.pdf","gsii/4309-labs-imaging-3-8.pdf")</f>
        <v>gsii/4309-labs-imaging-3-8.pdf</v>
      </c>
      <c r="F729">
        <v>109181</v>
      </c>
      <c r="G729">
        <v>4309</v>
      </c>
      <c r="H729" t="s">
        <v>745</v>
      </c>
      <c r="I729" t="s">
        <v>147</v>
      </c>
      <c r="J729" t="s">
        <v>4188</v>
      </c>
    </row>
    <row r="730" spans="1:10" x14ac:dyDescent="0.2">
      <c r="A730" t="s">
        <v>4189</v>
      </c>
      <c r="E730" t="str">
        <f>HYPERLINK("http://nlpdeep.cs.uic.edu:8080/proofing/t5/4309-labs-imaging-4-0.pdf","t5/4309-labs-imaging-4-0.pdf")</f>
        <v>t5/4309-labs-imaging-4-0.pdf</v>
      </c>
      <c r="F730">
        <v>109181</v>
      </c>
      <c r="G730">
        <v>4309</v>
      </c>
      <c r="H730" t="s">
        <v>745</v>
      </c>
      <c r="I730" t="s">
        <v>147</v>
      </c>
      <c r="J730" t="s">
        <v>4190</v>
      </c>
    </row>
    <row r="731" spans="1:10" x14ac:dyDescent="0.2">
      <c r="A731" t="s">
        <v>4189</v>
      </c>
      <c r="E731" t="str">
        <f>HYPERLINK("http://nlpdeep.cs.uic.edu:8080/proofing/gsii/4309-labs-imaging-4-0.pdf","gsii/4309-labs-imaging-4-0.pdf")</f>
        <v>gsii/4309-labs-imaging-4-0.pdf</v>
      </c>
      <c r="F731">
        <v>109181</v>
      </c>
      <c r="G731">
        <v>4309</v>
      </c>
      <c r="H731" t="s">
        <v>745</v>
      </c>
      <c r="I731" t="s">
        <v>147</v>
      </c>
      <c r="J731" t="s">
        <v>4190</v>
      </c>
    </row>
    <row r="732" spans="1:10" x14ac:dyDescent="0.2">
      <c r="A732" t="s">
        <v>4191</v>
      </c>
      <c r="E732" t="str">
        <f>HYPERLINK("http://nlpdeep.cs.uic.edu:8080/proofing/t5/4309-labs-imaging-4-1.pdf","t5/4309-labs-imaging-4-1.pdf")</f>
        <v>t5/4309-labs-imaging-4-1.pdf</v>
      </c>
      <c r="F732">
        <v>109181</v>
      </c>
      <c r="G732">
        <v>4309</v>
      </c>
      <c r="H732" t="s">
        <v>745</v>
      </c>
      <c r="I732" t="s">
        <v>147</v>
      </c>
      <c r="J732" t="s">
        <v>4192</v>
      </c>
    </row>
    <row r="733" spans="1:10" x14ac:dyDescent="0.2">
      <c r="A733" t="s">
        <v>4191</v>
      </c>
      <c r="E733" t="str">
        <f>HYPERLINK("http://nlpdeep.cs.uic.edu:8080/proofing/gsii/4309-labs-imaging-4-1.pdf","gsii/4309-labs-imaging-4-1.pdf")</f>
        <v>gsii/4309-labs-imaging-4-1.pdf</v>
      </c>
      <c r="F733">
        <v>109181</v>
      </c>
      <c r="G733">
        <v>4309</v>
      </c>
      <c r="H733" t="s">
        <v>745</v>
      </c>
      <c r="I733" t="s">
        <v>147</v>
      </c>
      <c r="J733" t="s">
        <v>4192</v>
      </c>
    </row>
    <row r="734" spans="1:10" x14ac:dyDescent="0.2">
      <c r="A734" t="s">
        <v>4193</v>
      </c>
      <c r="E734" t="str">
        <f>HYPERLINK("http://nlpdeep.cs.uic.edu:8080/proofing/t5/4309-labs-imaging-4-2.pdf","t5/4309-labs-imaging-4-2.pdf")</f>
        <v>t5/4309-labs-imaging-4-2.pdf</v>
      </c>
      <c r="F734">
        <v>109181</v>
      </c>
      <c r="G734">
        <v>4309</v>
      </c>
      <c r="H734" t="s">
        <v>745</v>
      </c>
      <c r="I734" t="s">
        <v>147</v>
      </c>
      <c r="J734" t="s">
        <v>4194</v>
      </c>
    </row>
    <row r="735" spans="1:10" x14ac:dyDescent="0.2">
      <c r="A735" t="s">
        <v>4193</v>
      </c>
      <c r="E735" t="str">
        <f>HYPERLINK("http://nlpdeep.cs.uic.edu:8080/proofing/gsii/4309-labs-imaging-4-2.pdf","gsii/4309-labs-imaging-4-2.pdf")</f>
        <v>gsii/4309-labs-imaging-4-2.pdf</v>
      </c>
      <c r="F735">
        <v>109181</v>
      </c>
      <c r="G735">
        <v>4309</v>
      </c>
      <c r="H735" t="s">
        <v>745</v>
      </c>
      <c r="I735" t="s">
        <v>147</v>
      </c>
      <c r="J735" t="s">
        <v>4194</v>
      </c>
    </row>
    <row r="736" spans="1:10" x14ac:dyDescent="0.2">
      <c r="A736" t="s">
        <v>4195</v>
      </c>
      <c r="E736" t="str">
        <f>HYPERLINK("http://nlpdeep.cs.uic.edu:8080/proofing/t5/4309-labs-imaging-4-3.pdf","t5/4309-labs-imaging-4-3.pdf")</f>
        <v>t5/4309-labs-imaging-4-3.pdf</v>
      </c>
      <c r="F736">
        <v>109181</v>
      </c>
      <c r="G736">
        <v>4309</v>
      </c>
      <c r="H736" t="s">
        <v>745</v>
      </c>
      <c r="I736" t="s">
        <v>147</v>
      </c>
      <c r="J736" t="s">
        <v>4196</v>
      </c>
    </row>
    <row r="737" spans="1:10" x14ac:dyDescent="0.2">
      <c r="A737" t="s">
        <v>4195</v>
      </c>
      <c r="E737" t="str">
        <f>HYPERLINK("http://nlpdeep.cs.uic.edu:8080/proofing/gsii/4309-labs-imaging-4-3.pdf","gsii/4309-labs-imaging-4-3.pdf")</f>
        <v>gsii/4309-labs-imaging-4-3.pdf</v>
      </c>
      <c r="F737">
        <v>109181</v>
      </c>
      <c r="G737">
        <v>4309</v>
      </c>
      <c r="H737" t="s">
        <v>745</v>
      </c>
      <c r="I737" t="s">
        <v>147</v>
      </c>
      <c r="J737" t="s">
        <v>4196</v>
      </c>
    </row>
    <row r="738" spans="1:10" x14ac:dyDescent="0.2">
      <c r="A738" t="s">
        <v>4197</v>
      </c>
      <c r="E738" t="str">
        <f>HYPERLINK("http://nlpdeep.cs.uic.edu:8080/proofing/t5/4309-labs-imaging-4-4.pdf","t5/4309-labs-imaging-4-4.pdf")</f>
        <v>t5/4309-labs-imaging-4-4.pdf</v>
      </c>
      <c r="F738">
        <v>109181</v>
      </c>
      <c r="G738">
        <v>4309</v>
      </c>
      <c r="H738" t="s">
        <v>745</v>
      </c>
      <c r="I738" t="s">
        <v>147</v>
      </c>
      <c r="J738" t="s">
        <v>4198</v>
      </c>
    </row>
    <row r="739" spans="1:10" x14ac:dyDescent="0.2">
      <c r="A739" t="s">
        <v>4197</v>
      </c>
      <c r="E739" t="str">
        <f>HYPERLINK("http://nlpdeep.cs.uic.edu:8080/proofing/gsii/4309-labs-imaging-4-4.pdf","gsii/4309-labs-imaging-4-4.pdf")</f>
        <v>gsii/4309-labs-imaging-4-4.pdf</v>
      </c>
      <c r="F739">
        <v>109181</v>
      </c>
      <c r="G739">
        <v>4309</v>
      </c>
      <c r="H739" t="s">
        <v>745</v>
      </c>
      <c r="I739" t="s">
        <v>147</v>
      </c>
      <c r="J739" t="s">
        <v>4198</v>
      </c>
    </row>
    <row r="740" spans="1:10" x14ac:dyDescent="0.2">
      <c r="A740" t="s">
        <v>4199</v>
      </c>
      <c r="E740" t="str">
        <f>HYPERLINK("http://nlpdeep.cs.uic.edu:8080/proofing/t5/4309-labs-imaging-4-5.pdf","t5/4309-labs-imaging-4-5.pdf")</f>
        <v>t5/4309-labs-imaging-4-5.pdf</v>
      </c>
      <c r="F740">
        <v>109181</v>
      </c>
      <c r="G740">
        <v>4309</v>
      </c>
      <c r="H740" t="s">
        <v>745</v>
      </c>
      <c r="I740" t="s">
        <v>147</v>
      </c>
      <c r="J740" t="s">
        <v>4200</v>
      </c>
    </row>
    <row r="741" spans="1:10" x14ac:dyDescent="0.2">
      <c r="A741" t="s">
        <v>4199</v>
      </c>
      <c r="E741" t="str">
        <f>HYPERLINK("http://nlpdeep.cs.uic.edu:8080/proofing/gsii/4309-labs-imaging-4-5.pdf","gsii/4309-labs-imaging-4-5.pdf")</f>
        <v>gsii/4309-labs-imaging-4-5.pdf</v>
      </c>
      <c r="F741">
        <v>109181</v>
      </c>
      <c r="G741">
        <v>4309</v>
      </c>
      <c r="H741" t="s">
        <v>745</v>
      </c>
      <c r="I741" t="s">
        <v>147</v>
      </c>
      <c r="J741" t="s">
        <v>4200</v>
      </c>
    </row>
    <row r="742" spans="1:10" x14ac:dyDescent="0.2">
      <c r="A742" t="s">
        <v>4201</v>
      </c>
      <c r="E742" t="str">
        <f>HYPERLINK("http://nlpdeep.cs.uic.edu:8080/proofing/t5/4309-labs-imaging-4-6.pdf","t5/4309-labs-imaging-4-6.pdf")</f>
        <v>t5/4309-labs-imaging-4-6.pdf</v>
      </c>
      <c r="F742">
        <v>109181</v>
      </c>
      <c r="G742">
        <v>4309</v>
      </c>
      <c r="H742" t="s">
        <v>745</v>
      </c>
      <c r="I742" t="s">
        <v>147</v>
      </c>
      <c r="J742" t="s">
        <v>4202</v>
      </c>
    </row>
    <row r="743" spans="1:10" x14ac:dyDescent="0.2">
      <c r="A743" t="s">
        <v>4201</v>
      </c>
      <c r="E743" t="str">
        <f>HYPERLINK("http://nlpdeep.cs.uic.edu:8080/proofing/gsii/4309-labs-imaging-4-6.pdf","gsii/4309-labs-imaging-4-6.pdf")</f>
        <v>gsii/4309-labs-imaging-4-6.pdf</v>
      </c>
      <c r="F743">
        <v>109181</v>
      </c>
      <c r="G743">
        <v>4309</v>
      </c>
      <c r="H743" t="s">
        <v>745</v>
      </c>
      <c r="I743" t="s">
        <v>147</v>
      </c>
      <c r="J743" t="s">
        <v>4202</v>
      </c>
    </row>
    <row r="744" spans="1:10" x14ac:dyDescent="0.2">
      <c r="A744" t="s">
        <v>4203</v>
      </c>
      <c r="E744" t="str">
        <f>HYPERLINK("http://nlpdeep.cs.uic.edu:8080/proofing/t5/4309-labs-imaging-4-7.pdf","t5/4309-labs-imaging-4-7.pdf")</f>
        <v>t5/4309-labs-imaging-4-7.pdf</v>
      </c>
      <c r="F744">
        <v>109181</v>
      </c>
      <c r="G744">
        <v>4309</v>
      </c>
      <c r="H744" t="s">
        <v>745</v>
      </c>
      <c r="I744" t="s">
        <v>147</v>
      </c>
      <c r="J744" t="s">
        <v>4204</v>
      </c>
    </row>
    <row r="745" spans="1:10" x14ac:dyDescent="0.2">
      <c r="A745" t="s">
        <v>4203</v>
      </c>
      <c r="E745" t="str">
        <f>HYPERLINK("http://nlpdeep.cs.uic.edu:8080/proofing/gsii/4309-labs-imaging-4-7.pdf","gsii/4309-labs-imaging-4-7.pdf")</f>
        <v>gsii/4309-labs-imaging-4-7.pdf</v>
      </c>
      <c r="F745">
        <v>109181</v>
      </c>
      <c r="G745">
        <v>4309</v>
      </c>
      <c r="H745" t="s">
        <v>745</v>
      </c>
      <c r="I745" t="s">
        <v>147</v>
      </c>
      <c r="J745" t="s">
        <v>4204</v>
      </c>
    </row>
    <row r="746" spans="1:10" x14ac:dyDescent="0.2">
      <c r="A746" t="s">
        <v>4205</v>
      </c>
      <c r="E746" t="str">
        <f>HYPERLINK("http://nlpdeep.cs.uic.edu:8080/proofing/t5/4309-labs-imaging-4-8.pdf","t5/4309-labs-imaging-4-8.pdf")</f>
        <v>t5/4309-labs-imaging-4-8.pdf</v>
      </c>
      <c r="F746">
        <v>109181</v>
      </c>
      <c r="G746">
        <v>4309</v>
      </c>
      <c r="H746" t="s">
        <v>745</v>
      </c>
      <c r="I746" t="s">
        <v>147</v>
      </c>
      <c r="J746" t="s">
        <v>4206</v>
      </c>
    </row>
    <row r="747" spans="1:10" x14ac:dyDescent="0.2">
      <c r="A747" t="s">
        <v>4205</v>
      </c>
      <c r="E747" t="str">
        <f>HYPERLINK("http://nlpdeep.cs.uic.edu:8080/proofing/gsii/4309-labs-imaging-4-8.pdf","gsii/4309-labs-imaging-4-8.pdf")</f>
        <v>gsii/4309-labs-imaging-4-8.pdf</v>
      </c>
      <c r="F747">
        <v>109181</v>
      </c>
      <c r="G747">
        <v>4309</v>
      </c>
      <c r="H747" t="s">
        <v>745</v>
      </c>
      <c r="I747" t="s">
        <v>147</v>
      </c>
      <c r="J747" t="s">
        <v>4206</v>
      </c>
    </row>
    <row r="748" spans="1:10" x14ac:dyDescent="0.2">
      <c r="A748" t="s">
        <v>4207</v>
      </c>
      <c r="E748" t="str">
        <f>HYPERLINK("http://nlpdeep.cs.uic.edu:8080/proofing/t5/4309-labs-imaging-4-9.pdf","t5/4309-labs-imaging-4-9.pdf")</f>
        <v>t5/4309-labs-imaging-4-9.pdf</v>
      </c>
      <c r="F748">
        <v>109181</v>
      </c>
      <c r="G748">
        <v>4309</v>
      </c>
      <c r="H748" t="s">
        <v>745</v>
      </c>
      <c r="I748" t="s">
        <v>147</v>
      </c>
      <c r="J748" t="s">
        <v>4208</v>
      </c>
    </row>
    <row r="749" spans="1:10" x14ac:dyDescent="0.2">
      <c r="A749" t="s">
        <v>4207</v>
      </c>
      <c r="E749" t="str">
        <f>HYPERLINK("http://nlpdeep.cs.uic.edu:8080/proofing/gsii/4309-labs-imaging-4-9.pdf","gsii/4309-labs-imaging-4-9.pdf")</f>
        <v>gsii/4309-labs-imaging-4-9.pdf</v>
      </c>
      <c r="F749">
        <v>109181</v>
      </c>
      <c r="G749">
        <v>4309</v>
      </c>
      <c r="H749" t="s">
        <v>745</v>
      </c>
      <c r="I749" t="s">
        <v>147</v>
      </c>
      <c r="J749" t="s">
        <v>4208</v>
      </c>
    </row>
    <row r="750" spans="1:10" x14ac:dyDescent="0.2">
      <c r="A750" t="s">
        <v>4209</v>
      </c>
      <c r="E750" t="str">
        <f>HYPERLINK("http://nlpdeep.cs.uic.edu:8080/proofing/t5/4309-labs-imaging-4-10.pdf","t5/4309-labs-imaging-4-10.pdf")</f>
        <v>t5/4309-labs-imaging-4-10.pdf</v>
      </c>
      <c r="F750">
        <v>109181</v>
      </c>
      <c r="G750">
        <v>4309</v>
      </c>
      <c r="H750" t="s">
        <v>745</v>
      </c>
      <c r="I750" t="s">
        <v>147</v>
      </c>
      <c r="J750" t="s">
        <v>4210</v>
      </c>
    </row>
    <row r="751" spans="1:10" x14ac:dyDescent="0.2">
      <c r="A751" t="s">
        <v>4209</v>
      </c>
      <c r="E751" t="str">
        <f>HYPERLINK("http://nlpdeep.cs.uic.edu:8080/proofing/gsii/4309-labs-imaging-4-10.pdf","gsii/4309-labs-imaging-4-10.pdf")</f>
        <v>gsii/4309-labs-imaging-4-10.pdf</v>
      </c>
      <c r="F751">
        <v>109181</v>
      </c>
      <c r="G751">
        <v>4309</v>
      </c>
      <c r="H751" t="s">
        <v>745</v>
      </c>
      <c r="I751" t="s">
        <v>147</v>
      </c>
      <c r="J751" t="s">
        <v>4210</v>
      </c>
    </row>
    <row r="752" spans="1:10" x14ac:dyDescent="0.2">
      <c r="A752" t="s">
        <v>4211</v>
      </c>
      <c r="E752" t="str">
        <f>HYPERLINK("http://nlpdeep.cs.uic.edu:8080/proofing/t5/4309-labs-imaging-4-11.pdf","t5/4309-labs-imaging-4-11.pdf")</f>
        <v>t5/4309-labs-imaging-4-11.pdf</v>
      </c>
      <c r="F752">
        <v>109181</v>
      </c>
      <c r="G752">
        <v>4309</v>
      </c>
      <c r="H752" t="s">
        <v>745</v>
      </c>
      <c r="I752" t="s">
        <v>147</v>
      </c>
      <c r="J752" t="s">
        <v>4212</v>
      </c>
    </row>
    <row r="753" spans="1:10" x14ac:dyDescent="0.2">
      <c r="A753" t="s">
        <v>4211</v>
      </c>
      <c r="E753" t="str">
        <f>HYPERLINK("http://nlpdeep.cs.uic.edu:8080/proofing/gsii/4309-labs-imaging-4-11.pdf","gsii/4309-labs-imaging-4-11.pdf")</f>
        <v>gsii/4309-labs-imaging-4-11.pdf</v>
      </c>
      <c r="F753">
        <v>109181</v>
      </c>
      <c r="G753">
        <v>4309</v>
      </c>
      <c r="H753" t="s">
        <v>745</v>
      </c>
      <c r="I753" t="s">
        <v>147</v>
      </c>
      <c r="J753" t="s">
        <v>4212</v>
      </c>
    </row>
    <row r="754" spans="1:10" x14ac:dyDescent="0.2">
      <c r="A754" t="s">
        <v>4213</v>
      </c>
      <c r="E754" t="str">
        <f>HYPERLINK("http://nlpdeep.cs.uic.edu:8080/proofing/t5/4309-labs-imaging-4-12.pdf","t5/4309-labs-imaging-4-12.pdf")</f>
        <v>t5/4309-labs-imaging-4-12.pdf</v>
      </c>
      <c r="F754">
        <v>109181</v>
      </c>
      <c r="G754">
        <v>4309</v>
      </c>
      <c r="H754" t="s">
        <v>745</v>
      </c>
      <c r="I754" t="s">
        <v>147</v>
      </c>
      <c r="J754" t="s">
        <v>4214</v>
      </c>
    </row>
    <row r="755" spans="1:10" x14ac:dyDescent="0.2">
      <c r="A755" t="s">
        <v>4213</v>
      </c>
      <c r="E755" t="str">
        <f>HYPERLINK("http://nlpdeep.cs.uic.edu:8080/proofing/gsii/4309-labs-imaging-4-12.pdf","gsii/4309-labs-imaging-4-12.pdf")</f>
        <v>gsii/4309-labs-imaging-4-12.pdf</v>
      </c>
      <c r="F755">
        <v>109181</v>
      </c>
      <c r="G755">
        <v>4309</v>
      </c>
      <c r="H755" t="s">
        <v>745</v>
      </c>
      <c r="I755" t="s">
        <v>147</v>
      </c>
      <c r="J755" t="s">
        <v>4214</v>
      </c>
    </row>
    <row r="756" spans="1:10" x14ac:dyDescent="0.2">
      <c r="A756" t="s">
        <v>4215</v>
      </c>
      <c r="E756" t="str">
        <f>HYPERLINK("http://nlpdeep.cs.uic.edu:8080/proofing/t5/4309-labs-imaging-4-13.pdf","t5/4309-labs-imaging-4-13.pdf")</f>
        <v>t5/4309-labs-imaging-4-13.pdf</v>
      </c>
      <c r="F756">
        <v>109181</v>
      </c>
      <c r="G756">
        <v>4309</v>
      </c>
      <c r="H756" t="s">
        <v>745</v>
      </c>
      <c r="I756" t="s">
        <v>147</v>
      </c>
      <c r="J756" t="s">
        <v>4216</v>
      </c>
    </row>
    <row r="757" spans="1:10" x14ac:dyDescent="0.2">
      <c r="A757" t="s">
        <v>4215</v>
      </c>
      <c r="E757" t="str">
        <f>HYPERLINK("http://nlpdeep.cs.uic.edu:8080/proofing/gsii/4309-labs-imaging-4-13.pdf","gsii/4309-labs-imaging-4-13.pdf")</f>
        <v>gsii/4309-labs-imaging-4-13.pdf</v>
      </c>
      <c r="F757">
        <v>109181</v>
      </c>
      <c r="G757">
        <v>4309</v>
      </c>
      <c r="H757" t="s">
        <v>745</v>
      </c>
      <c r="I757" t="s">
        <v>147</v>
      </c>
      <c r="J757" t="s">
        <v>4216</v>
      </c>
    </row>
    <row r="758" spans="1:10" x14ac:dyDescent="0.2">
      <c r="A758" t="s">
        <v>4217</v>
      </c>
      <c r="E758" t="str">
        <f>HYPERLINK("http://nlpdeep.cs.uic.edu:8080/proofing/t5/4309-labs-imaging-4-14.pdf","t5/4309-labs-imaging-4-14.pdf")</f>
        <v>t5/4309-labs-imaging-4-14.pdf</v>
      </c>
      <c r="F758">
        <v>109181</v>
      </c>
      <c r="G758">
        <v>4309</v>
      </c>
      <c r="H758" t="s">
        <v>745</v>
      </c>
      <c r="I758" t="s">
        <v>147</v>
      </c>
      <c r="J758" t="s">
        <v>4218</v>
      </c>
    </row>
    <row r="759" spans="1:10" x14ac:dyDescent="0.2">
      <c r="A759" t="s">
        <v>4217</v>
      </c>
      <c r="E759" t="str">
        <f>HYPERLINK("http://nlpdeep.cs.uic.edu:8080/proofing/gsii/4309-labs-imaging-4-14.pdf","gsii/4309-labs-imaging-4-14.pdf")</f>
        <v>gsii/4309-labs-imaging-4-14.pdf</v>
      </c>
      <c r="F759">
        <v>109181</v>
      </c>
      <c r="G759">
        <v>4309</v>
      </c>
      <c r="H759" t="s">
        <v>745</v>
      </c>
      <c r="I759" t="s">
        <v>147</v>
      </c>
      <c r="J759" t="s">
        <v>4218</v>
      </c>
    </row>
    <row r="760" spans="1:10" x14ac:dyDescent="0.2">
      <c r="A760" t="s">
        <v>4219</v>
      </c>
      <c r="E760" t="str">
        <f>HYPERLINK("http://nlpdeep.cs.uic.edu:8080/proofing/t5/4309-labs-imaging-4-15.pdf","t5/4309-labs-imaging-4-15.pdf")</f>
        <v>t5/4309-labs-imaging-4-15.pdf</v>
      </c>
      <c r="F760">
        <v>109181</v>
      </c>
      <c r="G760">
        <v>4309</v>
      </c>
      <c r="H760" t="s">
        <v>745</v>
      </c>
      <c r="I760" t="s">
        <v>147</v>
      </c>
      <c r="J760" t="s">
        <v>4220</v>
      </c>
    </row>
    <row r="761" spans="1:10" x14ac:dyDescent="0.2">
      <c r="A761" t="s">
        <v>4219</v>
      </c>
      <c r="E761" t="str">
        <f>HYPERLINK("http://nlpdeep.cs.uic.edu:8080/proofing/gsii/4309-labs-imaging-4-15.pdf","gsii/4309-labs-imaging-4-15.pdf")</f>
        <v>gsii/4309-labs-imaging-4-15.pdf</v>
      </c>
      <c r="F761">
        <v>109181</v>
      </c>
      <c r="G761">
        <v>4309</v>
      </c>
      <c r="H761" t="s">
        <v>745</v>
      </c>
      <c r="I761" t="s">
        <v>147</v>
      </c>
      <c r="J761" t="s">
        <v>4220</v>
      </c>
    </row>
    <row r="762" spans="1:10" x14ac:dyDescent="0.2">
      <c r="A762" t="s">
        <v>4221</v>
      </c>
      <c r="E762" t="str">
        <f>HYPERLINK("http://nlpdeep.cs.uic.edu:8080/proofing/t5/4309-labs-imaging-4-16.pdf","t5/4309-labs-imaging-4-16.pdf")</f>
        <v>t5/4309-labs-imaging-4-16.pdf</v>
      </c>
      <c r="F762">
        <v>109181</v>
      </c>
      <c r="G762">
        <v>4309</v>
      </c>
      <c r="H762" t="s">
        <v>745</v>
      </c>
      <c r="I762" t="s">
        <v>147</v>
      </c>
      <c r="J762" t="s">
        <v>4222</v>
      </c>
    </row>
    <row r="763" spans="1:10" x14ac:dyDescent="0.2">
      <c r="A763" t="s">
        <v>4221</v>
      </c>
      <c r="E763" t="str">
        <f>HYPERLINK("http://nlpdeep.cs.uic.edu:8080/proofing/gsii/4309-labs-imaging-4-16.pdf","gsii/4309-labs-imaging-4-16.pdf")</f>
        <v>gsii/4309-labs-imaging-4-16.pdf</v>
      </c>
      <c r="F763">
        <v>109181</v>
      </c>
      <c r="G763">
        <v>4309</v>
      </c>
      <c r="H763" t="s">
        <v>745</v>
      </c>
      <c r="I763" t="s">
        <v>147</v>
      </c>
      <c r="J763" t="s">
        <v>4222</v>
      </c>
    </row>
    <row r="764" spans="1:10" x14ac:dyDescent="0.2">
      <c r="A764" t="s">
        <v>4223</v>
      </c>
      <c r="E764" t="str">
        <f>HYPERLINK("http://nlpdeep.cs.uic.edu:8080/proofing/t5/4309-labs-imaging-4-17.pdf","t5/4309-labs-imaging-4-17.pdf")</f>
        <v>t5/4309-labs-imaging-4-17.pdf</v>
      </c>
      <c r="F764">
        <v>109181</v>
      </c>
      <c r="G764">
        <v>4309</v>
      </c>
      <c r="H764" t="s">
        <v>745</v>
      </c>
      <c r="I764" t="s">
        <v>147</v>
      </c>
      <c r="J764" t="s">
        <v>4224</v>
      </c>
    </row>
    <row r="765" spans="1:10" x14ac:dyDescent="0.2">
      <c r="A765" t="s">
        <v>4223</v>
      </c>
      <c r="E765" t="str">
        <f>HYPERLINK("http://nlpdeep.cs.uic.edu:8080/proofing/gsii/4309-labs-imaging-4-17.pdf","gsii/4309-labs-imaging-4-17.pdf")</f>
        <v>gsii/4309-labs-imaging-4-17.pdf</v>
      </c>
      <c r="F765">
        <v>109181</v>
      </c>
      <c r="G765">
        <v>4309</v>
      </c>
      <c r="H765" t="s">
        <v>745</v>
      </c>
      <c r="I765" t="s">
        <v>147</v>
      </c>
      <c r="J765" t="s">
        <v>4224</v>
      </c>
    </row>
    <row r="766" spans="1:10" x14ac:dyDescent="0.2">
      <c r="A766" t="s">
        <v>4225</v>
      </c>
      <c r="E766" t="str">
        <f>HYPERLINK("http://nlpdeep.cs.uic.edu:8080/proofing/t5/4309-labs-imaging-5-0.pdf","t5/4309-labs-imaging-5-0.pdf")</f>
        <v>t5/4309-labs-imaging-5-0.pdf</v>
      </c>
      <c r="F766">
        <v>109181</v>
      </c>
      <c r="G766">
        <v>4309</v>
      </c>
      <c r="H766" t="s">
        <v>745</v>
      </c>
      <c r="I766" t="s">
        <v>147</v>
      </c>
      <c r="J766" t="s">
        <v>4226</v>
      </c>
    </row>
    <row r="767" spans="1:10" x14ac:dyDescent="0.2">
      <c r="A767" t="s">
        <v>4225</v>
      </c>
      <c r="E767" t="str">
        <f>HYPERLINK("http://nlpdeep.cs.uic.edu:8080/proofing/gsii/4309-labs-imaging-5-0.pdf","gsii/4309-labs-imaging-5-0.pdf")</f>
        <v>gsii/4309-labs-imaging-5-0.pdf</v>
      </c>
      <c r="F767">
        <v>109181</v>
      </c>
      <c r="G767">
        <v>4309</v>
      </c>
      <c r="H767" t="s">
        <v>745</v>
      </c>
      <c r="I767" t="s">
        <v>147</v>
      </c>
      <c r="J767" t="s">
        <v>4226</v>
      </c>
    </row>
    <row r="768" spans="1:10" x14ac:dyDescent="0.2">
      <c r="A768" t="s">
        <v>4227</v>
      </c>
      <c r="E768" t="str">
        <f>HYPERLINK("http://nlpdeep.cs.uic.edu:8080/proofing/t5/4309-labs-imaging-5-1.pdf","t5/4309-labs-imaging-5-1.pdf")</f>
        <v>t5/4309-labs-imaging-5-1.pdf</v>
      </c>
      <c r="F768">
        <v>109181</v>
      </c>
      <c r="G768">
        <v>4309</v>
      </c>
      <c r="H768" t="s">
        <v>745</v>
      </c>
      <c r="I768" t="s">
        <v>147</v>
      </c>
      <c r="J768" t="s">
        <v>4228</v>
      </c>
    </row>
    <row r="769" spans="1:10" x14ac:dyDescent="0.2">
      <c r="A769" t="s">
        <v>4227</v>
      </c>
      <c r="E769" t="str">
        <f>HYPERLINK("http://nlpdeep.cs.uic.edu:8080/proofing/gsii/4309-labs-imaging-5-1.pdf","gsii/4309-labs-imaging-5-1.pdf")</f>
        <v>gsii/4309-labs-imaging-5-1.pdf</v>
      </c>
      <c r="F769">
        <v>109181</v>
      </c>
      <c r="G769">
        <v>4309</v>
      </c>
      <c r="H769" t="s">
        <v>745</v>
      </c>
      <c r="I769" t="s">
        <v>147</v>
      </c>
      <c r="J769" t="s">
        <v>4228</v>
      </c>
    </row>
    <row r="770" spans="1:10" x14ac:dyDescent="0.2">
      <c r="A770" t="s">
        <v>4229</v>
      </c>
      <c r="E770" t="str">
        <f>HYPERLINK("http://nlpdeep.cs.uic.edu:8080/proofing/t5/4309-labs-imaging-5-2.pdf","t5/4309-labs-imaging-5-2.pdf")</f>
        <v>t5/4309-labs-imaging-5-2.pdf</v>
      </c>
      <c r="F770">
        <v>109181</v>
      </c>
      <c r="G770">
        <v>4309</v>
      </c>
      <c r="H770" t="s">
        <v>745</v>
      </c>
      <c r="I770" t="s">
        <v>147</v>
      </c>
      <c r="J770" t="s">
        <v>4230</v>
      </c>
    </row>
    <row r="771" spans="1:10" x14ac:dyDescent="0.2">
      <c r="A771" t="s">
        <v>4229</v>
      </c>
      <c r="E771" t="str">
        <f>HYPERLINK("http://nlpdeep.cs.uic.edu:8080/proofing/gsii/4309-labs-imaging-5-2.pdf","gsii/4309-labs-imaging-5-2.pdf")</f>
        <v>gsii/4309-labs-imaging-5-2.pdf</v>
      </c>
      <c r="F771">
        <v>109181</v>
      </c>
      <c r="G771">
        <v>4309</v>
      </c>
      <c r="H771" t="s">
        <v>745</v>
      </c>
      <c r="I771" t="s">
        <v>147</v>
      </c>
      <c r="J771" t="s">
        <v>4230</v>
      </c>
    </row>
    <row r="772" spans="1:10" x14ac:dyDescent="0.2">
      <c r="A772" t="s">
        <v>4231</v>
      </c>
      <c r="E772" t="str">
        <f>HYPERLINK("http://nlpdeep.cs.uic.edu:8080/proofing/t5/4309-labs-imaging-5-3.pdf","t5/4309-labs-imaging-5-3.pdf")</f>
        <v>t5/4309-labs-imaging-5-3.pdf</v>
      </c>
      <c r="F772">
        <v>109181</v>
      </c>
      <c r="G772">
        <v>4309</v>
      </c>
      <c r="H772" t="s">
        <v>745</v>
      </c>
      <c r="I772" t="s">
        <v>147</v>
      </c>
      <c r="J772" t="s">
        <v>4232</v>
      </c>
    </row>
    <row r="773" spans="1:10" x14ac:dyDescent="0.2">
      <c r="A773" t="s">
        <v>4231</v>
      </c>
      <c r="E773" t="str">
        <f>HYPERLINK("http://nlpdeep.cs.uic.edu:8080/proofing/gsii/4309-labs-imaging-5-3.pdf","gsii/4309-labs-imaging-5-3.pdf")</f>
        <v>gsii/4309-labs-imaging-5-3.pdf</v>
      </c>
      <c r="F773">
        <v>109181</v>
      </c>
      <c r="G773">
        <v>4309</v>
      </c>
      <c r="H773" t="s">
        <v>745</v>
      </c>
      <c r="I773" t="s">
        <v>147</v>
      </c>
      <c r="J773" t="s">
        <v>4232</v>
      </c>
    </row>
    <row r="774" spans="1:10" x14ac:dyDescent="0.2">
      <c r="A774" t="s">
        <v>4233</v>
      </c>
      <c r="E774" t="str">
        <f>HYPERLINK("http://nlpdeep.cs.uic.edu:8080/proofing/t5/4309-labs-imaging-5-4.pdf","t5/4309-labs-imaging-5-4.pdf")</f>
        <v>t5/4309-labs-imaging-5-4.pdf</v>
      </c>
      <c r="F774">
        <v>109181</v>
      </c>
      <c r="G774">
        <v>4309</v>
      </c>
      <c r="H774" t="s">
        <v>745</v>
      </c>
      <c r="I774" t="s">
        <v>147</v>
      </c>
      <c r="J774" t="s">
        <v>4234</v>
      </c>
    </row>
    <row r="775" spans="1:10" x14ac:dyDescent="0.2">
      <c r="A775" t="s">
        <v>4233</v>
      </c>
      <c r="E775" t="str">
        <f>HYPERLINK("http://nlpdeep.cs.uic.edu:8080/proofing/gsii/4309-labs-imaging-5-4.pdf","gsii/4309-labs-imaging-5-4.pdf")</f>
        <v>gsii/4309-labs-imaging-5-4.pdf</v>
      </c>
      <c r="F775">
        <v>109181</v>
      </c>
      <c r="G775">
        <v>4309</v>
      </c>
      <c r="H775" t="s">
        <v>745</v>
      </c>
      <c r="I775" t="s">
        <v>147</v>
      </c>
      <c r="J775" t="s">
        <v>4234</v>
      </c>
    </row>
    <row r="776" spans="1:10" x14ac:dyDescent="0.2">
      <c r="A776" t="s">
        <v>4235</v>
      </c>
      <c r="E776" t="str">
        <f>HYPERLINK("http://nlpdeep.cs.uic.edu:8080/proofing/t5/4309-labs-imaging-5-5.pdf","t5/4309-labs-imaging-5-5.pdf")</f>
        <v>t5/4309-labs-imaging-5-5.pdf</v>
      </c>
      <c r="F776">
        <v>109181</v>
      </c>
      <c r="G776">
        <v>4309</v>
      </c>
      <c r="H776" t="s">
        <v>745</v>
      </c>
      <c r="I776" t="s">
        <v>147</v>
      </c>
      <c r="J776" t="s">
        <v>4236</v>
      </c>
    </row>
    <row r="777" spans="1:10" x14ac:dyDescent="0.2">
      <c r="A777" t="s">
        <v>4235</v>
      </c>
      <c r="E777" t="str">
        <f>HYPERLINK("http://nlpdeep.cs.uic.edu:8080/proofing/gsii/4309-labs-imaging-5-5.pdf","gsii/4309-labs-imaging-5-5.pdf")</f>
        <v>gsii/4309-labs-imaging-5-5.pdf</v>
      </c>
      <c r="F777">
        <v>109181</v>
      </c>
      <c r="G777">
        <v>4309</v>
      </c>
      <c r="H777" t="s">
        <v>745</v>
      </c>
      <c r="I777" t="s">
        <v>147</v>
      </c>
      <c r="J777" t="s">
        <v>4236</v>
      </c>
    </row>
    <row r="778" spans="1:10" x14ac:dyDescent="0.2">
      <c r="A778" t="s">
        <v>4237</v>
      </c>
      <c r="E778" t="str">
        <f>HYPERLINK("http://nlpdeep.cs.uic.edu:8080/proofing/t5/4309-labs-imaging-5-6.pdf","t5/4309-labs-imaging-5-6.pdf")</f>
        <v>t5/4309-labs-imaging-5-6.pdf</v>
      </c>
      <c r="F778">
        <v>109181</v>
      </c>
      <c r="G778">
        <v>4309</v>
      </c>
      <c r="H778" t="s">
        <v>745</v>
      </c>
      <c r="I778" t="s">
        <v>147</v>
      </c>
      <c r="J778" t="s">
        <v>4238</v>
      </c>
    </row>
    <row r="779" spans="1:10" x14ac:dyDescent="0.2">
      <c r="A779" t="s">
        <v>4237</v>
      </c>
      <c r="E779" t="str">
        <f>HYPERLINK("http://nlpdeep.cs.uic.edu:8080/proofing/gsii/4309-labs-imaging-5-6.pdf","gsii/4309-labs-imaging-5-6.pdf")</f>
        <v>gsii/4309-labs-imaging-5-6.pdf</v>
      </c>
      <c r="F779">
        <v>109181</v>
      </c>
      <c r="G779">
        <v>4309</v>
      </c>
      <c r="H779" t="s">
        <v>745</v>
      </c>
      <c r="I779" t="s">
        <v>147</v>
      </c>
      <c r="J779" t="s">
        <v>4238</v>
      </c>
    </row>
    <row r="780" spans="1:10" x14ac:dyDescent="0.2">
      <c r="A780" t="s">
        <v>4239</v>
      </c>
      <c r="E780" t="str">
        <f>HYPERLINK("http://nlpdeep.cs.uic.edu:8080/proofing/t5/4309-labs-imaging-5-7.pdf","t5/4309-labs-imaging-5-7.pdf")</f>
        <v>t5/4309-labs-imaging-5-7.pdf</v>
      </c>
      <c r="F780">
        <v>109181</v>
      </c>
      <c r="G780">
        <v>4309</v>
      </c>
      <c r="H780" t="s">
        <v>745</v>
      </c>
      <c r="I780" t="s">
        <v>147</v>
      </c>
      <c r="J780" t="s">
        <v>4240</v>
      </c>
    </row>
    <row r="781" spans="1:10" x14ac:dyDescent="0.2">
      <c r="A781" t="s">
        <v>4239</v>
      </c>
      <c r="E781" t="str">
        <f>HYPERLINK("http://nlpdeep.cs.uic.edu:8080/proofing/gsii/4309-labs-imaging-5-7.pdf","gsii/4309-labs-imaging-5-7.pdf")</f>
        <v>gsii/4309-labs-imaging-5-7.pdf</v>
      </c>
      <c r="F781">
        <v>109181</v>
      </c>
      <c r="G781">
        <v>4309</v>
      </c>
      <c r="H781" t="s">
        <v>745</v>
      </c>
      <c r="I781" t="s">
        <v>147</v>
      </c>
      <c r="J781" t="s">
        <v>4240</v>
      </c>
    </row>
    <row r="782" spans="1:10" x14ac:dyDescent="0.2">
      <c r="A782" t="s">
        <v>4241</v>
      </c>
      <c r="E782" t="str">
        <f>HYPERLINK("http://nlpdeep.cs.uic.edu:8080/proofing/t5/4309-labs-imaging-5-8.pdf","t5/4309-labs-imaging-5-8.pdf")</f>
        <v>t5/4309-labs-imaging-5-8.pdf</v>
      </c>
      <c r="F782">
        <v>109181</v>
      </c>
      <c r="G782">
        <v>4309</v>
      </c>
      <c r="H782" t="s">
        <v>745</v>
      </c>
      <c r="I782" t="s">
        <v>147</v>
      </c>
      <c r="J782" t="s">
        <v>4242</v>
      </c>
    </row>
    <row r="783" spans="1:10" x14ac:dyDescent="0.2">
      <c r="A783" t="s">
        <v>4241</v>
      </c>
      <c r="E783" t="str">
        <f>HYPERLINK("http://nlpdeep.cs.uic.edu:8080/proofing/gsii/4309-labs-imaging-5-8.pdf","gsii/4309-labs-imaging-5-8.pdf")</f>
        <v>gsii/4309-labs-imaging-5-8.pdf</v>
      </c>
      <c r="F783">
        <v>109181</v>
      </c>
      <c r="G783">
        <v>4309</v>
      </c>
      <c r="H783" t="s">
        <v>745</v>
      </c>
      <c r="I783" t="s">
        <v>147</v>
      </c>
      <c r="J783" t="s">
        <v>4242</v>
      </c>
    </row>
    <row r="784" spans="1:10" x14ac:dyDescent="0.2">
      <c r="A784" t="s">
        <v>4243</v>
      </c>
      <c r="E784" t="str">
        <f>HYPERLINK("http://nlpdeep.cs.uic.edu:8080/proofing/t5/4309-labs-imaging-5-9.pdf","t5/4309-labs-imaging-5-9.pdf")</f>
        <v>t5/4309-labs-imaging-5-9.pdf</v>
      </c>
      <c r="F784">
        <v>109181</v>
      </c>
      <c r="G784">
        <v>4309</v>
      </c>
      <c r="H784" t="s">
        <v>745</v>
      </c>
      <c r="I784" t="s">
        <v>147</v>
      </c>
      <c r="J784" t="s">
        <v>4244</v>
      </c>
    </row>
    <row r="785" spans="1:10" x14ac:dyDescent="0.2">
      <c r="A785" t="s">
        <v>4243</v>
      </c>
      <c r="E785" t="str">
        <f>HYPERLINK("http://nlpdeep.cs.uic.edu:8080/proofing/gsii/4309-labs-imaging-5-9.pdf","gsii/4309-labs-imaging-5-9.pdf")</f>
        <v>gsii/4309-labs-imaging-5-9.pdf</v>
      </c>
      <c r="F785">
        <v>109181</v>
      </c>
      <c r="G785">
        <v>4309</v>
      </c>
      <c r="H785" t="s">
        <v>745</v>
      </c>
      <c r="I785" t="s">
        <v>147</v>
      </c>
      <c r="J785" t="s">
        <v>4244</v>
      </c>
    </row>
    <row r="786" spans="1:10" x14ac:dyDescent="0.2">
      <c r="A786" t="s">
        <v>4245</v>
      </c>
      <c r="E786" t="str">
        <f>HYPERLINK("http://nlpdeep.cs.uic.edu:8080/proofing/t5/4309-labs-imaging-5-10.pdf","t5/4309-labs-imaging-5-10.pdf")</f>
        <v>t5/4309-labs-imaging-5-10.pdf</v>
      </c>
      <c r="F786">
        <v>109181</v>
      </c>
      <c r="G786">
        <v>4309</v>
      </c>
      <c r="H786" t="s">
        <v>745</v>
      </c>
      <c r="I786" t="s">
        <v>147</v>
      </c>
      <c r="J786" t="s">
        <v>4246</v>
      </c>
    </row>
    <row r="787" spans="1:10" x14ac:dyDescent="0.2">
      <c r="A787" t="s">
        <v>4245</v>
      </c>
      <c r="E787" t="str">
        <f>HYPERLINK("http://nlpdeep.cs.uic.edu:8080/proofing/gsii/4309-labs-imaging-5-10.pdf","gsii/4309-labs-imaging-5-10.pdf")</f>
        <v>gsii/4309-labs-imaging-5-10.pdf</v>
      </c>
      <c r="F787">
        <v>109181</v>
      </c>
      <c r="G787">
        <v>4309</v>
      </c>
      <c r="H787" t="s">
        <v>745</v>
      </c>
      <c r="I787" t="s">
        <v>147</v>
      </c>
      <c r="J787" t="s">
        <v>4246</v>
      </c>
    </row>
    <row r="788" spans="1:10" x14ac:dyDescent="0.2">
      <c r="A788" t="s">
        <v>4247</v>
      </c>
      <c r="E788" t="str">
        <f>HYPERLINK("http://nlpdeep.cs.uic.edu:8080/proofing/t5/4309-hospital-course-0-0.pdf","t5/4309-hospital-course-0-0.pdf")</f>
        <v>t5/4309-hospital-course-0-0.pdf</v>
      </c>
      <c r="F788">
        <v>109181</v>
      </c>
      <c r="G788">
        <v>4309</v>
      </c>
      <c r="H788" t="s">
        <v>745</v>
      </c>
      <c r="I788" t="s">
        <v>999</v>
      </c>
      <c r="J788" t="s">
        <v>4248</v>
      </c>
    </row>
    <row r="789" spans="1:10" x14ac:dyDescent="0.2">
      <c r="A789" t="s">
        <v>4247</v>
      </c>
      <c r="E789" t="str">
        <f>HYPERLINK("http://nlpdeep.cs.uic.edu:8080/proofing/gsii/4309-hospital-course-0-0.pdf","gsii/4309-hospital-course-0-0.pdf")</f>
        <v>gsii/4309-hospital-course-0-0.pdf</v>
      </c>
      <c r="F789">
        <v>109181</v>
      </c>
      <c r="G789">
        <v>4309</v>
      </c>
      <c r="H789" t="s">
        <v>745</v>
      </c>
      <c r="I789" t="s">
        <v>999</v>
      </c>
      <c r="J789" t="s">
        <v>4248</v>
      </c>
    </row>
    <row r="790" spans="1:10" x14ac:dyDescent="0.2">
      <c r="A790" t="s">
        <v>4249</v>
      </c>
      <c r="E790" t="str">
        <f>HYPERLINK("http://nlpdeep.cs.uic.edu:8080/proofing/t5/4309-hospital-course-0-1.pdf","t5/4309-hospital-course-0-1.pdf")</f>
        <v>t5/4309-hospital-course-0-1.pdf</v>
      </c>
      <c r="F790">
        <v>109181</v>
      </c>
      <c r="G790">
        <v>4309</v>
      </c>
      <c r="H790" t="s">
        <v>745</v>
      </c>
      <c r="I790" t="s">
        <v>999</v>
      </c>
      <c r="J790" t="s">
        <v>4250</v>
      </c>
    </row>
    <row r="791" spans="1:10" x14ac:dyDescent="0.2">
      <c r="A791" t="s">
        <v>4249</v>
      </c>
      <c r="E791" t="str">
        <f>HYPERLINK("http://nlpdeep.cs.uic.edu:8080/proofing/gsii/4309-hospital-course-0-1.pdf","gsii/4309-hospital-course-0-1.pdf")</f>
        <v>gsii/4309-hospital-course-0-1.pdf</v>
      </c>
      <c r="F791">
        <v>109181</v>
      </c>
      <c r="G791">
        <v>4309</v>
      </c>
      <c r="H791" t="s">
        <v>745</v>
      </c>
      <c r="I791" t="s">
        <v>999</v>
      </c>
      <c r="J791" t="s">
        <v>4250</v>
      </c>
    </row>
    <row r="792" spans="1:10" x14ac:dyDescent="0.2">
      <c r="A792" t="s">
        <v>4251</v>
      </c>
      <c r="E792" t="str">
        <f>HYPERLINK("http://nlpdeep.cs.uic.edu:8080/proofing/t5/4309-hospital-course-0-2.pdf","t5/4309-hospital-course-0-2.pdf")</f>
        <v>t5/4309-hospital-course-0-2.pdf</v>
      </c>
      <c r="F792">
        <v>109181</v>
      </c>
      <c r="G792">
        <v>4309</v>
      </c>
      <c r="H792" t="s">
        <v>745</v>
      </c>
      <c r="I792" t="s">
        <v>999</v>
      </c>
      <c r="J792" t="s">
        <v>4252</v>
      </c>
    </row>
    <row r="793" spans="1:10" x14ac:dyDescent="0.2">
      <c r="A793" t="s">
        <v>4251</v>
      </c>
      <c r="E793" t="str">
        <f>HYPERLINK("http://nlpdeep.cs.uic.edu:8080/proofing/gsii/4309-hospital-course-0-2.pdf","gsii/4309-hospital-course-0-2.pdf")</f>
        <v>gsii/4309-hospital-course-0-2.pdf</v>
      </c>
      <c r="F793">
        <v>109181</v>
      </c>
      <c r="G793">
        <v>4309</v>
      </c>
      <c r="H793" t="s">
        <v>745</v>
      </c>
      <c r="I793" t="s">
        <v>999</v>
      </c>
      <c r="J793" t="s">
        <v>4252</v>
      </c>
    </row>
    <row r="794" spans="1:10" x14ac:dyDescent="0.2">
      <c r="A794" t="s">
        <v>4253</v>
      </c>
      <c r="E794" t="str">
        <f>HYPERLINK("http://nlpdeep.cs.uic.edu:8080/proofing/t5/4309-hospital-course-0-3.pdf","t5/4309-hospital-course-0-3.pdf")</f>
        <v>t5/4309-hospital-course-0-3.pdf</v>
      </c>
      <c r="F794">
        <v>109181</v>
      </c>
      <c r="G794">
        <v>4309</v>
      </c>
      <c r="H794" t="s">
        <v>745</v>
      </c>
      <c r="I794" t="s">
        <v>999</v>
      </c>
      <c r="J794" t="s">
        <v>4254</v>
      </c>
    </row>
    <row r="795" spans="1:10" x14ac:dyDescent="0.2">
      <c r="A795" t="s">
        <v>4253</v>
      </c>
      <c r="E795" t="str">
        <f>HYPERLINK("http://nlpdeep.cs.uic.edu:8080/proofing/gsii/4309-hospital-course-0-3.pdf","gsii/4309-hospital-course-0-3.pdf")</f>
        <v>gsii/4309-hospital-course-0-3.pdf</v>
      </c>
      <c r="F795">
        <v>109181</v>
      </c>
      <c r="G795">
        <v>4309</v>
      </c>
      <c r="H795" t="s">
        <v>745</v>
      </c>
      <c r="I795" t="s">
        <v>999</v>
      </c>
      <c r="J795" t="s">
        <v>4254</v>
      </c>
    </row>
    <row r="796" spans="1:10" x14ac:dyDescent="0.2">
      <c r="A796" t="s">
        <v>4255</v>
      </c>
      <c r="E796" t="str">
        <f>HYPERLINK("http://nlpdeep.cs.uic.edu:8080/proofing/t5/4309-hospital-course-0-4.pdf","t5/4309-hospital-course-0-4.pdf")</f>
        <v>t5/4309-hospital-course-0-4.pdf</v>
      </c>
      <c r="F796">
        <v>109181</v>
      </c>
      <c r="G796">
        <v>4309</v>
      </c>
      <c r="H796" t="s">
        <v>745</v>
      </c>
      <c r="I796" t="s">
        <v>999</v>
      </c>
      <c r="J796" t="s">
        <v>4256</v>
      </c>
    </row>
    <row r="797" spans="1:10" x14ac:dyDescent="0.2">
      <c r="A797" t="s">
        <v>4255</v>
      </c>
      <c r="E797" t="str">
        <f>HYPERLINK("http://nlpdeep.cs.uic.edu:8080/proofing/gsii/4309-hospital-course-0-4.pdf","gsii/4309-hospital-course-0-4.pdf")</f>
        <v>gsii/4309-hospital-course-0-4.pdf</v>
      </c>
      <c r="F797">
        <v>109181</v>
      </c>
      <c r="G797">
        <v>4309</v>
      </c>
      <c r="H797" t="s">
        <v>745</v>
      </c>
      <c r="I797" t="s">
        <v>999</v>
      </c>
      <c r="J797" t="s">
        <v>4256</v>
      </c>
    </row>
    <row r="798" spans="1:10" x14ac:dyDescent="0.2">
      <c r="A798" t="s">
        <v>4257</v>
      </c>
      <c r="E798" t="str">
        <f>HYPERLINK("http://nlpdeep.cs.uic.edu:8080/proofing/t5/4309-hospital-course-0-5.pdf","t5/4309-hospital-course-0-5.pdf")</f>
        <v>t5/4309-hospital-course-0-5.pdf</v>
      </c>
      <c r="F798">
        <v>109181</v>
      </c>
      <c r="G798">
        <v>4309</v>
      </c>
      <c r="H798" t="s">
        <v>745</v>
      </c>
      <c r="I798" t="s">
        <v>999</v>
      </c>
      <c r="J798" t="s">
        <v>4258</v>
      </c>
    </row>
    <row r="799" spans="1:10" x14ac:dyDescent="0.2">
      <c r="A799" t="s">
        <v>4257</v>
      </c>
      <c r="E799" t="str">
        <f>HYPERLINK("http://nlpdeep.cs.uic.edu:8080/proofing/gsii/4309-hospital-course-0-5.pdf","gsii/4309-hospital-course-0-5.pdf")</f>
        <v>gsii/4309-hospital-course-0-5.pdf</v>
      </c>
      <c r="F799">
        <v>109181</v>
      </c>
      <c r="G799">
        <v>4309</v>
      </c>
      <c r="H799" t="s">
        <v>745</v>
      </c>
      <c r="I799" t="s">
        <v>999</v>
      </c>
      <c r="J799" t="s">
        <v>4258</v>
      </c>
    </row>
    <row r="800" spans="1:10" x14ac:dyDescent="0.2">
      <c r="A800" t="s">
        <v>4259</v>
      </c>
      <c r="E800" t="str">
        <f>HYPERLINK("http://nlpdeep.cs.uic.edu:8080/proofing/t5/4309-hospital-course-0-6.pdf","t5/4309-hospital-course-0-6.pdf")</f>
        <v>t5/4309-hospital-course-0-6.pdf</v>
      </c>
      <c r="F800">
        <v>109181</v>
      </c>
      <c r="G800">
        <v>4309</v>
      </c>
      <c r="H800" t="s">
        <v>745</v>
      </c>
      <c r="I800" t="s">
        <v>999</v>
      </c>
      <c r="J800" t="s">
        <v>4260</v>
      </c>
    </row>
    <row r="801" spans="1:10" x14ac:dyDescent="0.2">
      <c r="A801" t="s">
        <v>4259</v>
      </c>
      <c r="E801" t="str">
        <f>HYPERLINK("http://nlpdeep.cs.uic.edu:8080/proofing/gsii/4309-hospital-course-0-6.pdf","gsii/4309-hospital-course-0-6.pdf")</f>
        <v>gsii/4309-hospital-course-0-6.pdf</v>
      </c>
      <c r="F801">
        <v>109181</v>
      </c>
      <c r="G801">
        <v>4309</v>
      </c>
      <c r="H801" t="s">
        <v>745</v>
      </c>
      <c r="I801" t="s">
        <v>999</v>
      </c>
      <c r="J801" t="s">
        <v>4260</v>
      </c>
    </row>
    <row r="802" spans="1:10" x14ac:dyDescent="0.2">
      <c r="A802" t="s">
        <v>4261</v>
      </c>
      <c r="E802" t="str">
        <f>HYPERLINK("http://nlpdeep.cs.uic.edu:8080/proofing/t5/4309-hospital-course-0-7.pdf","t5/4309-hospital-course-0-7.pdf")</f>
        <v>t5/4309-hospital-course-0-7.pdf</v>
      </c>
      <c r="F802">
        <v>109181</v>
      </c>
      <c r="G802">
        <v>4309</v>
      </c>
      <c r="H802" t="s">
        <v>745</v>
      </c>
      <c r="I802" t="s">
        <v>999</v>
      </c>
      <c r="J802" t="s">
        <v>4262</v>
      </c>
    </row>
    <row r="803" spans="1:10" x14ac:dyDescent="0.2">
      <c r="A803" t="s">
        <v>4261</v>
      </c>
      <c r="E803" t="str">
        <f>HYPERLINK("http://nlpdeep.cs.uic.edu:8080/proofing/gsii/4309-hospital-course-0-7.pdf","gsii/4309-hospital-course-0-7.pdf")</f>
        <v>gsii/4309-hospital-course-0-7.pdf</v>
      </c>
      <c r="F803">
        <v>109181</v>
      </c>
      <c r="G803">
        <v>4309</v>
      </c>
      <c r="H803" t="s">
        <v>745</v>
      </c>
      <c r="I803" t="s">
        <v>999</v>
      </c>
      <c r="J803" t="s">
        <v>4262</v>
      </c>
    </row>
    <row r="804" spans="1:10" x14ac:dyDescent="0.2">
      <c r="A804" t="s">
        <v>4263</v>
      </c>
      <c r="E804" t="str">
        <f>HYPERLINK("http://nlpdeep.cs.uic.edu:8080/proofing/t5/4309-hospital-course-0-8.pdf","t5/4309-hospital-course-0-8.pdf")</f>
        <v>t5/4309-hospital-course-0-8.pdf</v>
      </c>
      <c r="F804">
        <v>109181</v>
      </c>
      <c r="G804">
        <v>4309</v>
      </c>
      <c r="H804" t="s">
        <v>745</v>
      </c>
      <c r="I804" t="s">
        <v>999</v>
      </c>
      <c r="J804" t="s">
        <v>4264</v>
      </c>
    </row>
    <row r="805" spans="1:10" x14ac:dyDescent="0.2">
      <c r="A805" t="s">
        <v>4263</v>
      </c>
      <c r="E805" t="str">
        <f>HYPERLINK("http://nlpdeep.cs.uic.edu:8080/proofing/gsii/4309-hospital-course-0-8.pdf","gsii/4309-hospital-course-0-8.pdf")</f>
        <v>gsii/4309-hospital-course-0-8.pdf</v>
      </c>
      <c r="F805">
        <v>109181</v>
      </c>
      <c r="G805">
        <v>4309</v>
      </c>
      <c r="H805" t="s">
        <v>745</v>
      </c>
      <c r="I805" t="s">
        <v>999</v>
      </c>
      <c r="J805" t="s">
        <v>4264</v>
      </c>
    </row>
    <row r="806" spans="1:10" x14ac:dyDescent="0.2">
      <c r="A806" t="s">
        <v>4265</v>
      </c>
      <c r="E806" t="str">
        <f>HYPERLINK("http://nlpdeep.cs.uic.edu:8080/proofing/t5/4309-hospital-course-0-9.pdf","t5/4309-hospital-course-0-9.pdf")</f>
        <v>t5/4309-hospital-course-0-9.pdf</v>
      </c>
      <c r="F806">
        <v>109181</v>
      </c>
      <c r="G806">
        <v>4309</v>
      </c>
      <c r="H806" t="s">
        <v>745</v>
      </c>
      <c r="I806" t="s">
        <v>999</v>
      </c>
      <c r="J806" t="s">
        <v>4266</v>
      </c>
    </row>
    <row r="807" spans="1:10" x14ac:dyDescent="0.2">
      <c r="A807" t="s">
        <v>4265</v>
      </c>
      <c r="E807" t="str">
        <f>HYPERLINK("http://nlpdeep.cs.uic.edu:8080/proofing/gsii/4309-hospital-course-0-9.pdf","gsii/4309-hospital-course-0-9.pdf")</f>
        <v>gsii/4309-hospital-course-0-9.pdf</v>
      </c>
      <c r="F807">
        <v>109181</v>
      </c>
      <c r="G807">
        <v>4309</v>
      </c>
      <c r="H807" t="s">
        <v>745</v>
      </c>
      <c r="I807" t="s">
        <v>999</v>
      </c>
      <c r="J807" t="s">
        <v>4266</v>
      </c>
    </row>
    <row r="808" spans="1:10" x14ac:dyDescent="0.2">
      <c r="A808" t="s">
        <v>4267</v>
      </c>
      <c r="E808" t="str">
        <f>HYPERLINK("http://nlpdeep.cs.uic.edu:8080/proofing/t5/4309-hospital-course-1-0.pdf","t5/4309-hospital-course-1-0.pdf")</f>
        <v>t5/4309-hospital-course-1-0.pdf</v>
      </c>
      <c r="F808">
        <v>109181</v>
      </c>
      <c r="G808">
        <v>4309</v>
      </c>
      <c r="H808" t="s">
        <v>745</v>
      </c>
      <c r="I808" t="s">
        <v>999</v>
      </c>
      <c r="J808" t="s">
        <v>4268</v>
      </c>
    </row>
    <row r="809" spans="1:10" x14ac:dyDescent="0.2">
      <c r="A809" t="s">
        <v>4267</v>
      </c>
      <c r="E809" t="str">
        <f>HYPERLINK("http://nlpdeep.cs.uic.edu:8080/proofing/gsii/4309-hospital-course-1-0.pdf","gsii/4309-hospital-course-1-0.pdf")</f>
        <v>gsii/4309-hospital-course-1-0.pdf</v>
      </c>
      <c r="F809">
        <v>109181</v>
      </c>
      <c r="G809">
        <v>4309</v>
      </c>
      <c r="H809" t="s">
        <v>745</v>
      </c>
      <c r="I809" t="s">
        <v>999</v>
      </c>
      <c r="J809" t="s">
        <v>4268</v>
      </c>
    </row>
    <row r="810" spans="1:10" x14ac:dyDescent="0.2">
      <c r="A810" t="s">
        <v>4269</v>
      </c>
      <c r="E810" t="str">
        <f>HYPERLINK("http://nlpdeep.cs.uic.edu:8080/proofing/t5/4309-hospital-course-1-1.pdf","t5/4309-hospital-course-1-1.pdf")</f>
        <v>t5/4309-hospital-course-1-1.pdf</v>
      </c>
      <c r="F810">
        <v>109181</v>
      </c>
      <c r="G810">
        <v>4309</v>
      </c>
      <c r="H810" t="s">
        <v>745</v>
      </c>
      <c r="I810" t="s">
        <v>999</v>
      </c>
      <c r="J810" t="s">
        <v>4270</v>
      </c>
    </row>
    <row r="811" spans="1:10" x14ac:dyDescent="0.2">
      <c r="A811" t="s">
        <v>4269</v>
      </c>
      <c r="E811" t="str">
        <f>HYPERLINK("http://nlpdeep.cs.uic.edu:8080/proofing/gsii/4309-hospital-course-1-1.pdf","gsii/4309-hospital-course-1-1.pdf")</f>
        <v>gsii/4309-hospital-course-1-1.pdf</v>
      </c>
      <c r="F811">
        <v>109181</v>
      </c>
      <c r="G811">
        <v>4309</v>
      </c>
      <c r="H811" t="s">
        <v>745</v>
      </c>
      <c r="I811" t="s">
        <v>999</v>
      </c>
      <c r="J811" t="s">
        <v>4270</v>
      </c>
    </row>
    <row r="812" spans="1:10" x14ac:dyDescent="0.2">
      <c r="A812" t="s">
        <v>4271</v>
      </c>
      <c r="E812" t="str">
        <f>HYPERLINK("http://nlpdeep.cs.uic.edu:8080/proofing/t5/4309-hospital-course-1-2.pdf","t5/4309-hospital-course-1-2.pdf")</f>
        <v>t5/4309-hospital-course-1-2.pdf</v>
      </c>
      <c r="F812">
        <v>109181</v>
      </c>
      <c r="G812">
        <v>4309</v>
      </c>
      <c r="H812" t="s">
        <v>745</v>
      </c>
      <c r="I812" t="s">
        <v>999</v>
      </c>
      <c r="J812" t="s">
        <v>4272</v>
      </c>
    </row>
    <row r="813" spans="1:10" x14ac:dyDescent="0.2">
      <c r="A813" t="s">
        <v>4271</v>
      </c>
      <c r="E813" t="str">
        <f>HYPERLINK("http://nlpdeep.cs.uic.edu:8080/proofing/gsii/4309-hospital-course-1-2.pdf","gsii/4309-hospital-course-1-2.pdf")</f>
        <v>gsii/4309-hospital-course-1-2.pdf</v>
      </c>
      <c r="F813">
        <v>109181</v>
      </c>
      <c r="G813">
        <v>4309</v>
      </c>
      <c r="H813" t="s">
        <v>745</v>
      </c>
      <c r="I813" t="s">
        <v>999</v>
      </c>
      <c r="J813" t="s">
        <v>4272</v>
      </c>
    </row>
    <row r="814" spans="1:10" x14ac:dyDescent="0.2">
      <c r="A814" t="s">
        <v>4273</v>
      </c>
      <c r="E814" t="str">
        <f>HYPERLINK("http://nlpdeep.cs.uic.edu:8080/proofing/t5/4309-hospital-course-1-3.pdf","t5/4309-hospital-course-1-3.pdf")</f>
        <v>t5/4309-hospital-course-1-3.pdf</v>
      </c>
      <c r="F814">
        <v>109181</v>
      </c>
      <c r="G814">
        <v>4309</v>
      </c>
      <c r="H814" t="s">
        <v>745</v>
      </c>
      <c r="I814" t="s">
        <v>999</v>
      </c>
      <c r="J814" t="s">
        <v>4274</v>
      </c>
    </row>
    <row r="815" spans="1:10" x14ac:dyDescent="0.2">
      <c r="A815" t="s">
        <v>4273</v>
      </c>
      <c r="E815" t="str">
        <f>HYPERLINK("http://nlpdeep.cs.uic.edu:8080/proofing/gsii/4309-hospital-course-1-3.pdf","gsii/4309-hospital-course-1-3.pdf")</f>
        <v>gsii/4309-hospital-course-1-3.pdf</v>
      </c>
      <c r="F815">
        <v>109181</v>
      </c>
      <c r="G815">
        <v>4309</v>
      </c>
      <c r="H815" t="s">
        <v>745</v>
      </c>
      <c r="I815" t="s">
        <v>999</v>
      </c>
      <c r="J815" t="s">
        <v>4274</v>
      </c>
    </row>
    <row r="816" spans="1:10" x14ac:dyDescent="0.2">
      <c r="A816" t="s">
        <v>4275</v>
      </c>
      <c r="E816" t="str">
        <f>HYPERLINK("http://nlpdeep.cs.uic.edu:8080/proofing/t5/4309-hospital-course-1-4.pdf","t5/4309-hospital-course-1-4.pdf")</f>
        <v>t5/4309-hospital-course-1-4.pdf</v>
      </c>
      <c r="F816">
        <v>109181</v>
      </c>
      <c r="G816">
        <v>4309</v>
      </c>
      <c r="H816" t="s">
        <v>745</v>
      </c>
      <c r="I816" t="s">
        <v>999</v>
      </c>
      <c r="J816" t="s">
        <v>4276</v>
      </c>
    </row>
    <row r="817" spans="1:10" x14ac:dyDescent="0.2">
      <c r="A817" t="s">
        <v>4275</v>
      </c>
      <c r="E817" t="str">
        <f>HYPERLINK("http://nlpdeep.cs.uic.edu:8080/proofing/gsii/4309-hospital-course-1-4.pdf","gsii/4309-hospital-course-1-4.pdf")</f>
        <v>gsii/4309-hospital-course-1-4.pdf</v>
      </c>
      <c r="F817">
        <v>109181</v>
      </c>
      <c r="G817">
        <v>4309</v>
      </c>
      <c r="H817" t="s">
        <v>745</v>
      </c>
      <c r="I817" t="s">
        <v>999</v>
      </c>
      <c r="J817" t="s">
        <v>4276</v>
      </c>
    </row>
    <row r="818" spans="1:10" x14ac:dyDescent="0.2">
      <c r="A818" t="s">
        <v>4277</v>
      </c>
      <c r="E818" t="str">
        <f>HYPERLINK("http://nlpdeep.cs.uic.edu:8080/proofing/t5/4309-hospital-course-1-5.pdf","t5/4309-hospital-course-1-5.pdf")</f>
        <v>t5/4309-hospital-course-1-5.pdf</v>
      </c>
      <c r="F818">
        <v>109181</v>
      </c>
      <c r="G818">
        <v>4309</v>
      </c>
      <c r="H818" t="s">
        <v>745</v>
      </c>
      <c r="I818" t="s">
        <v>999</v>
      </c>
      <c r="J818" t="s">
        <v>4278</v>
      </c>
    </row>
    <row r="819" spans="1:10" x14ac:dyDescent="0.2">
      <c r="A819" t="s">
        <v>4277</v>
      </c>
      <c r="E819" t="str">
        <f>HYPERLINK("http://nlpdeep.cs.uic.edu:8080/proofing/gsii/4309-hospital-course-1-5.pdf","gsii/4309-hospital-course-1-5.pdf")</f>
        <v>gsii/4309-hospital-course-1-5.pdf</v>
      </c>
      <c r="F819">
        <v>109181</v>
      </c>
      <c r="G819">
        <v>4309</v>
      </c>
      <c r="H819" t="s">
        <v>745</v>
      </c>
      <c r="I819" t="s">
        <v>999</v>
      </c>
      <c r="J819" t="s">
        <v>4278</v>
      </c>
    </row>
    <row r="820" spans="1:10" x14ac:dyDescent="0.2">
      <c r="A820" t="s">
        <v>4279</v>
      </c>
      <c r="E820" t="str">
        <f>HYPERLINK("http://nlpdeep.cs.uic.edu:8080/proofing/t5/4309-hospital-course-1-6.pdf","t5/4309-hospital-course-1-6.pdf")</f>
        <v>t5/4309-hospital-course-1-6.pdf</v>
      </c>
      <c r="F820">
        <v>109181</v>
      </c>
      <c r="G820">
        <v>4309</v>
      </c>
      <c r="H820" t="s">
        <v>745</v>
      </c>
      <c r="I820" t="s">
        <v>999</v>
      </c>
      <c r="J820" t="s">
        <v>4280</v>
      </c>
    </row>
    <row r="821" spans="1:10" x14ac:dyDescent="0.2">
      <c r="A821" t="s">
        <v>4279</v>
      </c>
      <c r="E821" t="str">
        <f>HYPERLINK("http://nlpdeep.cs.uic.edu:8080/proofing/gsii/4309-hospital-course-1-6.pdf","gsii/4309-hospital-course-1-6.pdf")</f>
        <v>gsii/4309-hospital-course-1-6.pdf</v>
      </c>
      <c r="F821">
        <v>109181</v>
      </c>
      <c r="G821">
        <v>4309</v>
      </c>
      <c r="H821" t="s">
        <v>745</v>
      </c>
      <c r="I821" t="s">
        <v>999</v>
      </c>
      <c r="J821" t="s">
        <v>4280</v>
      </c>
    </row>
    <row r="822" spans="1:10" x14ac:dyDescent="0.2">
      <c r="A822" t="s">
        <v>4281</v>
      </c>
      <c r="E822" t="str">
        <f>HYPERLINK("http://nlpdeep.cs.uic.edu:8080/proofing/t5/4309-hospital-course-1-7.pdf","t5/4309-hospital-course-1-7.pdf")</f>
        <v>t5/4309-hospital-course-1-7.pdf</v>
      </c>
      <c r="F822">
        <v>109181</v>
      </c>
      <c r="G822">
        <v>4309</v>
      </c>
      <c r="H822" t="s">
        <v>745</v>
      </c>
      <c r="I822" t="s">
        <v>999</v>
      </c>
      <c r="J822" t="s">
        <v>4282</v>
      </c>
    </row>
    <row r="823" spans="1:10" x14ac:dyDescent="0.2">
      <c r="A823" t="s">
        <v>4281</v>
      </c>
      <c r="E823" t="str">
        <f>HYPERLINK("http://nlpdeep.cs.uic.edu:8080/proofing/gsii/4309-hospital-course-1-7.pdf","gsii/4309-hospital-course-1-7.pdf")</f>
        <v>gsii/4309-hospital-course-1-7.pdf</v>
      </c>
      <c r="F823">
        <v>109181</v>
      </c>
      <c r="G823">
        <v>4309</v>
      </c>
      <c r="H823" t="s">
        <v>745</v>
      </c>
      <c r="I823" t="s">
        <v>999</v>
      </c>
      <c r="J823" t="s">
        <v>4282</v>
      </c>
    </row>
    <row r="824" spans="1:10" x14ac:dyDescent="0.2">
      <c r="A824" t="s">
        <v>4283</v>
      </c>
      <c r="E824" t="str">
        <f>HYPERLINK("http://nlpdeep.cs.uic.edu:8080/proofing/t5/4309-hospital-course-1-8.pdf","t5/4309-hospital-course-1-8.pdf")</f>
        <v>t5/4309-hospital-course-1-8.pdf</v>
      </c>
      <c r="F824">
        <v>109181</v>
      </c>
      <c r="G824">
        <v>4309</v>
      </c>
      <c r="H824" t="s">
        <v>745</v>
      </c>
      <c r="I824" t="s">
        <v>999</v>
      </c>
      <c r="J824" t="s">
        <v>4284</v>
      </c>
    </row>
    <row r="825" spans="1:10" x14ac:dyDescent="0.2">
      <c r="A825" t="s">
        <v>4283</v>
      </c>
      <c r="E825" t="str">
        <f>HYPERLINK("http://nlpdeep.cs.uic.edu:8080/proofing/gsii/4309-hospital-course-1-8.pdf","gsii/4309-hospital-course-1-8.pdf")</f>
        <v>gsii/4309-hospital-course-1-8.pdf</v>
      </c>
      <c r="F825">
        <v>109181</v>
      </c>
      <c r="G825">
        <v>4309</v>
      </c>
      <c r="H825" t="s">
        <v>745</v>
      </c>
      <c r="I825" t="s">
        <v>999</v>
      </c>
      <c r="J825" t="s">
        <v>4284</v>
      </c>
    </row>
    <row r="826" spans="1:10" x14ac:dyDescent="0.2">
      <c r="A826" t="s">
        <v>4285</v>
      </c>
      <c r="E826" t="str">
        <f>HYPERLINK("http://nlpdeep.cs.uic.edu:8080/proofing/t5/4309-hospital-course-1-9.pdf","t5/4309-hospital-course-1-9.pdf")</f>
        <v>t5/4309-hospital-course-1-9.pdf</v>
      </c>
      <c r="F826">
        <v>109181</v>
      </c>
      <c r="G826">
        <v>4309</v>
      </c>
      <c r="H826" t="s">
        <v>745</v>
      </c>
      <c r="I826" t="s">
        <v>999</v>
      </c>
      <c r="J826" t="s">
        <v>4286</v>
      </c>
    </row>
    <row r="827" spans="1:10" x14ac:dyDescent="0.2">
      <c r="A827" t="s">
        <v>4285</v>
      </c>
      <c r="E827" t="str">
        <f>HYPERLINK("http://nlpdeep.cs.uic.edu:8080/proofing/gsii/4309-hospital-course-1-9.pdf","gsii/4309-hospital-course-1-9.pdf")</f>
        <v>gsii/4309-hospital-course-1-9.pdf</v>
      </c>
      <c r="F827">
        <v>109181</v>
      </c>
      <c r="G827">
        <v>4309</v>
      </c>
      <c r="H827" t="s">
        <v>745</v>
      </c>
      <c r="I827" t="s">
        <v>999</v>
      </c>
      <c r="J827" t="s">
        <v>4286</v>
      </c>
    </row>
    <row r="828" spans="1:10" x14ac:dyDescent="0.2">
      <c r="A828" t="s">
        <v>4287</v>
      </c>
      <c r="E828" t="str">
        <f>HYPERLINK("http://nlpdeep.cs.uic.edu:8080/proofing/t5/4309-hospital-course-1-10.pdf","t5/4309-hospital-course-1-10.pdf")</f>
        <v>t5/4309-hospital-course-1-10.pdf</v>
      </c>
      <c r="F828">
        <v>109181</v>
      </c>
      <c r="G828">
        <v>4309</v>
      </c>
      <c r="H828" t="s">
        <v>745</v>
      </c>
      <c r="I828" t="s">
        <v>999</v>
      </c>
      <c r="J828" t="s">
        <v>4288</v>
      </c>
    </row>
    <row r="829" spans="1:10" x14ac:dyDescent="0.2">
      <c r="A829" t="s">
        <v>4287</v>
      </c>
      <c r="E829" t="str">
        <f>HYPERLINK("http://nlpdeep.cs.uic.edu:8080/proofing/gsii/4309-hospital-course-1-10.pdf","gsii/4309-hospital-course-1-10.pdf")</f>
        <v>gsii/4309-hospital-course-1-10.pdf</v>
      </c>
      <c r="F829">
        <v>109181</v>
      </c>
      <c r="G829">
        <v>4309</v>
      </c>
      <c r="H829" t="s">
        <v>745</v>
      </c>
      <c r="I829" t="s">
        <v>999</v>
      </c>
      <c r="J829" t="s">
        <v>4288</v>
      </c>
    </row>
    <row r="830" spans="1:10" x14ac:dyDescent="0.2">
      <c r="A830" t="s">
        <v>4289</v>
      </c>
      <c r="E830" t="str">
        <f>HYPERLINK("http://nlpdeep.cs.uic.edu:8080/proofing/t5/4309-hospital-course-1-11.pdf","t5/4309-hospital-course-1-11.pdf")</f>
        <v>t5/4309-hospital-course-1-11.pdf</v>
      </c>
      <c r="F830">
        <v>109181</v>
      </c>
      <c r="G830">
        <v>4309</v>
      </c>
      <c r="H830" t="s">
        <v>745</v>
      </c>
      <c r="I830" t="s">
        <v>999</v>
      </c>
      <c r="J830" t="s">
        <v>4290</v>
      </c>
    </row>
    <row r="831" spans="1:10" x14ac:dyDescent="0.2">
      <c r="A831" t="s">
        <v>4289</v>
      </c>
      <c r="E831" t="str">
        <f>HYPERLINK("http://nlpdeep.cs.uic.edu:8080/proofing/gsii/4309-hospital-course-1-11.pdf","gsii/4309-hospital-course-1-11.pdf")</f>
        <v>gsii/4309-hospital-course-1-11.pdf</v>
      </c>
      <c r="F831">
        <v>109181</v>
      </c>
      <c r="G831">
        <v>4309</v>
      </c>
      <c r="H831" t="s">
        <v>745</v>
      </c>
      <c r="I831" t="s">
        <v>999</v>
      </c>
      <c r="J831" t="s">
        <v>4290</v>
      </c>
    </row>
    <row r="832" spans="1:10" x14ac:dyDescent="0.2">
      <c r="A832" t="s">
        <v>4291</v>
      </c>
      <c r="E832" t="str">
        <f>HYPERLINK("http://nlpdeep.cs.uic.edu:8080/proofing/t5/4309-hospital-course-1-12.pdf","t5/4309-hospital-course-1-12.pdf")</f>
        <v>t5/4309-hospital-course-1-12.pdf</v>
      </c>
      <c r="F832">
        <v>109181</v>
      </c>
      <c r="G832">
        <v>4309</v>
      </c>
      <c r="H832" t="s">
        <v>745</v>
      </c>
      <c r="I832" t="s">
        <v>999</v>
      </c>
      <c r="J832" t="s">
        <v>4292</v>
      </c>
    </row>
    <row r="833" spans="1:10" x14ac:dyDescent="0.2">
      <c r="A833" t="s">
        <v>4291</v>
      </c>
      <c r="E833" t="str">
        <f>HYPERLINK("http://nlpdeep.cs.uic.edu:8080/proofing/gsii/4309-hospital-course-1-12.pdf","gsii/4309-hospital-course-1-12.pdf")</f>
        <v>gsii/4309-hospital-course-1-12.pdf</v>
      </c>
      <c r="F833">
        <v>109181</v>
      </c>
      <c r="G833">
        <v>4309</v>
      </c>
      <c r="H833" t="s">
        <v>745</v>
      </c>
      <c r="I833" t="s">
        <v>999</v>
      </c>
      <c r="J833" t="s">
        <v>4292</v>
      </c>
    </row>
    <row r="834" spans="1:10" x14ac:dyDescent="0.2">
      <c r="A834" t="s">
        <v>4293</v>
      </c>
      <c r="E834" t="str">
        <f>HYPERLINK("http://nlpdeep.cs.uic.edu:8080/proofing/t5/4309-hospital-course-1-13.pdf","t5/4309-hospital-course-1-13.pdf")</f>
        <v>t5/4309-hospital-course-1-13.pdf</v>
      </c>
      <c r="F834">
        <v>109181</v>
      </c>
      <c r="G834">
        <v>4309</v>
      </c>
      <c r="H834" t="s">
        <v>745</v>
      </c>
      <c r="I834" t="s">
        <v>999</v>
      </c>
      <c r="J834" t="s">
        <v>4294</v>
      </c>
    </row>
    <row r="835" spans="1:10" x14ac:dyDescent="0.2">
      <c r="A835" t="s">
        <v>4293</v>
      </c>
      <c r="E835" t="str">
        <f>HYPERLINK("http://nlpdeep.cs.uic.edu:8080/proofing/gsii/4309-hospital-course-1-13.pdf","gsii/4309-hospital-course-1-13.pdf")</f>
        <v>gsii/4309-hospital-course-1-13.pdf</v>
      </c>
      <c r="F835">
        <v>109181</v>
      </c>
      <c r="G835">
        <v>4309</v>
      </c>
      <c r="H835" t="s">
        <v>745</v>
      </c>
      <c r="I835" t="s">
        <v>999</v>
      </c>
      <c r="J835" t="s">
        <v>4294</v>
      </c>
    </row>
    <row r="836" spans="1:10" x14ac:dyDescent="0.2">
      <c r="A836" t="s">
        <v>4295</v>
      </c>
      <c r="E836" t="str">
        <f>HYPERLINK("http://nlpdeep.cs.uic.edu:8080/proofing/t5/4309-hospital-course-1-14.pdf","t5/4309-hospital-course-1-14.pdf")</f>
        <v>t5/4309-hospital-course-1-14.pdf</v>
      </c>
      <c r="F836">
        <v>109181</v>
      </c>
      <c r="G836">
        <v>4309</v>
      </c>
      <c r="H836" t="s">
        <v>745</v>
      </c>
      <c r="I836" t="s">
        <v>999</v>
      </c>
      <c r="J836" t="s">
        <v>4296</v>
      </c>
    </row>
    <row r="837" spans="1:10" x14ac:dyDescent="0.2">
      <c r="A837" t="s">
        <v>4295</v>
      </c>
      <c r="E837" t="str">
        <f>HYPERLINK("http://nlpdeep.cs.uic.edu:8080/proofing/gsii/4309-hospital-course-1-14.pdf","gsii/4309-hospital-course-1-14.pdf")</f>
        <v>gsii/4309-hospital-course-1-14.pdf</v>
      </c>
      <c r="F837">
        <v>109181</v>
      </c>
      <c r="G837">
        <v>4309</v>
      </c>
      <c r="H837" t="s">
        <v>745</v>
      </c>
      <c r="I837" t="s">
        <v>999</v>
      </c>
      <c r="J837" t="s">
        <v>4296</v>
      </c>
    </row>
    <row r="838" spans="1:10" x14ac:dyDescent="0.2">
      <c r="A838" t="s">
        <v>4297</v>
      </c>
      <c r="E838" t="str">
        <f>HYPERLINK("http://nlpdeep.cs.uic.edu:8080/proofing/t5/4309-hospital-course-1-15.pdf","t5/4309-hospital-course-1-15.pdf")</f>
        <v>t5/4309-hospital-course-1-15.pdf</v>
      </c>
      <c r="F838">
        <v>109181</v>
      </c>
      <c r="G838">
        <v>4309</v>
      </c>
      <c r="H838" t="s">
        <v>745</v>
      </c>
      <c r="I838" t="s">
        <v>999</v>
      </c>
      <c r="J838" t="s">
        <v>4298</v>
      </c>
    </row>
    <row r="839" spans="1:10" x14ac:dyDescent="0.2">
      <c r="A839" t="s">
        <v>4297</v>
      </c>
      <c r="E839" t="str">
        <f>HYPERLINK("http://nlpdeep.cs.uic.edu:8080/proofing/gsii/4309-hospital-course-1-15.pdf","gsii/4309-hospital-course-1-15.pdf")</f>
        <v>gsii/4309-hospital-course-1-15.pdf</v>
      </c>
      <c r="F839">
        <v>109181</v>
      </c>
      <c r="G839">
        <v>4309</v>
      </c>
      <c r="H839" t="s">
        <v>745</v>
      </c>
      <c r="I839" t="s">
        <v>999</v>
      </c>
      <c r="J839" t="s">
        <v>4298</v>
      </c>
    </row>
    <row r="840" spans="1:10" x14ac:dyDescent="0.2">
      <c r="A840" t="s">
        <v>4299</v>
      </c>
      <c r="E840" t="str">
        <f>HYPERLINK("http://nlpdeep.cs.uic.edu:8080/proofing/t5/4309-hospital-course-1-16.pdf","t5/4309-hospital-course-1-16.pdf")</f>
        <v>t5/4309-hospital-course-1-16.pdf</v>
      </c>
      <c r="F840">
        <v>109181</v>
      </c>
      <c r="G840">
        <v>4309</v>
      </c>
      <c r="H840" t="s">
        <v>745</v>
      </c>
      <c r="I840" t="s">
        <v>999</v>
      </c>
      <c r="J840" t="s">
        <v>4300</v>
      </c>
    </row>
    <row r="841" spans="1:10" x14ac:dyDescent="0.2">
      <c r="A841" t="s">
        <v>4299</v>
      </c>
      <c r="E841" t="str">
        <f>HYPERLINK("http://nlpdeep.cs.uic.edu:8080/proofing/gsii/4309-hospital-course-1-16.pdf","gsii/4309-hospital-course-1-16.pdf")</f>
        <v>gsii/4309-hospital-course-1-16.pdf</v>
      </c>
      <c r="F841">
        <v>109181</v>
      </c>
      <c r="G841">
        <v>4309</v>
      </c>
      <c r="H841" t="s">
        <v>745</v>
      </c>
      <c r="I841" t="s">
        <v>999</v>
      </c>
      <c r="J841" t="s">
        <v>4300</v>
      </c>
    </row>
    <row r="842" spans="1:10" x14ac:dyDescent="0.2">
      <c r="A842" t="s">
        <v>4301</v>
      </c>
      <c r="E842" t="str">
        <f>HYPERLINK("http://nlpdeep.cs.uic.edu:8080/proofing/t5/4309-hospital-course-1-17.pdf","t5/4309-hospital-course-1-17.pdf")</f>
        <v>t5/4309-hospital-course-1-17.pdf</v>
      </c>
      <c r="F842">
        <v>109181</v>
      </c>
      <c r="G842">
        <v>4309</v>
      </c>
      <c r="H842" t="s">
        <v>745</v>
      </c>
      <c r="I842" t="s">
        <v>999</v>
      </c>
      <c r="J842" t="s">
        <v>4302</v>
      </c>
    </row>
    <row r="843" spans="1:10" x14ac:dyDescent="0.2">
      <c r="A843" t="s">
        <v>4301</v>
      </c>
      <c r="E843" t="str">
        <f>HYPERLINK("http://nlpdeep.cs.uic.edu:8080/proofing/gsii/4309-hospital-course-1-17.pdf","gsii/4309-hospital-course-1-17.pdf")</f>
        <v>gsii/4309-hospital-course-1-17.pdf</v>
      </c>
      <c r="F843">
        <v>109181</v>
      </c>
      <c r="G843">
        <v>4309</v>
      </c>
      <c r="H843" t="s">
        <v>745</v>
      </c>
      <c r="I843" t="s">
        <v>999</v>
      </c>
      <c r="J843" t="s">
        <v>4302</v>
      </c>
    </row>
    <row r="844" spans="1:10" x14ac:dyDescent="0.2">
      <c r="A844" t="s">
        <v>4303</v>
      </c>
      <c r="E844" t="str">
        <f>HYPERLINK("http://nlpdeep.cs.uic.edu:8080/proofing/t5/4309-hospital-course-1-18.pdf","t5/4309-hospital-course-1-18.pdf")</f>
        <v>t5/4309-hospital-course-1-18.pdf</v>
      </c>
      <c r="F844">
        <v>109181</v>
      </c>
      <c r="G844">
        <v>4309</v>
      </c>
      <c r="H844" t="s">
        <v>745</v>
      </c>
      <c r="I844" t="s">
        <v>999</v>
      </c>
      <c r="J844" t="s">
        <v>4304</v>
      </c>
    </row>
    <row r="845" spans="1:10" x14ac:dyDescent="0.2">
      <c r="A845" t="s">
        <v>4303</v>
      </c>
      <c r="E845" t="str">
        <f>HYPERLINK("http://nlpdeep.cs.uic.edu:8080/proofing/gsii/4309-hospital-course-1-18.pdf","gsii/4309-hospital-course-1-18.pdf")</f>
        <v>gsii/4309-hospital-course-1-18.pdf</v>
      </c>
      <c r="F845">
        <v>109181</v>
      </c>
      <c r="G845">
        <v>4309</v>
      </c>
      <c r="H845" t="s">
        <v>745</v>
      </c>
      <c r="I845" t="s">
        <v>999</v>
      </c>
      <c r="J845" t="s">
        <v>4304</v>
      </c>
    </row>
    <row r="846" spans="1:10" x14ac:dyDescent="0.2">
      <c r="A846" t="s">
        <v>4305</v>
      </c>
      <c r="E846" t="str">
        <f>HYPERLINK("http://nlpdeep.cs.uic.edu:8080/proofing/t5/4309-hospital-course-2-0.pdf","t5/4309-hospital-course-2-0.pdf")</f>
        <v>t5/4309-hospital-course-2-0.pdf</v>
      </c>
      <c r="F846">
        <v>109181</v>
      </c>
      <c r="G846">
        <v>4309</v>
      </c>
      <c r="H846" t="s">
        <v>745</v>
      </c>
      <c r="I846" t="s">
        <v>999</v>
      </c>
      <c r="J846" t="s">
        <v>4306</v>
      </c>
    </row>
    <row r="847" spans="1:10" x14ac:dyDescent="0.2">
      <c r="A847" t="s">
        <v>4305</v>
      </c>
      <c r="E847" t="str">
        <f>HYPERLINK("http://nlpdeep.cs.uic.edu:8080/proofing/gsii/4309-hospital-course-2-0.pdf","gsii/4309-hospital-course-2-0.pdf")</f>
        <v>gsii/4309-hospital-course-2-0.pdf</v>
      </c>
      <c r="F847">
        <v>109181</v>
      </c>
      <c r="G847">
        <v>4309</v>
      </c>
      <c r="H847" t="s">
        <v>745</v>
      </c>
      <c r="I847" t="s">
        <v>999</v>
      </c>
      <c r="J847" t="s">
        <v>4306</v>
      </c>
    </row>
    <row r="848" spans="1:10" x14ac:dyDescent="0.2">
      <c r="A848" t="s">
        <v>4307</v>
      </c>
      <c r="E848" t="str">
        <f>HYPERLINK("http://nlpdeep.cs.uic.edu:8080/proofing/t5/4309-hospital-course-2-1.pdf","t5/4309-hospital-course-2-1.pdf")</f>
        <v>t5/4309-hospital-course-2-1.pdf</v>
      </c>
      <c r="F848">
        <v>109181</v>
      </c>
      <c r="G848">
        <v>4309</v>
      </c>
      <c r="H848" t="s">
        <v>745</v>
      </c>
      <c r="I848" t="s">
        <v>999</v>
      </c>
      <c r="J848" t="s">
        <v>4308</v>
      </c>
    </row>
    <row r="849" spans="1:10" x14ac:dyDescent="0.2">
      <c r="A849" t="s">
        <v>4307</v>
      </c>
      <c r="E849" t="str">
        <f>HYPERLINK("http://nlpdeep.cs.uic.edu:8080/proofing/gsii/4309-hospital-course-2-1.pdf","gsii/4309-hospital-course-2-1.pdf")</f>
        <v>gsii/4309-hospital-course-2-1.pdf</v>
      </c>
      <c r="F849">
        <v>109181</v>
      </c>
      <c r="G849">
        <v>4309</v>
      </c>
      <c r="H849" t="s">
        <v>745</v>
      </c>
      <c r="I849" t="s">
        <v>999</v>
      </c>
      <c r="J849" t="s">
        <v>4308</v>
      </c>
    </row>
    <row r="850" spans="1:10" x14ac:dyDescent="0.2">
      <c r="A850" t="s">
        <v>4309</v>
      </c>
      <c r="E850" t="str">
        <f>HYPERLINK("http://nlpdeep.cs.uic.edu:8080/proofing/t5/4309-hospital-course-2-2.pdf","t5/4309-hospital-course-2-2.pdf")</f>
        <v>t5/4309-hospital-course-2-2.pdf</v>
      </c>
      <c r="F850">
        <v>109181</v>
      </c>
      <c r="G850">
        <v>4309</v>
      </c>
      <c r="H850" t="s">
        <v>745</v>
      </c>
      <c r="I850" t="s">
        <v>999</v>
      </c>
      <c r="J850" t="s">
        <v>4310</v>
      </c>
    </row>
    <row r="851" spans="1:10" x14ac:dyDescent="0.2">
      <c r="A851" t="s">
        <v>4309</v>
      </c>
      <c r="E851" t="str">
        <f>HYPERLINK("http://nlpdeep.cs.uic.edu:8080/proofing/gsii/4309-hospital-course-2-2.pdf","gsii/4309-hospital-course-2-2.pdf")</f>
        <v>gsii/4309-hospital-course-2-2.pdf</v>
      </c>
      <c r="F851">
        <v>109181</v>
      </c>
      <c r="G851">
        <v>4309</v>
      </c>
      <c r="H851" t="s">
        <v>745</v>
      </c>
      <c r="I851" t="s">
        <v>999</v>
      </c>
      <c r="J851" t="s">
        <v>4310</v>
      </c>
    </row>
    <row r="852" spans="1:10" x14ac:dyDescent="0.2">
      <c r="A852" t="s">
        <v>4311</v>
      </c>
      <c r="E852" t="str">
        <f>HYPERLINK("http://nlpdeep.cs.uic.edu:8080/proofing/t5/4309-hospital-course-2-3.pdf","t5/4309-hospital-course-2-3.pdf")</f>
        <v>t5/4309-hospital-course-2-3.pdf</v>
      </c>
      <c r="F852">
        <v>109181</v>
      </c>
      <c r="G852">
        <v>4309</v>
      </c>
      <c r="H852" t="s">
        <v>745</v>
      </c>
      <c r="I852" t="s">
        <v>999</v>
      </c>
      <c r="J852" t="s">
        <v>4312</v>
      </c>
    </row>
    <row r="853" spans="1:10" x14ac:dyDescent="0.2">
      <c r="A853" t="s">
        <v>4311</v>
      </c>
      <c r="E853" t="str">
        <f>HYPERLINK("http://nlpdeep.cs.uic.edu:8080/proofing/gsii/4309-hospital-course-2-3.pdf","gsii/4309-hospital-course-2-3.pdf")</f>
        <v>gsii/4309-hospital-course-2-3.pdf</v>
      </c>
      <c r="F853">
        <v>109181</v>
      </c>
      <c r="G853">
        <v>4309</v>
      </c>
      <c r="H853" t="s">
        <v>745</v>
      </c>
      <c r="I853" t="s">
        <v>999</v>
      </c>
      <c r="J853" t="s">
        <v>4312</v>
      </c>
    </row>
    <row r="854" spans="1:10" x14ac:dyDescent="0.2">
      <c r="A854" t="s">
        <v>4313</v>
      </c>
      <c r="E854" t="str">
        <f>HYPERLINK("http://nlpdeep.cs.uic.edu:8080/proofing/t5/4309-hospital-course-2-4.pdf","t5/4309-hospital-course-2-4.pdf")</f>
        <v>t5/4309-hospital-course-2-4.pdf</v>
      </c>
      <c r="F854">
        <v>109181</v>
      </c>
      <c r="G854">
        <v>4309</v>
      </c>
      <c r="H854" t="s">
        <v>745</v>
      </c>
      <c r="I854" t="s">
        <v>999</v>
      </c>
      <c r="J854" t="s">
        <v>4314</v>
      </c>
    </row>
    <row r="855" spans="1:10" x14ac:dyDescent="0.2">
      <c r="A855" t="s">
        <v>4313</v>
      </c>
      <c r="E855" t="str">
        <f>HYPERLINK("http://nlpdeep.cs.uic.edu:8080/proofing/gsii/4309-hospital-course-2-4.pdf","gsii/4309-hospital-course-2-4.pdf")</f>
        <v>gsii/4309-hospital-course-2-4.pdf</v>
      </c>
      <c r="F855">
        <v>109181</v>
      </c>
      <c r="G855">
        <v>4309</v>
      </c>
      <c r="H855" t="s">
        <v>745</v>
      </c>
      <c r="I855" t="s">
        <v>999</v>
      </c>
      <c r="J855" t="s">
        <v>4314</v>
      </c>
    </row>
    <row r="856" spans="1:10" x14ac:dyDescent="0.2">
      <c r="A856" t="s">
        <v>4315</v>
      </c>
      <c r="E856" t="str">
        <f>HYPERLINK("http://nlpdeep.cs.uic.edu:8080/proofing/t5/4309-hospital-course-2-5.pdf","t5/4309-hospital-course-2-5.pdf")</f>
        <v>t5/4309-hospital-course-2-5.pdf</v>
      </c>
      <c r="F856">
        <v>109181</v>
      </c>
      <c r="G856">
        <v>4309</v>
      </c>
      <c r="H856" t="s">
        <v>745</v>
      </c>
      <c r="I856" t="s">
        <v>999</v>
      </c>
      <c r="J856" t="s">
        <v>4316</v>
      </c>
    </row>
    <row r="857" spans="1:10" x14ac:dyDescent="0.2">
      <c r="A857" t="s">
        <v>4315</v>
      </c>
      <c r="E857" t="str">
        <f>HYPERLINK("http://nlpdeep.cs.uic.edu:8080/proofing/gsii/4309-hospital-course-2-5.pdf","gsii/4309-hospital-course-2-5.pdf")</f>
        <v>gsii/4309-hospital-course-2-5.pdf</v>
      </c>
      <c r="F857">
        <v>109181</v>
      </c>
      <c r="G857">
        <v>4309</v>
      </c>
      <c r="H857" t="s">
        <v>745</v>
      </c>
      <c r="I857" t="s">
        <v>999</v>
      </c>
      <c r="J857" t="s">
        <v>4316</v>
      </c>
    </row>
    <row r="858" spans="1:10" x14ac:dyDescent="0.2">
      <c r="A858" t="s">
        <v>4317</v>
      </c>
      <c r="E858" t="str">
        <f>HYPERLINK("http://nlpdeep.cs.uic.edu:8080/proofing/t5/4309-hospital-course-2-6.pdf","t5/4309-hospital-course-2-6.pdf")</f>
        <v>t5/4309-hospital-course-2-6.pdf</v>
      </c>
      <c r="F858">
        <v>109181</v>
      </c>
      <c r="G858">
        <v>4309</v>
      </c>
      <c r="H858" t="s">
        <v>745</v>
      </c>
      <c r="I858" t="s">
        <v>999</v>
      </c>
      <c r="J858" t="s">
        <v>4318</v>
      </c>
    </row>
    <row r="859" spans="1:10" x14ac:dyDescent="0.2">
      <c r="A859" t="s">
        <v>4317</v>
      </c>
      <c r="E859" t="str">
        <f>HYPERLINK("http://nlpdeep.cs.uic.edu:8080/proofing/gsii/4309-hospital-course-2-6.pdf","gsii/4309-hospital-course-2-6.pdf")</f>
        <v>gsii/4309-hospital-course-2-6.pdf</v>
      </c>
      <c r="F859">
        <v>109181</v>
      </c>
      <c r="G859">
        <v>4309</v>
      </c>
      <c r="H859" t="s">
        <v>745</v>
      </c>
      <c r="I859" t="s">
        <v>999</v>
      </c>
      <c r="J859" t="s">
        <v>4318</v>
      </c>
    </row>
    <row r="860" spans="1:10" x14ac:dyDescent="0.2">
      <c r="A860" t="s">
        <v>4319</v>
      </c>
      <c r="E860" t="str">
        <f>HYPERLINK("http://nlpdeep.cs.uic.edu:8080/proofing/t5/4309-hospital-course-2-7.pdf","t5/4309-hospital-course-2-7.pdf")</f>
        <v>t5/4309-hospital-course-2-7.pdf</v>
      </c>
      <c r="F860">
        <v>109181</v>
      </c>
      <c r="G860">
        <v>4309</v>
      </c>
      <c r="H860" t="s">
        <v>745</v>
      </c>
      <c r="I860" t="s">
        <v>999</v>
      </c>
      <c r="J860" t="s">
        <v>4320</v>
      </c>
    </row>
    <row r="861" spans="1:10" x14ac:dyDescent="0.2">
      <c r="A861" t="s">
        <v>4319</v>
      </c>
      <c r="E861" t="str">
        <f>HYPERLINK("http://nlpdeep.cs.uic.edu:8080/proofing/gsii/4309-hospital-course-2-7.pdf","gsii/4309-hospital-course-2-7.pdf")</f>
        <v>gsii/4309-hospital-course-2-7.pdf</v>
      </c>
      <c r="F861">
        <v>109181</v>
      </c>
      <c r="G861">
        <v>4309</v>
      </c>
      <c r="H861" t="s">
        <v>745</v>
      </c>
      <c r="I861" t="s">
        <v>999</v>
      </c>
      <c r="J861" t="s">
        <v>4320</v>
      </c>
    </row>
    <row r="862" spans="1:10" x14ac:dyDescent="0.2">
      <c r="A862" t="s">
        <v>4321</v>
      </c>
      <c r="E862" t="str">
        <f>HYPERLINK("http://nlpdeep.cs.uic.edu:8080/proofing/t5/4309-hospital-course-2-8.pdf","t5/4309-hospital-course-2-8.pdf")</f>
        <v>t5/4309-hospital-course-2-8.pdf</v>
      </c>
      <c r="F862">
        <v>109181</v>
      </c>
      <c r="G862">
        <v>4309</v>
      </c>
      <c r="H862" t="s">
        <v>745</v>
      </c>
      <c r="I862" t="s">
        <v>999</v>
      </c>
      <c r="J862" t="s">
        <v>4322</v>
      </c>
    </row>
    <row r="863" spans="1:10" x14ac:dyDescent="0.2">
      <c r="A863" t="s">
        <v>4321</v>
      </c>
      <c r="E863" t="str">
        <f>HYPERLINK("http://nlpdeep.cs.uic.edu:8080/proofing/gsii/4309-hospital-course-2-8.pdf","gsii/4309-hospital-course-2-8.pdf")</f>
        <v>gsii/4309-hospital-course-2-8.pdf</v>
      </c>
      <c r="F863">
        <v>109181</v>
      </c>
      <c r="G863">
        <v>4309</v>
      </c>
      <c r="H863" t="s">
        <v>745</v>
      </c>
      <c r="I863" t="s">
        <v>999</v>
      </c>
      <c r="J863" t="s">
        <v>4322</v>
      </c>
    </row>
    <row r="864" spans="1:10" x14ac:dyDescent="0.2">
      <c r="A864" t="s">
        <v>4323</v>
      </c>
      <c r="E864" t="str">
        <f>HYPERLINK("http://nlpdeep.cs.uic.edu:8080/proofing/t5/4309-hospital-course-2-9.pdf","t5/4309-hospital-course-2-9.pdf")</f>
        <v>t5/4309-hospital-course-2-9.pdf</v>
      </c>
      <c r="F864">
        <v>109181</v>
      </c>
      <c r="G864">
        <v>4309</v>
      </c>
      <c r="H864" t="s">
        <v>745</v>
      </c>
      <c r="I864" t="s">
        <v>999</v>
      </c>
      <c r="J864" t="s">
        <v>4324</v>
      </c>
    </row>
    <row r="865" spans="1:10" x14ac:dyDescent="0.2">
      <c r="A865" t="s">
        <v>4323</v>
      </c>
      <c r="E865" t="str">
        <f>HYPERLINK("http://nlpdeep.cs.uic.edu:8080/proofing/gsii/4309-hospital-course-2-9.pdf","gsii/4309-hospital-course-2-9.pdf")</f>
        <v>gsii/4309-hospital-course-2-9.pdf</v>
      </c>
      <c r="F865">
        <v>109181</v>
      </c>
      <c r="G865">
        <v>4309</v>
      </c>
      <c r="H865" t="s">
        <v>745</v>
      </c>
      <c r="I865" t="s">
        <v>999</v>
      </c>
      <c r="J865" t="s">
        <v>4324</v>
      </c>
    </row>
    <row r="866" spans="1:10" x14ac:dyDescent="0.2">
      <c r="A866" t="s">
        <v>4325</v>
      </c>
      <c r="E866" t="str">
        <f>HYPERLINK("http://nlpdeep.cs.uic.edu:8080/proofing/t5/4309-hospital-course-2-10.pdf","t5/4309-hospital-course-2-10.pdf")</f>
        <v>t5/4309-hospital-course-2-10.pdf</v>
      </c>
      <c r="F866">
        <v>109181</v>
      </c>
      <c r="G866">
        <v>4309</v>
      </c>
      <c r="H866" t="s">
        <v>745</v>
      </c>
      <c r="I866" t="s">
        <v>999</v>
      </c>
      <c r="J866" t="s">
        <v>4326</v>
      </c>
    </row>
    <row r="867" spans="1:10" x14ac:dyDescent="0.2">
      <c r="A867" t="s">
        <v>4325</v>
      </c>
      <c r="E867" t="str">
        <f>HYPERLINK("http://nlpdeep.cs.uic.edu:8080/proofing/gsii/4309-hospital-course-2-10.pdf","gsii/4309-hospital-course-2-10.pdf")</f>
        <v>gsii/4309-hospital-course-2-10.pdf</v>
      </c>
      <c r="F867">
        <v>109181</v>
      </c>
      <c r="G867">
        <v>4309</v>
      </c>
      <c r="H867" t="s">
        <v>745</v>
      </c>
      <c r="I867" t="s">
        <v>999</v>
      </c>
      <c r="J867" t="s">
        <v>4326</v>
      </c>
    </row>
    <row r="868" spans="1:10" x14ac:dyDescent="0.2">
      <c r="A868" t="s">
        <v>4327</v>
      </c>
      <c r="E868" t="str">
        <f>HYPERLINK("http://nlpdeep.cs.uic.edu:8080/proofing/t5/4309-hospital-course-2-11.pdf","t5/4309-hospital-course-2-11.pdf")</f>
        <v>t5/4309-hospital-course-2-11.pdf</v>
      </c>
      <c r="F868">
        <v>109181</v>
      </c>
      <c r="G868">
        <v>4309</v>
      </c>
      <c r="H868" t="s">
        <v>745</v>
      </c>
      <c r="I868" t="s">
        <v>999</v>
      </c>
      <c r="J868" t="s">
        <v>4328</v>
      </c>
    </row>
    <row r="869" spans="1:10" x14ac:dyDescent="0.2">
      <c r="A869" t="s">
        <v>4327</v>
      </c>
      <c r="E869" t="str">
        <f>HYPERLINK("http://nlpdeep.cs.uic.edu:8080/proofing/gsii/4309-hospital-course-2-11.pdf","gsii/4309-hospital-course-2-11.pdf")</f>
        <v>gsii/4309-hospital-course-2-11.pdf</v>
      </c>
      <c r="F869">
        <v>109181</v>
      </c>
      <c r="G869">
        <v>4309</v>
      </c>
      <c r="H869" t="s">
        <v>745</v>
      </c>
      <c r="I869" t="s">
        <v>999</v>
      </c>
      <c r="J869" t="s">
        <v>4328</v>
      </c>
    </row>
    <row r="870" spans="1:10" x14ac:dyDescent="0.2">
      <c r="A870" t="s">
        <v>4329</v>
      </c>
      <c r="E870" t="str">
        <f>HYPERLINK("http://nlpdeep.cs.uic.edu:8080/proofing/t5/4309-hospital-course-2-12.pdf","t5/4309-hospital-course-2-12.pdf")</f>
        <v>t5/4309-hospital-course-2-12.pdf</v>
      </c>
      <c r="F870">
        <v>109181</v>
      </c>
      <c r="G870">
        <v>4309</v>
      </c>
      <c r="H870" t="s">
        <v>745</v>
      </c>
      <c r="I870" t="s">
        <v>999</v>
      </c>
      <c r="J870" t="s">
        <v>4330</v>
      </c>
    </row>
    <row r="871" spans="1:10" x14ac:dyDescent="0.2">
      <c r="A871" t="s">
        <v>4329</v>
      </c>
      <c r="E871" t="str">
        <f>HYPERLINK("http://nlpdeep.cs.uic.edu:8080/proofing/gsii/4309-hospital-course-2-12.pdf","gsii/4309-hospital-course-2-12.pdf")</f>
        <v>gsii/4309-hospital-course-2-12.pdf</v>
      </c>
      <c r="F871">
        <v>109181</v>
      </c>
      <c r="G871">
        <v>4309</v>
      </c>
      <c r="H871" t="s">
        <v>745</v>
      </c>
      <c r="I871" t="s">
        <v>999</v>
      </c>
      <c r="J871" t="s">
        <v>4330</v>
      </c>
    </row>
    <row r="872" spans="1:10" x14ac:dyDescent="0.2">
      <c r="A872" t="s">
        <v>4331</v>
      </c>
      <c r="E872" t="str">
        <f>HYPERLINK("http://nlpdeep.cs.uic.edu:8080/proofing/t5/4309-hospital-course-2-13.pdf","t5/4309-hospital-course-2-13.pdf")</f>
        <v>t5/4309-hospital-course-2-13.pdf</v>
      </c>
      <c r="F872">
        <v>109181</v>
      </c>
      <c r="G872">
        <v>4309</v>
      </c>
      <c r="H872" t="s">
        <v>745</v>
      </c>
      <c r="I872" t="s">
        <v>999</v>
      </c>
      <c r="J872" t="s">
        <v>4332</v>
      </c>
    </row>
    <row r="873" spans="1:10" x14ac:dyDescent="0.2">
      <c r="A873" t="s">
        <v>4331</v>
      </c>
      <c r="E873" t="str">
        <f>HYPERLINK("http://nlpdeep.cs.uic.edu:8080/proofing/gsii/4309-hospital-course-2-13.pdf","gsii/4309-hospital-course-2-13.pdf")</f>
        <v>gsii/4309-hospital-course-2-13.pdf</v>
      </c>
      <c r="F873">
        <v>109181</v>
      </c>
      <c r="G873">
        <v>4309</v>
      </c>
      <c r="H873" t="s">
        <v>745</v>
      </c>
      <c r="I873" t="s">
        <v>999</v>
      </c>
      <c r="J873" t="s">
        <v>4332</v>
      </c>
    </row>
    <row r="874" spans="1:10" x14ac:dyDescent="0.2">
      <c r="A874" t="s">
        <v>4333</v>
      </c>
      <c r="E874" t="str">
        <f>HYPERLINK("http://nlpdeep.cs.uic.edu:8080/proofing/t5/4309-hospital-course-2-14.pdf","t5/4309-hospital-course-2-14.pdf")</f>
        <v>t5/4309-hospital-course-2-14.pdf</v>
      </c>
      <c r="F874">
        <v>109181</v>
      </c>
      <c r="G874">
        <v>4309</v>
      </c>
      <c r="H874" t="s">
        <v>745</v>
      </c>
      <c r="I874" t="s">
        <v>999</v>
      </c>
      <c r="J874" t="s">
        <v>4334</v>
      </c>
    </row>
    <row r="875" spans="1:10" x14ac:dyDescent="0.2">
      <c r="A875" t="s">
        <v>4333</v>
      </c>
      <c r="E875" t="str">
        <f>HYPERLINK("http://nlpdeep.cs.uic.edu:8080/proofing/gsii/4309-hospital-course-2-14.pdf","gsii/4309-hospital-course-2-14.pdf")</f>
        <v>gsii/4309-hospital-course-2-14.pdf</v>
      </c>
      <c r="F875">
        <v>109181</v>
      </c>
      <c r="G875">
        <v>4309</v>
      </c>
      <c r="H875" t="s">
        <v>745</v>
      </c>
      <c r="I875" t="s">
        <v>999</v>
      </c>
      <c r="J875" t="s">
        <v>4334</v>
      </c>
    </row>
    <row r="876" spans="1:10" x14ac:dyDescent="0.2">
      <c r="A876" t="s">
        <v>4335</v>
      </c>
      <c r="E876" t="str">
        <f>HYPERLINK("http://nlpdeep.cs.uic.edu:8080/proofing/t5/4309-hospital-course-2-15.pdf","t5/4309-hospital-course-2-15.pdf")</f>
        <v>t5/4309-hospital-course-2-15.pdf</v>
      </c>
      <c r="F876">
        <v>109181</v>
      </c>
      <c r="G876">
        <v>4309</v>
      </c>
      <c r="H876" t="s">
        <v>745</v>
      </c>
      <c r="I876" t="s">
        <v>999</v>
      </c>
      <c r="J876" t="s">
        <v>4336</v>
      </c>
    </row>
    <row r="877" spans="1:10" x14ac:dyDescent="0.2">
      <c r="A877" t="s">
        <v>4335</v>
      </c>
      <c r="E877" t="str">
        <f>HYPERLINK("http://nlpdeep.cs.uic.edu:8080/proofing/gsii/4309-hospital-course-2-15.pdf","gsii/4309-hospital-course-2-15.pdf")</f>
        <v>gsii/4309-hospital-course-2-15.pdf</v>
      </c>
      <c r="F877">
        <v>109181</v>
      </c>
      <c r="G877">
        <v>4309</v>
      </c>
      <c r="H877" t="s">
        <v>745</v>
      </c>
      <c r="I877" t="s">
        <v>999</v>
      </c>
      <c r="J877" t="s">
        <v>4336</v>
      </c>
    </row>
    <row r="878" spans="1:10" x14ac:dyDescent="0.2">
      <c r="A878" t="s">
        <v>4337</v>
      </c>
      <c r="E878" t="str">
        <f>HYPERLINK("http://nlpdeep.cs.uic.edu:8080/proofing/t5/4309-hospital-course-2-16.pdf","t5/4309-hospital-course-2-16.pdf")</f>
        <v>t5/4309-hospital-course-2-16.pdf</v>
      </c>
      <c r="F878">
        <v>109181</v>
      </c>
      <c r="G878">
        <v>4309</v>
      </c>
      <c r="H878" t="s">
        <v>745</v>
      </c>
      <c r="I878" t="s">
        <v>999</v>
      </c>
      <c r="J878" t="s">
        <v>4338</v>
      </c>
    </row>
    <row r="879" spans="1:10" x14ac:dyDescent="0.2">
      <c r="A879" t="s">
        <v>4337</v>
      </c>
      <c r="E879" t="str">
        <f>HYPERLINK("http://nlpdeep.cs.uic.edu:8080/proofing/gsii/4309-hospital-course-2-16.pdf","gsii/4309-hospital-course-2-16.pdf")</f>
        <v>gsii/4309-hospital-course-2-16.pdf</v>
      </c>
      <c r="F879">
        <v>109181</v>
      </c>
      <c r="G879">
        <v>4309</v>
      </c>
      <c r="H879" t="s">
        <v>745</v>
      </c>
      <c r="I879" t="s">
        <v>999</v>
      </c>
      <c r="J879" t="s">
        <v>4338</v>
      </c>
    </row>
    <row r="880" spans="1:10" x14ac:dyDescent="0.2">
      <c r="A880" t="s">
        <v>4339</v>
      </c>
      <c r="E880" t="str">
        <f>HYPERLINK("http://nlpdeep.cs.uic.edu:8080/proofing/t5/4309-hospital-course-2-17.pdf","t5/4309-hospital-course-2-17.pdf")</f>
        <v>t5/4309-hospital-course-2-17.pdf</v>
      </c>
      <c r="F880">
        <v>109181</v>
      </c>
      <c r="G880">
        <v>4309</v>
      </c>
      <c r="H880" t="s">
        <v>745</v>
      </c>
      <c r="I880" t="s">
        <v>999</v>
      </c>
      <c r="J880" t="s">
        <v>4340</v>
      </c>
    </row>
    <row r="881" spans="1:10" x14ac:dyDescent="0.2">
      <c r="A881" t="s">
        <v>4339</v>
      </c>
      <c r="E881" t="str">
        <f>HYPERLINK("http://nlpdeep.cs.uic.edu:8080/proofing/gsii/4309-hospital-course-2-17.pdf","gsii/4309-hospital-course-2-17.pdf")</f>
        <v>gsii/4309-hospital-course-2-17.pdf</v>
      </c>
      <c r="F881">
        <v>109181</v>
      </c>
      <c r="G881">
        <v>4309</v>
      </c>
      <c r="H881" t="s">
        <v>745</v>
      </c>
      <c r="I881" t="s">
        <v>999</v>
      </c>
      <c r="J881" t="s">
        <v>4340</v>
      </c>
    </row>
    <row r="882" spans="1:10" x14ac:dyDescent="0.2">
      <c r="A882" t="s">
        <v>4341</v>
      </c>
      <c r="E882" t="str">
        <f>HYPERLINK("http://nlpdeep.cs.uic.edu:8080/proofing/t5/4309-hospital-course-2-18.pdf","t5/4309-hospital-course-2-18.pdf")</f>
        <v>t5/4309-hospital-course-2-18.pdf</v>
      </c>
      <c r="F882">
        <v>109181</v>
      </c>
      <c r="G882">
        <v>4309</v>
      </c>
      <c r="H882" t="s">
        <v>745</v>
      </c>
      <c r="I882" t="s">
        <v>999</v>
      </c>
      <c r="J882" t="s">
        <v>4342</v>
      </c>
    </row>
    <row r="883" spans="1:10" x14ac:dyDescent="0.2">
      <c r="A883" t="s">
        <v>4341</v>
      </c>
      <c r="E883" t="str">
        <f>HYPERLINK("http://nlpdeep.cs.uic.edu:8080/proofing/gsii/4309-hospital-course-2-18.pdf","gsii/4309-hospital-course-2-18.pdf")</f>
        <v>gsii/4309-hospital-course-2-18.pdf</v>
      </c>
      <c r="F883">
        <v>109181</v>
      </c>
      <c r="G883">
        <v>4309</v>
      </c>
      <c r="H883" t="s">
        <v>745</v>
      </c>
      <c r="I883" t="s">
        <v>999</v>
      </c>
      <c r="J883" t="s">
        <v>4342</v>
      </c>
    </row>
    <row r="884" spans="1:10" x14ac:dyDescent="0.2">
      <c r="A884" t="s">
        <v>4343</v>
      </c>
      <c r="E884" t="str">
        <f>HYPERLINK("http://nlpdeep.cs.uic.edu:8080/proofing/t5/4309-hospital-course-3-0.pdf","t5/4309-hospital-course-3-0.pdf")</f>
        <v>t5/4309-hospital-course-3-0.pdf</v>
      </c>
      <c r="F884">
        <v>109181</v>
      </c>
      <c r="G884">
        <v>4309</v>
      </c>
      <c r="H884" t="s">
        <v>745</v>
      </c>
      <c r="I884" t="s">
        <v>999</v>
      </c>
      <c r="J884" t="s">
        <v>4344</v>
      </c>
    </row>
    <row r="885" spans="1:10" x14ac:dyDescent="0.2">
      <c r="A885" t="s">
        <v>4343</v>
      </c>
      <c r="E885" t="str">
        <f>HYPERLINK("http://nlpdeep.cs.uic.edu:8080/proofing/gsii/4309-hospital-course-3-0.pdf","gsii/4309-hospital-course-3-0.pdf")</f>
        <v>gsii/4309-hospital-course-3-0.pdf</v>
      </c>
      <c r="F885">
        <v>109181</v>
      </c>
      <c r="G885">
        <v>4309</v>
      </c>
      <c r="H885" t="s">
        <v>745</v>
      </c>
      <c r="I885" t="s">
        <v>999</v>
      </c>
      <c r="J885" t="s">
        <v>4344</v>
      </c>
    </row>
    <row r="886" spans="1:10" x14ac:dyDescent="0.2">
      <c r="A886" t="s">
        <v>4345</v>
      </c>
      <c r="E886" t="str">
        <f>HYPERLINK("http://nlpdeep.cs.uic.edu:8080/proofing/t5/4309-hospital-course-3-1.pdf","t5/4309-hospital-course-3-1.pdf")</f>
        <v>t5/4309-hospital-course-3-1.pdf</v>
      </c>
      <c r="F886">
        <v>109181</v>
      </c>
      <c r="G886">
        <v>4309</v>
      </c>
      <c r="H886" t="s">
        <v>745</v>
      </c>
      <c r="I886" t="s">
        <v>999</v>
      </c>
      <c r="J886" t="s">
        <v>4346</v>
      </c>
    </row>
    <row r="887" spans="1:10" x14ac:dyDescent="0.2">
      <c r="A887" t="s">
        <v>4345</v>
      </c>
      <c r="E887" t="str">
        <f>HYPERLINK("http://nlpdeep.cs.uic.edu:8080/proofing/gsii/4309-hospital-course-3-1.pdf","gsii/4309-hospital-course-3-1.pdf")</f>
        <v>gsii/4309-hospital-course-3-1.pdf</v>
      </c>
      <c r="F887">
        <v>109181</v>
      </c>
      <c r="G887">
        <v>4309</v>
      </c>
      <c r="H887" t="s">
        <v>745</v>
      </c>
      <c r="I887" t="s">
        <v>999</v>
      </c>
      <c r="J887" t="s">
        <v>4346</v>
      </c>
    </row>
    <row r="888" spans="1:10" x14ac:dyDescent="0.2">
      <c r="A888" t="s">
        <v>4347</v>
      </c>
      <c r="E888" t="str">
        <f>HYPERLINK("http://nlpdeep.cs.uic.edu:8080/proofing/t5/4309-hospital-course-3-2.pdf","t5/4309-hospital-course-3-2.pdf")</f>
        <v>t5/4309-hospital-course-3-2.pdf</v>
      </c>
      <c r="F888">
        <v>109181</v>
      </c>
      <c r="G888">
        <v>4309</v>
      </c>
      <c r="H888" t="s">
        <v>745</v>
      </c>
      <c r="I888" t="s">
        <v>999</v>
      </c>
      <c r="J888" t="s">
        <v>4348</v>
      </c>
    </row>
    <row r="889" spans="1:10" x14ac:dyDescent="0.2">
      <c r="A889" t="s">
        <v>4347</v>
      </c>
      <c r="E889" t="str">
        <f>HYPERLINK("http://nlpdeep.cs.uic.edu:8080/proofing/gsii/4309-hospital-course-3-2.pdf","gsii/4309-hospital-course-3-2.pdf")</f>
        <v>gsii/4309-hospital-course-3-2.pdf</v>
      </c>
      <c r="F889">
        <v>109181</v>
      </c>
      <c r="G889">
        <v>4309</v>
      </c>
      <c r="H889" t="s">
        <v>745</v>
      </c>
      <c r="I889" t="s">
        <v>999</v>
      </c>
      <c r="J889" t="s">
        <v>4348</v>
      </c>
    </row>
    <row r="890" spans="1:10" x14ac:dyDescent="0.2">
      <c r="A890" t="s">
        <v>4349</v>
      </c>
      <c r="E890" t="str">
        <f>HYPERLINK("http://nlpdeep.cs.uic.edu:8080/proofing/t5/4309-hospital-course-3-3.pdf","t5/4309-hospital-course-3-3.pdf")</f>
        <v>t5/4309-hospital-course-3-3.pdf</v>
      </c>
      <c r="F890">
        <v>109181</v>
      </c>
      <c r="G890">
        <v>4309</v>
      </c>
      <c r="H890" t="s">
        <v>745</v>
      </c>
      <c r="I890" t="s">
        <v>999</v>
      </c>
      <c r="J890" t="s">
        <v>4350</v>
      </c>
    </row>
    <row r="891" spans="1:10" x14ac:dyDescent="0.2">
      <c r="A891" t="s">
        <v>4349</v>
      </c>
      <c r="E891" t="str">
        <f>HYPERLINK("http://nlpdeep.cs.uic.edu:8080/proofing/gsii/4309-hospital-course-3-3.pdf","gsii/4309-hospital-course-3-3.pdf")</f>
        <v>gsii/4309-hospital-course-3-3.pdf</v>
      </c>
      <c r="F891">
        <v>109181</v>
      </c>
      <c r="G891">
        <v>4309</v>
      </c>
      <c r="H891" t="s">
        <v>745</v>
      </c>
      <c r="I891" t="s">
        <v>999</v>
      </c>
      <c r="J891" t="s">
        <v>4350</v>
      </c>
    </row>
    <row r="892" spans="1:10" x14ac:dyDescent="0.2">
      <c r="A892" t="s">
        <v>4351</v>
      </c>
      <c r="E892" t="str">
        <f>HYPERLINK("http://nlpdeep.cs.uic.edu:8080/proofing/t5/4309-hospital-course-3-4.pdf","t5/4309-hospital-course-3-4.pdf")</f>
        <v>t5/4309-hospital-course-3-4.pdf</v>
      </c>
      <c r="F892">
        <v>109181</v>
      </c>
      <c r="G892">
        <v>4309</v>
      </c>
      <c r="H892" t="s">
        <v>745</v>
      </c>
      <c r="I892" t="s">
        <v>999</v>
      </c>
      <c r="J892" t="s">
        <v>4352</v>
      </c>
    </row>
    <row r="893" spans="1:10" x14ac:dyDescent="0.2">
      <c r="A893" t="s">
        <v>4351</v>
      </c>
      <c r="E893" t="str">
        <f>HYPERLINK("http://nlpdeep.cs.uic.edu:8080/proofing/gsii/4309-hospital-course-3-4.pdf","gsii/4309-hospital-course-3-4.pdf")</f>
        <v>gsii/4309-hospital-course-3-4.pdf</v>
      </c>
      <c r="F893">
        <v>109181</v>
      </c>
      <c r="G893">
        <v>4309</v>
      </c>
      <c r="H893" t="s">
        <v>745</v>
      </c>
      <c r="I893" t="s">
        <v>999</v>
      </c>
      <c r="J893" t="s">
        <v>4352</v>
      </c>
    </row>
    <row r="894" spans="1:10" x14ac:dyDescent="0.2">
      <c r="A894" t="s">
        <v>4353</v>
      </c>
      <c r="E894" t="str">
        <f>HYPERLINK("http://nlpdeep.cs.uic.edu:8080/proofing/t5/4309-hospital-course-3-5.pdf","t5/4309-hospital-course-3-5.pdf")</f>
        <v>t5/4309-hospital-course-3-5.pdf</v>
      </c>
      <c r="F894">
        <v>109181</v>
      </c>
      <c r="G894">
        <v>4309</v>
      </c>
      <c r="H894" t="s">
        <v>745</v>
      </c>
      <c r="I894" t="s">
        <v>999</v>
      </c>
      <c r="J894" t="s">
        <v>4354</v>
      </c>
    </row>
    <row r="895" spans="1:10" x14ac:dyDescent="0.2">
      <c r="A895" t="s">
        <v>4353</v>
      </c>
      <c r="E895" t="str">
        <f>HYPERLINK("http://nlpdeep.cs.uic.edu:8080/proofing/gsii/4309-hospital-course-3-5.pdf","gsii/4309-hospital-course-3-5.pdf")</f>
        <v>gsii/4309-hospital-course-3-5.pdf</v>
      </c>
      <c r="F895">
        <v>109181</v>
      </c>
      <c r="G895">
        <v>4309</v>
      </c>
      <c r="H895" t="s">
        <v>745</v>
      </c>
      <c r="I895" t="s">
        <v>999</v>
      </c>
      <c r="J895" t="s">
        <v>4354</v>
      </c>
    </row>
    <row r="896" spans="1:10" x14ac:dyDescent="0.2">
      <c r="A896" t="s">
        <v>4355</v>
      </c>
      <c r="E896" t="str">
        <f>HYPERLINK("http://nlpdeep.cs.uic.edu:8080/proofing/t5/4309-hospital-course-4-0.pdf","t5/4309-hospital-course-4-0.pdf")</f>
        <v>t5/4309-hospital-course-4-0.pdf</v>
      </c>
      <c r="F896">
        <v>109181</v>
      </c>
      <c r="G896">
        <v>4309</v>
      </c>
      <c r="H896" t="s">
        <v>745</v>
      </c>
      <c r="I896" t="s">
        <v>999</v>
      </c>
      <c r="J896" t="s">
        <v>4356</v>
      </c>
    </row>
    <row r="897" spans="1:10" x14ac:dyDescent="0.2">
      <c r="A897" t="s">
        <v>4355</v>
      </c>
      <c r="E897" t="str">
        <f>HYPERLINK("http://nlpdeep.cs.uic.edu:8080/proofing/gsii/4309-hospital-course-4-0.pdf","gsii/4309-hospital-course-4-0.pdf")</f>
        <v>gsii/4309-hospital-course-4-0.pdf</v>
      </c>
      <c r="F897">
        <v>109181</v>
      </c>
      <c r="G897">
        <v>4309</v>
      </c>
      <c r="H897" t="s">
        <v>745</v>
      </c>
      <c r="I897" t="s">
        <v>999</v>
      </c>
      <c r="J897" t="s">
        <v>4356</v>
      </c>
    </row>
    <row r="898" spans="1:10" x14ac:dyDescent="0.2">
      <c r="A898" t="s">
        <v>4357</v>
      </c>
      <c r="E898" t="str">
        <f>HYPERLINK("http://nlpdeep.cs.uic.edu:8080/proofing/t5/4309-hospital-course-4-1.pdf","t5/4309-hospital-course-4-1.pdf")</f>
        <v>t5/4309-hospital-course-4-1.pdf</v>
      </c>
      <c r="F898">
        <v>109181</v>
      </c>
      <c r="G898">
        <v>4309</v>
      </c>
      <c r="H898" t="s">
        <v>745</v>
      </c>
      <c r="I898" t="s">
        <v>999</v>
      </c>
      <c r="J898" t="s">
        <v>4358</v>
      </c>
    </row>
    <row r="899" spans="1:10" x14ac:dyDescent="0.2">
      <c r="A899" t="s">
        <v>4357</v>
      </c>
      <c r="E899" t="str">
        <f>HYPERLINK("http://nlpdeep.cs.uic.edu:8080/proofing/gsii/4309-hospital-course-4-1.pdf","gsii/4309-hospital-course-4-1.pdf")</f>
        <v>gsii/4309-hospital-course-4-1.pdf</v>
      </c>
      <c r="F899">
        <v>109181</v>
      </c>
      <c r="G899">
        <v>4309</v>
      </c>
      <c r="H899" t="s">
        <v>745</v>
      </c>
      <c r="I899" t="s">
        <v>999</v>
      </c>
      <c r="J899" t="s">
        <v>4358</v>
      </c>
    </row>
    <row r="900" spans="1:10" x14ac:dyDescent="0.2">
      <c r="A900" t="s">
        <v>4359</v>
      </c>
      <c r="E900" t="str">
        <f>HYPERLINK("http://nlpdeep.cs.uic.edu:8080/proofing/t5/4309-hospital-course-4-2.pdf","t5/4309-hospital-course-4-2.pdf")</f>
        <v>t5/4309-hospital-course-4-2.pdf</v>
      </c>
      <c r="F900">
        <v>109181</v>
      </c>
      <c r="G900">
        <v>4309</v>
      </c>
      <c r="H900" t="s">
        <v>745</v>
      </c>
      <c r="I900" t="s">
        <v>999</v>
      </c>
      <c r="J900" t="s">
        <v>4360</v>
      </c>
    </row>
    <row r="901" spans="1:10" x14ac:dyDescent="0.2">
      <c r="A901" t="s">
        <v>4359</v>
      </c>
      <c r="E901" t="str">
        <f>HYPERLINK("http://nlpdeep.cs.uic.edu:8080/proofing/gsii/4309-hospital-course-4-2.pdf","gsii/4309-hospital-course-4-2.pdf")</f>
        <v>gsii/4309-hospital-course-4-2.pdf</v>
      </c>
      <c r="F901">
        <v>109181</v>
      </c>
      <c r="G901">
        <v>4309</v>
      </c>
      <c r="H901" t="s">
        <v>745</v>
      </c>
      <c r="I901" t="s">
        <v>999</v>
      </c>
      <c r="J901" t="s">
        <v>4360</v>
      </c>
    </row>
    <row r="902" spans="1:10" x14ac:dyDescent="0.2">
      <c r="A902" t="s">
        <v>4361</v>
      </c>
      <c r="E902" t="str">
        <f>HYPERLINK("http://nlpdeep.cs.uic.edu:8080/proofing/t5/4309-hospital-course-4-3.pdf","t5/4309-hospital-course-4-3.pdf")</f>
        <v>t5/4309-hospital-course-4-3.pdf</v>
      </c>
      <c r="F902">
        <v>109181</v>
      </c>
      <c r="G902">
        <v>4309</v>
      </c>
      <c r="H902" t="s">
        <v>745</v>
      </c>
      <c r="I902" t="s">
        <v>999</v>
      </c>
      <c r="J902" t="s">
        <v>4362</v>
      </c>
    </row>
    <row r="903" spans="1:10" x14ac:dyDescent="0.2">
      <c r="A903" t="s">
        <v>4361</v>
      </c>
      <c r="E903" t="str">
        <f>HYPERLINK("http://nlpdeep.cs.uic.edu:8080/proofing/gsii/4309-hospital-course-4-3.pdf","gsii/4309-hospital-course-4-3.pdf")</f>
        <v>gsii/4309-hospital-course-4-3.pdf</v>
      </c>
      <c r="F903">
        <v>109181</v>
      </c>
      <c r="G903">
        <v>4309</v>
      </c>
      <c r="H903" t="s">
        <v>745</v>
      </c>
      <c r="I903" t="s">
        <v>999</v>
      </c>
      <c r="J903" t="s">
        <v>4362</v>
      </c>
    </row>
    <row r="904" spans="1:10" x14ac:dyDescent="0.2">
      <c r="A904" t="s">
        <v>4363</v>
      </c>
      <c r="E904" t="str">
        <f>HYPERLINK("http://nlpdeep.cs.uic.edu:8080/proofing/t5/4309-hospital-course-4-4.pdf","t5/4309-hospital-course-4-4.pdf")</f>
        <v>t5/4309-hospital-course-4-4.pdf</v>
      </c>
      <c r="F904">
        <v>109181</v>
      </c>
      <c r="G904">
        <v>4309</v>
      </c>
      <c r="H904" t="s">
        <v>745</v>
      </c>
      <c r="I904" t="s">
        <v>999</v>
      </c>
      <c r="J904" t="s">
        <v>4364</v>
      </c>
    </row>
    <row r="905" spans="1:10" x14ac:dyDescent="0.2">
      <c r="A905" t="s">
        <v>4363</v>
      </c>
      <c r="E905" t="str">
        <f>HYPERLINK("http://nlpdeep.cs.uic.edu:8080/proofing/gsii/4309-hospital-course-4-4.pdf","gsii/4309-hospital-course-4-4.pdf")</f>
        <v>gsii/4309-hospital-course-4-4.pdf</v>
      </c>
      <c r="F905">
        <v>109181</v>
      </c>
      <c r="G905">
        <v>4309</v>
      </c>
      <c r="H905" t="s">
        <v>745</v>
      </c>
      <c r="I905" t="s">
        <v>999</v>
      </c>
      <c r="J905" t="s">
        <v>4364</v>
      </c>
    </row>
    <row r="906" spans="1:10" x14ac:dyDescent="0.2">
      <c r="A906" t="s">
        <v>4365</v>
      </c>
      <c r="E906" t="str">
        <f>HYPERLINK("http://nlpdeep.cs.uic.edu:8080/proofing/t5/4309-hospital-course-5-0.pdf","t5/4309-hospital-course-5-0.pdf")</f>
        <v>t5/4309-hospital-course-5-0.pdf</v>
      </c>
      <c r="F906">
        <v>109181</v>
      </c>
      <c r="G906">
        <v>4309</v>
      </c>
      <c r="H906" t="s">
        <v>745</v>
      </c>
      <c r="I906" t="s">
        <v>999</v>
      </c>
      <c r="J906" t="s">
        <v>4366</v>
      </c>
    </row>
    <row r="907" spans="1:10" x14ac:dyDescent="0.2">
      <c r="A907" t="s">
        <v>4365</v>
      </c>
      <c r="E907" t="str">
        <f>HYPERLINK("http://nlpdeep.cs.uic.edu:8080/proofing/gsii/4309-hospital-course-5-0.pdf","gsii/4309-hospital-course-5-0.pdf")</f>
        <v>gsii/4309-hospital-course-5-0.pdf</v>
      </c>
      <c r="F907">
        <v>109181</v>
      </c>
      <c r="G907">
        <v>4309</v>
      </c>
      <c r="H907" t="s">
        <v>745</v>
      </c>
      <c r="I907" t="s">
        <v>999</v>
      </c>
      <c r="J907" t="s">
        <v>4366</v>
      </c>
    </row>
    <row r="908" spans="1:10" x14ac:dyDescent="0.2">
      <c r="A908" t="s">
        <v>4367</v>
      </c>
      <c r="E908" t="str">
        <f>HYPERLINK("http://nlpdeep.cs.uic.edu:8080/proofing/t5/4309-hospital-course-5-1.pdf","t5/4309-hospital-course-5-1.pdf")</f>
        <v>t5/4309-hospital-course-5-1.pdf</v>
      </c>
      <c r="F908">
        <v>109181</v>
      </c>
      <c r="G908">
        <v>4309</v>
      </c>
      <c r="H908" t="s">
        <v>745</v>
      </c>
      <c r="I908" t="s">
        <v>999</v>
      </c>
      <c r="J908" t="s">
        <v>4368</v>
      </c>
    </row>
    <row r="909" spans="1:10" x14ac:dyDescent="0.2">
      <c r="A909" t="s">
        <v>4367</v>
      </c>
      <c r="E909" t="str">
        <f>HYPERLINK("http://nlpdeep.cs.uic.edu:8080/proofing/gsii/4309-hospital-course-5-1.pdf","gsii/4309-hospital-course-5-1.pdf")</f>
        <v>gsii/4309-hospital-course-5-1.pdf</v>
      </c>
      <c r="F909">
        <v>109181</v>
      </c>
      <c r="G909">
        <v>4309</v>
      </c>
      <c r="H909" t="s">
        <v>745</v>
      </c>
      <c r="I909" t="s">
        <v>999</v>
      </c>
      <c r="J909" t="s">
        <v>4368</v>
      </c>
    </row>
    <row r="910" spans="1:10" x14ac:dyDescent="0.2">
      <c r="A910" t="s">
        <v>4369</v>
      </c>
      <c r="E910" t="str">
        <f>HYPERLINK("http://nlpdeep.cs.uic.edu:8080/proofing/t5/4309-hospital-course-5-2.pdf","t5/4309-hospital-course-5-2.pdf")</f>
        <v>t5/4309-hospital-course-5-2.pdf</v>
      </c>
      <c r="F910">
        <v>109181</v>
      </c>
      <c r="G910">
        <v>4309</v>
      </c>
      <c r="H910" t="s">
        <v>745</v>
      </c>
      <c r="I910" t="s">
        <v>999</v>
      </c>
      <c r="J910" t="s">
        <v>4370</v>
      </c>
    </row>
    <row r="911" spans="1:10" x14ac:dyDescent="0.2">
      <c r="A911" t="s">
        <v>4369</v>
      </c>
      <c r="E911" t="str">
        <f>HYPERLINK("http://nlpdeep.cs.uic.edu:8080/proofing/gsii/4309-hospital-course-5-2.pdf","gsii/4309-hospital-course-5-2.pdf")</f>
        <v>gsii/4309-hospital-course-5-2.pdf</v>
      </c>
      <c r="F911">
        <v>109181</v>
      </c>
      <c r="G911">
        <v>4309</v>
      </c>
      <c r="H911" t="s">
        <v>745</v>
      </c>
      <c r="I911" t="s">
        <v>999</v>
      </c>
      <c r="J911" t="s">
        <v>4370</v>
      </c>
    </row>
    <row r="912" spans="1:10" x14ac:dyDescent="0.2">
      <c r="A912" t="s">
        <v>4371</v>
      </c>
      <c r="E912" t="str">
        <f>HYPERLINK("http://nlpdeep.cs.uic.edu:8080/proofing/t5/4309-hospital-course-5-3.pdf","t5/4309-hospital-course-5-3.pdf")</f>
        <v>t5/4309-hospital-course-5-3.pdf</v>
      </c>
      <c r="F912">
        <v>109181</v>
      </c>
      <c r="G912">
        <v>4309</v>
      </c>
      <c r="H912" t="s">
        <v>745</v>
      </c>
      <c r="I912" t="s">
        <v>999</v>
      </c>
      <c r="J912" t="s">
        <v>4372</v>
      </c>
    </row>
    <row r="913" spans="1:10" x14ac:dyDescent="0.2">
      <c r="A913" t="s">
        <v>4371</v>
      </c>
      <c r="E913" t="str">
        <f>HYPERLINK("http://nlpdeep.cs.uic.edu:8080/proofing/gsii/4309-hospital-course-5-3.pdf","gsii/4309-hospital-course-5-3.pdf")</f>
        <v>gsii/4309-hospital-course-5-3.pdf</v>
      </c>
      <c r="F913">
        <v>109181</v>
      </c>
      <c r="G913">
        <v>4309</v>
      </c>
      <c r="H913" t="s">
        <v>745</v>
      </c>
      <c r="I913" t="s">
        <v>999</v>
      </c>
      <c r="J913" t="s">
        <v>4372</v>
      </c>
    </row>
    <row r="914" spans="1:10" x14ac:dyDescent="0.2">
      <c r="A914" t="s">
        <v>4373</v>
      </c>
      <c r="E914" t="str">
        <f>HYPERLINK("http://nlpdeep.cs.uic.edu:8080/proofing/t5/4309-hospital-course-5-4.pdf","t5/4309-hospital-course-5-4.pdf")</f>
        <v>t5/4309-hospital-course-5-4.pdf</v>
      </c>
      <c r="F914">
        <v>109181</v>
      </c>
      <c r="G914">
        <v>4309</v>
      </c>
      <c r="H914" t="s">
        <v>745</v>
      </c>
      <c r="I914" t="s">
        <v>999</v>
      </c>
      <c r="J914" t="s">
        <v>4374</v>
      </c>
    </row>
    <row r="915" spans="1:10" x14ac:dyDescent="0.2">
      <c r="A915" t="s">
        <v>4373</v>
      </c>
      <c r="E915" t="str">
        <f>HYPERLINK("http://nlpdeep.cs.uic.edu:8080/proofing/gsii/4309-hospital-course-5-4.pdf","gsii/4309-hospital-course-5-4.pdf")</f>
        <v>gsii/4309-hospital-course-5-4.pdf</v>
      </c>
      <c r="F915">
        <v>109181</v>
      </c>
      <c r="G915">
        <v>4309</v>
      </c>
      <c r="H915" t="s">
        <v>745</v>
      </c>
      <c r="I915" t="s">
        <v>999</v>
      </c>
      <c r="J915" t="s">
        <v>4374</v>
      </c>
    </row>
    <row r="916" spans="1:10" x14ac:dyDescent="0.2">
      <c r="A916" t="s">
        <v>4375</v>
      </c>
      <c r="E916" t="str">
        <f>HYPERLINK("http://nlpdeep.cs.uic.edu:8080/proofing/t5/4309-hospital-course-5-5.pdf","t5/4309-hospital-course-5-5.pdf")</f>
        <v>t5/4309-hospital-course-5-5.pdf</v>
      </c>
      <c r="F916">
        <v>109181</v>
      </c>
      <c r="G916">
        <v>4309</v>
      </c>
      <c r="H916" t="s">
        <v>745</v>
      </c>
      <c r="I916" t="s">
        <v>999</v>
      </c>
      <c r="J916" t="s">
        <v>4376</v>
      </c>
    </row>
    <row r="917" spans="1:10" x14ac:dyDescent="0.2">
      <c r="A917" t="s">
        <v>4375</v>
      </c>
      <c r="E917" t="str">
        <f>HYPERLINK("http://nlpdeep.cs.uic.edu:8080/proofing/gsii/4309-hospital-course-5-5.pdf","gsii/4309-hospital-course-5-5.pdf")</f>
        <v>gsii/4309-hospital-course-5-5.pdf</v>
      </c>
      <c r="F917">
        <v>109181</v>
      </c>
      <c r="G917">
        <v>4309</v>
      </c>
      <c r="H917" t="s">
        <v>745</v>
      </c>
      <c r="I917" t="s">
        <v>999</v>
      </c>
      <c r="J917" t="s">
        <v>4376</v>
      </c>
    </row>
    <row r="918" spans="1:10" x14ac:dyDescent="0.2">
      <c r="A918" t="s">
        <v>4377</v>
      </c>
      <c r="E918" t="str">
        <f>HYPERLINK("http://nlpdeep.cs.uic.edu:8080/proofing/t5/4309-hospital-course-6-0.pdf","t5/4309-hospital-course-6-0.pdf")</f>
        <v>t5/4309-hospital-course-6-0.pdf</v>
      </c>
      <c r="F918">
        <v>109181</v>
      </c>
      <c r="G918">
        <v>4309</v>
      </c>
      <c r="H918" t="s">
        <v>745</v>
      </c>
      <c r="I918" t="s">
        <v>999</v>
      </c>
      <c r="J918" t="s">
        <v>4378</v>
      </c>
    </row>
    <row r="919" spans="1:10" x14ac:dyDescent="0.2">
      <c r="A919" t="s">
        <v>4377</v>
      </c>
      <c r="E919" t="str">
        <f>HYPERLINK("http://nlpdeep.cs.uic.edu:8080/proofing/gsii/4309-hospital-course-6-0.pdf","gsii/4309-hospital-course-6-0.pdf")</f>
        <v>gsii/4309-hospital-course-6-0.pdf</v>
      </c>
      <c r="F919">
        <v>109181</v>
      </c>
      <c r="G919">
        <v>4309</v>
      </c>
      <c r="H919" t="s">
        <v>745</v>
      </c>
      <c r="I919" t="s">
        <v>999</v>
      </c>
      <c r="J919" t="s">
        <v>4378</v>
      </c>
    </row>
    <row r="920" spans="1:10" x14ac:dyDescent="0.2">
      <c r="A920" t="s">
        <v>4379</v>
      </c>
      <c r="E920" t="str">
        <f>HYPERLINK("http://nlpdeep.cs.uic.edu:8080/proofing/t5/4309-hospital-course-6-1.pdf","t5/4309-hospital-course-6-1.pdf")</f>
        <v>t5/4309-hospital-course-6-1.pdf</v>
      </c>
      <c r="F920">
        <v>109181</v>
      </c>
      <c r="G920">
        <v>4309</v>
      </c>
      <c r="H920" t="s">
        <v>745</v>
      </c>
      <c r="I920" t="s">
        <v>999</v>
      </c>
      <c r="J920" t="s">
        <v>4380</v>
      </c>
    </row>
    <row r="921" spans="1:10" x14ac:dyDescent="0.2">
      <c r="A921" t="s">
        <v>4379</v>
      </c>
      <c r="E921" t="str">
        <f>HYPERLINK("http://nlpdeep.cs.uic.edu:8080/proofing/gsii/4309-hospital-course-6-1.pdf","gsii/4309-hospital-course-6-1.pdf")</f>
        <v>gsii/4309-hospital-course-6-1.pdf</v>
      </c>
      <c r="F921">
        <v>109181</v>
      </c>
      <c r="G921">
        <v>4309</v>
      </c>
      <c r="H921" t="s">
        <v>745</v>
      </c>
      <c r="I921" t="s">
        <v>999</v>
      </c>
      <c r="J921" t="s">
        <v>4380</v>
      </c>
    </row>
    <row r="922" spans="1:10" x14ac:dyDescent="0.2">
      <c r="A922" t="s">
        <v>4381</v>
      </c>
      <c r="E922" t="str">
        <f>HYPERLINK("http://nlpdeep.cs.uic.edu:8080/proofing/t5/4309-hospital-course-6-2.pdf","t5/4309-hospital-course-6-2.pdf")</f>
        <v>t5/4309-hospital-course-6-2.pdf</v>
      </c>
      <c r="F922">
        <v>109181</v>
      </c>
      <c r="G922">
        <v>4309</v>
      </c>
      <c r="H922" t="s">
        <v>745</v>
      </c>
      <c r="I922" t="s">
        <v>999</v>
      </c>
      <c r="J922" t="s">
        <v>4382</v>
      </c>
    </row>
    <row r="923" spans="1:10" x14ac:dyDescent="0.2">
      <c r="A923" t="s">
        <v>4381</v>
      </c>
      <c r="E923" t="str">
        <f>HYPERLINK("http://nlpdeep.cs.uic.edu:8080/proofing/gsii/4309-hospital-course-6-2.pdf","gsii/4309-hospital-course-6-2.pdf")</f>
        <v>gsii/4309-hospital-course-6-2.pdf</v>
      </c>
      <c r="F923">
        <v>109181</v>
      </c>
      <c r="G923">
        <v>4309</v>
      </c>
      <c r="H923" t="s">
        <v>745</v>
      </c>
      <c r="I923" t="s">
        <v>999</v>
      </c>
      <c r="J923" t="s">
        <v>4382</v>
      </c>
    </row>
    <row r="924" spans="1:10" x14ac:dyDescent="0.2">
      <c r="A924" t="s">
        <v>4383</v>
      </c>
      <c r="E924" t="str">
        <f>HYPERLINK("http://nlpdeep.cs.uic.edu:8080/proofing/t5/4309-hospital-course-6-3.pdf","t5/4309-hospital-course-6-3.pdf")</f>
        <v>t5/4309-hospital-course-6-3.pdf</v>
      </c>
      <c r="F924">
        <v>109181</v>
      </c>
      <c r="G924">
        <v>4309</v>
      </c>
      <c r="H924" t="s">
        <v>745</v>
      </c>
      <c r="I924" t="s">
        <v>999</v>
      </c>
      <c r="J924" t="s">
        <v>4384</v>
      </c>
    </row>
    <row r="925" spans="1:10" x14ac:dyDescent="0.2">
      <c r="A925" t="s">
        <v>4383</v>
      </c>
      <c r="E925" t="str">
        <f>HYPERLINK("http://nlpdeep.cs.uic.edu:8080/proofing/gsii/4309-hospital-course-6-3.pdf","gsii/4309-hospital-course-6-3.pdf")</f>
        <v>gsii/4309-hospital-course-6-3.pdf</v>
      </c>
      <c r="F925">
        <v>109181</v>
      </c>
      <c r="G925">
        <v>4309</v>
      </c>
      <c r="H925" t="s">
        <v>745</v>
      </c>
      <c r="I925" t="s">
        <v>999</v>
      </c>
      <c r="J925" t="s">
        <v>4384</v>
      </c>
    </row>
    <row r="926" spans="1:10" x14ac:dyDescent="0.2">
      <c r="A926" t="s">
        <v>4385</v>
      </c>
      <c r="E926" t="str">
        <f>HYPERLINK("http://nlpdeep.cs.uic.edu:8080/proofing/t5/4309-hospital-course-6-4.pdf","t5/4309-hospital-course-6-4.pdf")</f>
        <v>t5/4309-hospital-course-6-4.pdf</v>
      </c>
      <c r="F926">
        <v>109181</v>
      </c>
      <c r="G926">
        <v>4309</v>
      </c>
      <c r="H926" t="s">
        <v>745</v>
      </c>
      <c r="I926" t="s">
        <v>999</v>
      </c>
      <c r="J926" t="s">
        <v>4386</v>
      </c>
    </row>
    <row r="927" spans="1:10" x14ac:dyDescent="0.2">
      <c r="A927" t="s">
        <v>4385</v>
      </c>
      <c r="E927" t="str">
        <f>HYPERLINK("http://nlpdeep.cs.uic.edu:8080/proofing/gsii/4309-hospital-course-6-4.pdf","gsii/4309-hospital-course-6-4.pdf")</f>
        <v>gsii/4309-hospital-course-6-4.pdf</v>
      </c>
      <c r="F927">
        <v>109181</v>
      </c>
      <c r="G927">
        <v>4309</v>
      </c>
      <c r="H927" t="s">
        <v>745</v>
      </c>
      <c r="I927" t="s">
        <v>999</v>
      </c>
      <c r="J927" t="s">
        <v>4386</v>
      </c>
    </row>
    <row r="928" spans="1:10" x14ac:dyDescent="0.2">
      <c r="A928" t="s">
        <v>4387</v>
      </c>
      <c r="E928" t="str">
        <f>HYPERLINK("http://nlpdeep.cs.uic.edu:8080/proofing/t5/4309-hospital-course-6-5.pdf","t5/4309-hospital-course-6-5.pdf")</f>
        <v>t5/4309-hospital-course-6-5.pdf</v>
      </c>
      <c r="F928">
        <v>109181</v>
      </c>
      <c r="G928">
        <v>4309</v>
      </c>
      <c r="H928" t="s">
        <v>745</v>
      </c>
      <c r="I928" t="s">
        <v>999</v>
      </c>
      <c r="J928" t="s">
        <v>4388</v>
      </c>
    </row>
    <row r="929" spans="1:10" x14ac:dyDescent="0.2">
      <c r="A929" t="s">
        <v>4387</v>
      </c>
      <c r="E929" t="str">
        <f>HYPERLINK("http://nlpdeep.cs.uic.edu:8080/proofing/gsii/4309-hospital-course-6-5.pdf","gsii/4309-hospital-course-6-5.pdf")</f>
        <v>gsii/4309-hospital-course-6-5.pdf</v>
      </c>
      <c r="F929">
        <v>109181</v>
      </c>
      <c r="G929">
        <v>4309</v>
      </c>
      <c r="H929" t="s">
        <v>745</v>
      </c>
      <c r="I929" t="s">
        <v>999</v>
      </c>
      <c r="J929" t="s">
        <v>4388</v>
      </c>
    </row>
    <row r="930" spans="1:10" x14ac:dyDescent="0.2">
      <c r="A930" t="s">
        <v>4389</v>
      </c>
      <c r="E930" t="str">
        <f>HYPERLINK("http://nlpdeep.cs.uic.edu:8080/proofing/t5/4309-hospital-course-6-6.pdf","t5/4309-hospital-course-6-6.pdf")</f>
        <v>t5/4309-hospital-course-6-6.pdf</v>
      </c>
      <c r="F930">
        <v>109181</v>
      </c>
      <c r="G930">
        <v>4309</v>
      </c>
      <c r="H930" t="s">
        <v>745</v>
      </c>
      <c r="I930" t="s">
        <v>999</v>
      </c>
      <c r="J930" t="s">
        <v>4390</v>
      </c>
    </row>
    <row r="931" spans="1:10" x14ac:dyDescent="0.2">
      <c r="A931" t="s">
        <v>4389</v>
      </c>
      <c r="E931" t="str">
        <f>HYPERLINK("http://nlpdeep.cs.uic.edu:8080/proofing/gsii/4309-hospital-course-6-6.pdf","gsii/4309-hospital-course-6-6.pdf")</f>
        <v>gsii/4309-hospital-course-6-6.pdf</v>
      </c>
      <c r="F931">
        <v>109181</v>
      </c>
      <c r="G931">
        <v>4309</v>
      </c>
      <c r="H931" t="s">
        <v>745</v>
      </c>
      <c r="I931" t="s">
        <v>999</v>
      </c>
      <c r="J931" t="s">
        <v>4390</v>
      </c>
    </row>
    <row r="932" spans="1:10" x14ac:dyDescent="0.2">
      <c r="A932" t="s">
        <v>4391</v>
      </c>
      <c r="E932" t="str">
        <f>HYPERLINK("http://nlpdeep.cs.uic.edu:8080/proofing/t5/4309-hospital-course-7-0.pdf","t5/4309-hospital-course-7-0.pdf")</f>
        <v>t5/4309-hospital-course-7-0.pdf</v>
      </c>
      <c r="F932">
        <v>109181</v>
      </c>
      <c r="G932">
        <v>4309</v>
      </c>
      <c r="H932" t="s">
        <v>745</v>
      </c>
      <c r="I932" t="s">
        <v>999</v>
      </c>
      <c r="J932" t="s">
        <v>4392</v>
      </c>
    </row>
    <row r="933" spans="1:10" x14ac:dyDescent="0.2">
      <c r="A933" t="s">
        <v>4391</v>
      </c>
      <c r="E933" t="str">
        <f>HYPERLINK("http://nlpdeep.cs.uic.edu:8080/proofing/gsii/4309-hospital-course-7-0.pdf","gsii/4309-hospital-course-7-0.pdf")</f>
        <v>gsii/4309-hospital-course-7-0.pdf</v>
      </c>
      <c r="F933">
        <v>109181</v>
      </c>
      <c r="G933">
        <v>4309</v>
      </c>
      <c r="H933" t="s">
        <v>745</v>
      </c>
      <c r="I933" t="s">
        <v>999</v>
      </c>
      <c r="J933" t="s">
        <v>4392</v>
      </c>
    </row>
    <row r="934" spans="1:10" x14ac:dyDescent="0.2">
      <c r="A934" t="s">
        <v>4393</v>
      </c>
      <c r="E934" t="str">
        <f>HYPERLINK("http://nlpdeep.cs.uic.edu:8080/proofing/t5/4309-hospital-course-7-1.pdf","t5/4309-hospital-course-7-1.pdf")</f>
        <v>t5/4309-hospital-course-7-1.pdf</v>
      </c>
      <c r="F934">
        <v>109181</v>
      </c>
      <c r="G934">
        <v>4309</v>
      </c>
      <c r="H934" t="s">
        <v>745</v>
      </c>
      <c r="I934" t="s">
        <v>999</v>
      </c>
      <c r="J934" t="s">
        <v>4394</v>
      </c>
    </row>
    <row r="935" spans="1:10" x14ac:dyDescent="0.2">
      <c r="A935" t="s">
        <v>4393</v>
      </c>
      <c r="E935" t="str">
        <f>HYPERLINK("http://nlpdeep.cs.uic.edu:8080/proofing/gsii/4309-hospital-course-7-1.pdf","gsii/4309-hospital-course-7-1.pdf")</f>
        <v>gsii/4309-hospital-course-7-1.pdf</v>
      </c>
      <c r="F935">
        <v>109181</v>
      </c>
      <c r="G935">
        <v>4309</v>
      </c>
      <c r="H935" t="s">
        <v>745</v>
      </c>
      <c r="I935" t="s">
        <v>999</v>
      </c>
      <c r="J935" t="s">
        <v>4394</v>
      </c>
    </row>
    <row r="936" spans="1:10" x14ac:dyDescent="0.2">
      <c r="A936" t="s">
        <v>4395</v>
      </c>
      <c r="E936" t="str">
        <f>HYPERLINK("http://nlpdeep.cs.uic.edu:8080/proofing/t5/4309-hospital-course-7-2.pdf","t5/4309-hospital-course-7-2.pdf")</f>
        <v>t5/4309-hospital-course-7-2.pdf</v>
      </c>
      <c r="F936">
        <v>109181</v>
      </c>
      <c r="G936">
        <v>4309</v>
      </c>
      <c r="H936" t="s">
        <v>745</v>
      </c>
      <c r="I936" t="s">
        <v>999</v>
      </c>
      <c r="J936" t="s">
        <v>4396</v>
      </c>
    </row>
    <row r="937" spans="1:10" x14ac:dyDescent="0.2">
      <c r="A937" t="s">
        <v>4395</v>
      </c>
      <c r="E937" t="str">
        <f>HYPERLINK("http://nlpdeep.cs.uic.edu:8080/proofing/gsii/4309-hospital-course-7-2.pdf","gsii/4309-hospital-course-7-2.pdf")</f>
        <v>gsii/4309-hospital-course-7-2.pdf</v>
      </c>
      <c r="F937">
        <v>109181</v>
      </c>
      <c r="G937">
        <v>4309</v>
      </c>
      <c r="H937" t="s">
        <v>745</v>
      </c>
      <c r="I937" t="s">
        <v>999</v>
      </c>
      <c r="J937" t="s">
        <v>4396</v>
      </c>
    </row>
    <row r="938" spans="1:10" x14ac:dyDescent="0.2">
      <c r="A938" t="s">
        <v>4397</v>
      </c>
      <c r="E938" t="str">
        <f>HYPERLINK("http://nlpdeep.cs.uic.edu:8080/proofing/t5/4309-hospital-course-7-3.pdf","t5/4309-hospital-course-7-3.pdf")</f>
        <v>t5/4309-hospital-course-7-3.pdf</v>
      </c>
      <c r="F938">
        <v>109181</v>
      </c>
      <c r="G938">
        <v>4309</v>
      </c>
      <c r="H938" t="s">
        <v>745</v>
      </c>
      <c r="I938" t="s">
        <v>999</v>
      </c>
      <c r="J938" t="s">
        <v>4398</v>
      </c>
    </row>
    <row r="939" spans="1:10" x14ac:dyDescent="0.2">
      <c r="A939" t="s">
        <v>4397</v>
      </c>
      <c r="E939" t="str">
        <f>HYPERLINK("http://nlpdeep.cs.uic.edu:8080/proofing/gsii/4309-hospital-course-7-3.pdf","gsii/4309-hospital-course-7-3.pdf")</f>
        <v>gsii/4309-hospital-course-7-3.pdf</v>
      </c>
      <c r="F939">
        <v>109181</v>
      </c>
      <c r="G939">
        <v>4309</v>
      </c>
      <c r="H939" t="s">
        <v>745</v>
      </c>
      <c r="I939" t="s">
        <v>999</v>
      </c>
      <c r="J939" t="s">
        <v>4398</v>
      </c>
    </row>
    <row r="940" spans="1:10" x14ac:dyDescent="0.2">
      <c r="A940" t="s">
        <v>4399</v>
      </c>
      <c r="E940" t="str">
        <f>HYPERLINK("http://nlpdeep.cs.uic.edu:8080/proofing/t5/4309-hospital-course-7-4.pdf","t5/4309-hospital-course-7-4.pdf")</f>
        <v>t5/4309-hospital-course-7-4.pdf</v>
      </c>
      <c r="F940">
        <v>109181</v>
      </c>
      <c r="G940">
        <v>4309</v>
      </c>
      <c r="H940" t="s">
        <v>745</v>
      </c>
      <c r="I940" t="s">
        <v>999</v>
      </c>
      <c r="J940" t="s">
        <v>4400</v>
      </c>
    </row>
    <row r="941" spans="1:10" x14ac:dyDescent="0.2">
      <c r="A941" t="s">
        <v>4399</v>
      </c>
      <c r="E941" t="str">
        <f>HYPERLINK("http://nlpdeep.cs.uic.edu:8080/proofing/gsii/4309-hospital-course-7-4.pdf","gsii/4309-hospital-course-7-4.pdf")</f>
        <v>gsii/4309-hospital-course-7-4.pdf</v>
      </c>
      <c r="F941">
        <v>109181</v>
      </c>
      <c r="G941">
        <v>4309</v>
      </c>
      <c r="H941" t="s">
        <v>745</v>
      </c>
      <c r="I941" t="s">
        <v>999</v>
      </c>
      <c r="J941" t="s">
        <v>4400</v>
      </c>
    </row>
    <row r="942" spans="1:10" x14ac:dyDescent="0.2">
      <c r="A942" t="s">
        <v>4401</v>
      </c>
      <c r="E942" t="str">
        <f>HYPERLINK("http://nlpdeep.cs.uic.edu:8080/proofing/t5/4309-hospital-course-7-5.pdf","t5/4309-hospital-course-7-5.pdf")</f>
        <v>t5/4309-hospital-course-7-5.pdf</v>
      </c>
      <c r="F942">
        <v>109181</v>
      </c>
      <c r="G942">
        <v>4309</v>
      </c>
      <c r="H942" t="s">
        <v>745</v>
      </c>
      <c r="I942" t="s">
        <v>999</v>
      </c>
      <c r="J942" t="s">
        <v>4402</v>
      </c>
    </row>
    <row r="943" spans="1:10" x14ac:dyDescent="0.2">
      <c r="A943" t="s">
        <v>4401</v>
      </c>
      <c r="E943" t="str">
        <f>HYPERLINK("http://nlpdeep.cs.uic.edu:8080/proofing/gsii/4309-hospital-course-7-5.pdf","gsii/4309-hospital-course-7-5.pdf")</f>
        <v>gsii/4309-hospital-course-7-5.pdf</v>
      </c>
      <c r="F943">
        <v>109181</v>
      </c>
      <c r="G943">
        <v>4309</v>
      </c>
      <c r="H943" t="s">
        <v>745</v>
      </c>
      <c r="I943" t="s">
        <v>999</v>
      </c>
      <c r="J943" t="s">
        <v>4402</v>
      </c>
    </row>
    <row r="944" spans="1:10" x14ac:dyDescent="0.2">
      <c r="A944" t="s">
        <v>4403</v>
      </c>
      <c r="E944" t="str">
        <f>HYPERLINK("http://nlpdeep.cs.uic.edu:8080/proofing/t5/4309-hospital-course-8-0.pdf","t5/4309-hospital-course-8-0.pdf")</f>
        <v>t5/4309-hospital-course-8-0.pdf</v>
      </c>
      <c r="F944">
        <v>109181</v>
      </c>
      <c r="G944">
        <v>4309</v>
      </c>
      <c r="H944" t="s">
        <v>745</v>
      </c>
      <c r="I944" t="s">
        <v>999</v>
      </c>
      <c r="J944" t="s">
        <v>4404</v>
      </c>
    </row>
    <row r="945" spans="1:10" x14ac:dyDescent="0.2">
      <c r="A945" t="s">
        <v>4403</v>
      </c>
      <c r="E945" t="str">
        <f>HYPERLINK("http://nlpdeep.cs.uic.edu:8080/proofing/gsii/4309-hospital-course-8-0.pdf","gsii/4309-hospital-course-8-0.pdf")</f>
        <v>gsii/4309-hospital-course-8-0.pdf</v>
      </c>
      <c r="F945">
        <v>109181</v>
      </c>
      <c r="G945">
        <v>4309</v>
      </c>
      <c r="H945" t="s">
        <v>745</v>
      </c>
      <c r="I945" t="s">
        <v>999</v>
      </c>
      <c r="J945" t="s">
        <v>4404</v>
      </c>
    </row>
    <row r="946" spans="1:10" x14ac:dyDescent="0.2">
      <c r="A946" t="s">
        <v>4405</v>
      </c>
      <c r="E946" t="str">
        <f>HYPERLINK("http://nlpdeep.cs.uic.edu:8080/proofing/t5/4309-hospital-course-9-0.pdf","t5/4309-hospital-course-9-0.pdf")</f>
        <v>t5/4309-hospital-course-9-0.pdf</v>
      </c>
      <c r="F946">
        <v>109181</v>
      </c>
      <c r="G946">
        <v>4309</v>
      </c>
      <c r="H946" t="s">
        <v>745</v>
      </c>
      <c r="I946" t="s">
        <v>999</v>
      </c>
      <c r="J946" t="s">
        <v>4406</v>
      </c>
    </row>
    <row r="947" spans="1:10" x14ac:dyDescent="0.2">
      <c r="A947" t="s">
        <v>4405</v>
      </c>
      <c r="E947" t="str">
        <f>HYPERLINK("http://nlpdeep.cs.uic.edu:8080/proofing/gsii/4309-hospital-course-9-0.pdf","gsii/4309-hospital-course-9-0.pdf")</f>
        <v>gsii/4309-hospital-course-9-0.pdf</v>
      </c>
      <c r="F947">
        <v>109181</v>
      </c>
      <c r="G947">
        <v>4309</v>
      </c>
      <c r="H947" t="s">
        <v>745</v>
      </c>
      <c r="I947" t="s">
        <v>999</v>
      </c>
      <c r="J947" t="s">
        <v>4406</v>
      </c>
    </row>
    <row r="948" spans="1:10" x14ac:dyDescent="0.2">
      <c r="A948" t="s">
        <v>4407</v>
      </c>
      <c r="E948" t="str">
        <f>HYPERLINK("http://nlpdeep.cs.uic.edu:8080/proofing/t5/4309-medication-history-0-0.pdf","t5/4309-medication-history-0-0.pdf")</f>
        <v>t5/4309-medication-history-0-0.pdf</v>
      </c>
      <c r="F948">
        <v>109181</v>
      </c>
      <c r="G948">
        <v>4309</v>
      </c>
      <c r="H948" t="s">
        <v>745</v>
      </c>
      <c r="I948" t="s">
        <v>336</v>
      </c>
      <c r="J948" t="s">
        <v>4408</v>
      </c>
    </row>
    <row r="949" spans="1:10" x14ac:dyDescent="0.2">
      <c r="A949" t="s">
        <v>4407</v>
      </c>
      <c r="E949" t="str">
        <f>HYPERLINK("http://nlpdeep.cs.uic.edu:8080/proofing/gsii/4309-medication-history-0-0.pdf","gsii/4309-medication-history-0-0.pdf")</f>
        <v>gsii/4309-medication-history-0-0.pdf</v>
      </c>
      <c r="F949">
        <v>109181</v>
      </c>
      <c r="G949">
        <v>4309</v>
      </c>
      <c r="H949" t="s">
        <v>745</v>
      </c>
      <c r="I949" t="s">
        <v>336</v>
      </c>
      <c r="J949" t="s">
        <v>4408</v>
      </c>
    </row>
    <row r="950" spans="1:10" x14ac:dyDescent="0.2">
      <c r="A950" t="s">
        <v>4409</v>
      </c>
      <c r="E950" t="str">
        <f>HYPERLINK("http://nlpdeep.cs.uic.edu:8080/proofing/t5/4309-medication-history-0-1.pdf","t5/4309-medication-history-0-1.pdf")</f>
        <v>t5/4309-medication-history-0-1.pdf</v>
      </c>
      <c r="F950">
        <v>109181</v>
      </c>
      <c r="G950">
        <v>4309</v>
      </c>
      <c r="H950" t="s">
        <v>745</v>
      </c>
      <c r="I950" t="s">
        <v>336</v>
      </c>
      <c r="J950" t="s">
        <v>4410</v>
      </c>
    </row>
    <row r="951" spans="1:10" x14ac:dyDescent="0.2">
      <c r="A951" t="s">
        <v>4409</v>
      </c>
      <c r="E951" t="str">
        <f>HYPERLINK("http://nlpdeep.cs.uic.edu:8080/proofing/gsii/4309-medication-history-0-1.pdf","gsii/4309-medication-history-0-1.pdf")</f>
        <v>gsii/4309-medication-history-0-1.pdf</v>
      </c>
      <c r="F951">
        <v>109181</v>
      </c>
      <c r="G951">
        <v>4309</v>
      </c>
      <c r="H951" t="s">
        <v>745</v>
      </c>
      <c r="I951" t="s">
        <v>336</v>
      </c>
      <c r="J951" t="s">
        <v>4410</v>
      </c>
    </row>
    <row r="952" spans="1:10" x14ac:dyDescent="0.2">
      <c r="A952" t="s">
        <v>4411</v>
      </c>
      <c r="E952" t="str">
        <f>HYPERLINK("http://nlpdeep.cs.uic.edu:8080/proofing/t5/4309-medication-history-0-2.pdf","t5/4309-medication-history-0-2.pdf")</f>
        <v>t5/4309-medication-history-0-2.pdf</v>
      </c>
      <c r="F952">
        <v>109181</v>
      </c>
      <c r="G952">
        <v>4309</v>
      </c>
      <c r="H952" t="s">
        <v>745</v>
      </c>
      <c r="I952" t="s">
        <v>336</v>
      </c>
      <c r="J952" t="s">
        <v>4412</v>
      </c>
    </row>
    <row r="953" spans="1:10" x14ac:dyDescent="0.2">
      <c r="A953" t="s">
        <v>4411</v>
      </c>
      <c r="E953" t="str">
        <f>HYPERLINK("http://nlpdeep.cs.uic.edu:8080/proofing/gsii/4309-medication-history-0-2.pdf","gsii/4309-medication-history-0-2.pdf")</f>
        <v>gsii/4309-medication-history-0-2.pdf</v>
      </c>
      <c r="F953">
        <v>109181</v>
      </c>
      <c r="G953">
        <v>4309</v>
      </c>
      <c r="H953" t="s">
        <v>745</v>
      </c>
      <c r="I953" t="s">
        <v>336</v>
      </c>
      <c r="J953" t="s">
        <v>4412</v>
      </c>
    </row>
    <row r="954" spans="1:10" x14ac:dyDescent="0.2">
      <c r="A954" t="s">
        <v>4413</v>
      </c>
      <c r="E954" t="str">
        <f>HYPERLINK("http://nlpdeep.cs.uic.edu:8080/proofing/t5/4309-medication-history-0-3.pdf","t5/4309-medication-history-0-3.pdf")</f>
        <v>t5/4309-medication-history-0-3.pdf</v>
      </c>
      <c r="F954">
        <v>109181</v>
      </c>
      <c r="G954">
        <v>4309</v>
      </c>
      <c r="H954" t="s">
        <v>745</v>
      </c>
      <c r="I954" t="s">
        <v>336</v>
      </c>
      <c r="J954" t="s">
        <v>4414</v>
      </c>
    </row>
    <row r="955" spans="1:10" x14ac:dyDescent="0.2">
      <c r="A955" t="s">
        <v>4413</v>
      </c>
      <c r="E955" t="str">
        <f>HYPERLINK("http://nlpdeep.cs.uic.edu:8080/proofing/gsii/4309-medication-history-0-3.pdf","gsii/4309-medication-history-0-3.pdf")</f>
        <v>gsii/4309-medication-history-0-3.pdf</v>
      </c>
      <c r="F955">
        <v>109181</v>
      </c>
      <c r="G955">
        <v>4309</v>
      </c>
      <c r="H955" t="s">
        <v>745</v>
      </c>
      <c r="I955" t="s">
        <v>336</v>
      </c>
      <c r="J955" t="s">
        <v>4414</v>
      </c>
    </row>
    <row r="956" spans="1:10" x14ac:dyDescent="0.2">
      <c r="A956" t="s">
        <v>4415</v>
      </c>
      <c r="E956" t="str">
        <f>HYPERLINK("http://nlpdeep.cs.uic.edu:8080/proofing/t5/4309-medication-history-0-4.pdf","t5/4309-medication-history-0-4.pdf")</f>
        <v>t5/4309-medication-history-0-4.pdf</v>
      </c>
      <c r="F956">
        <v>109181</v>
      </c>
      <c r="G956">
        <v>4309</v>
      </c>
      <c r="H956" t="s">
        <v>745</v>
      </c>
      <c r="I956" t="s">
        <v>336</v>
      </c>
      <c r="J956" t="s">
        <v>4416</v>
      </c>
    </row>
    <row r="957" spans="1:10" x14ac:dyDescent="0.2">
      <c r="A957" t="s">
        <v>4415</v>
      </c>
      <c r="E957" t="str">
        <f>HYPERLINK("http://nlpdeep.cs.uic.edu:8080/proofing/gsii/4309-medication-history-0-4.pdf","gsii/4309-medication-history-0-4.pdf")</f>
        <v>gsii/4309-medication-history-0-4.pdf</v>
      </c>
      <c r="F957">
        <v>109181</v>
      </c>
      <c r="G957">
        <v>4309</v>
      </c>
      <c r="H957" t="s">
        <v>745</v>
      </c>
      <c r="I957" t="s">
        <v>336</v>
      </c>
      <c r="J957" t="s">
        <v>4416</v>
      </c>
    </row>
    <row r="958" spans="1:10" x14ac:dyDescent="0.2">
      <c r="A958" t="s">
        <v>4417</v>
      </c>
      <c r="E958" t="str">
        <f>HYPERLINK("http://nlpdeep.cs.uic.edu:8080/proofing/t5/4309-medication-history-0-5.pdf","t5/4309-medication-history-0-5.pdf")</f>
        <v>t5/4309-medication-history-0-5.pdf</v>
      </c>
      <c r="F958">
        <v>109181</v>
      </c>
      <c r="G958">
        <v>4309</v>
      </c>
      <c r="H958" t="s">
        <v>745</v>
      </c>
      <c r="I958" t="s">
        <v>336</v>
      </c>
      <c r="J958" t="s">
        <v>4418</v>
      </c>
    </row>
    <row r="959" spans="1:10" x14ac:dyDescent="0.2">
      <c r="A959" t="s">
        <v>4417</v>
      </c>
      <c r="E959" t="str">
        <f>HYPERLINK("http://nlpdeep.cs.uic.edu:8080/proofing/gsii/4309-medication-history-0-5.pdf","gsii/4309-medication-history-0-5.pdf")</f>
        <v>gsii/4309-medication-history-0-5.pdf</v>
      </c>
      <c r="F959">
        <v>109181</v>
      </c>
      <c r="G959">
        <v>4309</v>
      </c>
      <c r="H959" t="s">
        <v>745</v>
      </c>
      <c r="I959" t="s">
        <v>336</v>
      </c>
      <c r="J959" t="s">
        <v>4418</v>
      </c>
    </row>
    <row r="960" spans="1:10" x14ac:dyDescent="0.2">
      <c r="A960" t="s">
        <v>4419</v>
      </c>
      <c r="E960" t="str">
        <f>HYPERLINK("http://nlpdeep.cs.uic.edu:8080/proofing/t5/4309-medication-history-0-6.pdf","t5/4309-medication-history-0-6.pdf")</f>
        <v>t5/4309-medication-history-0-6.pdf</v>
      </c>
      <c r="F960">
        <v>109181</v>
      </c>
      <c r="G960">
        <v>4309</v>
      </c>
      <c r="H960" t="s">
        <v>745</v>
      </c>
      <c r="I960" t="s">
        <v>336</v>
      </c>
      <c r="J960" t="s">
        <v>4420</v>
      </c>
    </row>
    <row r="961" spans="1:10" x14ac:dyDescent="0.2">
      <c r="A961" t="s">
        <v>4419</v>
      </c>
      <c r="E961" t="str">
        <f>HYPERLINK("http://nlpdeep.cs.uic.edu:8080/proofing/gsii/4309-medication-history-0-6.pdf","gsii/4309-medication-history-0-6.pdf")</f>
        <v>gsii/4309-medication-history-0-6.pdf</v>
      </c>
      <c r="F961">
        <v>109181</v>
      </c>
      <c r="G961">
        <v>4309</v>
      </c>
      <c r="H961" t="s">
        <v>745</v>
      </c>
      <c r="I961" t="s">
        <v>336</v>
      </c>
      <c r="J961" t="s">
        <v>4420</v>
      </c>
    </row>
    <row r="962" spans="1:10" x14ac:dyDescent="0.2">
      <c r="A962" t="s">
        <v>4421</v>
      </c>
      <c r="E962" t="str">
        <f>HYPERLINK("http://nlpdeep.cs.uic.edu:8080/proofing/t5/4309-medication-history-0-7.pdf","t5/4309-medication-history-0-7.pdf")</f>
        <v>t5/4309-medication-history-0-7.pdf</v>
      </c>
      <c r="F962">
        <v>109181</v>
      </c>
      <c r="G962">
        <v>4309</v>
      </c>
      <c r="H962" t="s">
        <v>745</v>
      </c>
      <c r="I962" t="s">
        <v>336</v>
      </c>
      <c r="J962" t="s">
        <v>4422</v>
      </c>
    </row>
    <row r="963" spans="1:10" x14ac:dyDescent="0.2">
      <c r="A963" t="s">
        <v>4421</v>
      </c>
      <c r="E963" t="str">
        <f>HYPERLINK("http://nlpdeep.cs.uic.edu:8080/proofing/gsii/4309-medication-history-0-7.pdf","gsii/4309-medication-history-0-7.pdf")</f>
        <v>gsii/4309-medication-history-0-7.pdf</v>
      </c>
      <c r="F963">
        <v>109181</v>
      </c>
      <c r="G963">
        <v>4309</v>
      </c>
      <c r="H963" t="s">
        <v>745</v>
      </c>
      <c r="I963" t="s">
        <v>336</v>
      </c>
      <c r="J963" t="s">
        <v>4422</v>
      </c>
    </row>
    <row r="964" spans="1:10" x14ac:dyDescent="0.2">
      <c r="A964" t="s">
        <v>4423</v>
      </c>
      <c r="E964" t="str">
        <f>HYPERLINK("http://nlpdeep.cs.uic.edu:8080/proofing/t5/4309-medication-history-0-8.pdf","t5/4309-medication-history-0-8.pdf")</f>
        <v>t5/4309-medication-history-0-8.pdf</v>
      </c>
      <c r="F964">
        <v>109181</v>
      </c>
      <c r="G964">
        <v>4309</v>
      </c>
      <c r="H964" t="s">
        <v>745</v>
      </c>
      <c r="I964" t="s">
        <v>336</v>
      </c>
      <c r="J964" t="s">
        <v>4424</v>
      </c>
    </row>
    <row r="965" spans="1:10" x14ac:dyDescent="0.2">
      <c r="A965" t="s">
        <v>4423</v>
      </c>
      <c r="E965" t="str">
        <f>HYPERLINK("http://nlpdeep.cs.uic.edu:8080/proofing/gsii/4309-medication-history-0-8.pdf","gsii/4309-medication-history-0-8.pdf")</f>
        <v>gsii/4309-medication-history-0-8.pdf</v>
      </c>
      <c r="F965">
        <v>109181</v>
      </c>
      <c r="G965">
        <v>4309</v>
      </c>
      <c r="H965" t="s">
        <v>745</v>
      </c>
      <c r="I965" t="s">
        <v>336</v>
      </c>
      <c r="J965" t="s">
        <v>4424</v>
      </c>
    </row>
    <row r="966" spans="1:10" x14ac:dyDescent="0.2">
      <c r="A966" t="s">
        <v>4425</v>
      </c>
      <c r="E966" t="str">
        <f>HYPERLINK("http://nlpdeep.cs.uic.edu:8080/proofing/t5/4309-medication-history-0-9.pdf","t5/4309-medication-history-0-9.pdf")</f>
        <v>t5/4309-medication-history-0-9.pdf</v>
      </c>
      <c r="F966">
        <v>109181</v>
      </c>
      <c r="G966">
        <v>4309</v>
      </c>
      <c r="H966" t="s">
        <v>745</v>
      </c>
      <c r="I966" t="s">
        <v>336</v>
      </c>
      <c r="J966" t="s">
        <v>4426</v>
      </c>
    </row>
    <row r="967" spans="1:10" x14ac:dyDescent="0.2">
      <c r="A967" t="s">
        <v>4425</v>
      </c>
      <c r="E967" t="str">
        <f>HYPERLINK("http://nlpdeep.cs.uic.edu:8080/proofing/gsii/4309-medication-history-0-9.pdf","gsii/4309-medication-history-0-9.pdf")</f>
        <v>gsii/4309-medication-history-0-9.pdf</v>
      </c>
      <c r="F967">
        <v>109181</v>
      </c>
      <c r="G967">
        <v>4309</v>
      </c>
      <c r="H967" t="s">
        <v>745</v>
      </c>
      <c r="I967" t="s">
        <v>336</v>
      </c>
      <c r="J967" t="s">
        <v>4426</v>
      </c>
    </row>
    <row r="968" spans="1:10" x14ac:dyDescent="0.2">
      <c r="A968" t="s">
        <v>4427</v>
      </c>
      <c r="E968" t="str">
        <f>HYPERLINK("http://nlpdeep.cs.uic.edu:8080/proofing/t5/4309-medication-history-0-10.pdf","t5/4309-medication-history-0-10.pdf")</f>
        <v>t5/4309-medication-history-0-10.pdf</v>
      </c>
      <c r="F968">
        <v>109181</v>
      </c>
      <c r="G968">
        <v>4309</v>
      </c>
      <c r="H968" t="s">
        <v>745</v>
      </c>
      <c r="I968" t="s">
        <v>336</v>
      </c>
      <c r="J968" t="s">
        <v>4428</v>
      </c>
    </row>
    <row r="969" spans="1:10" x14ac:dyDescent="0.2">
      <c r="A969" t="s">
        <v>4427</v>
      </c>
      <c r="E969" t="str">
        <f>HYPERLINK("http://nlpdeep.cs.uic.edu:8080/proofing/gsii/4309-medication-history-0-10.pdf","gsii/4309-medication-history-0-10.pdf")</f>
        <v>gsii/4309-medication-history-0-10.pdf</v>
      </c>
      <c r="F969">
        <v>109181</v>
      </c>
      <c r="G969">
        <v>4309</v>
      </c>
      <c r="H969" t="s">
        <v>745</v>
      </c>
      <c r="I969" t="s">
        <v>336</v>
      </c>
      <c r="J969" t="s">
        <v>4428</v>
      </c>
    </row>
    <row r="970" spans="1:10" x14ac:dyDescent="0.2">
      <c r="A970" t="s">
        <v>4429</v>
      </c>
      <c r="E970" t="str">
        <f>HYPERLINK("http://nlpdeep.cs.uic.edu:8080/proofing/t5/4309-medication-history-0-11.pdf","t5/4309-medication-history-0-11.pdf")</f>
        <v>t5/4309-medication-history-0-11.pdf</v>
      </c>
      <c r="F970">
        <v>109181</v>
      </c>
      <c r="G970">
        <v>4309</v>
      </c>
      <c r="H970" t="s">
        <v>745</v>
      </c>
      <c r="I970" t="s">
        <v>336</v>
      </c>
      <c r="J970" t="s">
        <v>4430</v>
      </c>
    </row>
    <row r="971" spans="1:10" x14ac:dyDescent="0.2">
      <c r="A971" t="s">
        <v>4429</v>
      </c>
      <c r="E971" t="str">
        <f>HYPERLINK("http://nlpdeep.cs.uic.edu:8080/proofing/gsii/4309-medication-history-0-11.pdf","gsii/4309-medication-history-0-11.pdf")</f>
        <v>gsii/4309-medication-history-0-11.pdf</v>
      </c>
      <c r="F971">
        <v>109181</v>
      </c>
      <c r="G971">
        <v>4309</v>
      </c>
      <c r="H971" t="s">
        <v>745</v>
      </c>
      <c r="I971" t="s">
        <v>336</v>
      </c>
      <c r="J971" t="s">
        <v>4430</v>
      </c>
    </row>
    <row r="972" spans="1:10" x14ac:dyDescent="0.2">
      <c r="A972" t="s">
        <v>4431</v>
      </c>
      <c r="E972" t="str">
        <f>HYPERLINK("http://nlpdeep.cs.uic.edu:8080/proofing/t5/4309-medication-history-0-12.pdf","t5/4309-medication-history-0-12.pdf")</f>
        <v>t5/4309-medication-history-0-12.pdf</v>
      </c>
      <c r="F972">
        <v>109181</v>
      </c>
      <c r="G972">
        <v>4309</v>
      </c>
      <c r="H972" t="s">
        <v>745</v>
      </c>
      <c r="I972" t="s">
        <v>336</v>
      </c>
      <c r="J972" t="s">
        <v>4432</v>
      </c>
    </row>
    <row r="973" spans="1:10" x14ac:dyDescent="0.2">
      <c r="A973" t="s">
        <v>4431</v>
      </c>
      <c r="E973" t="str">
        <f>HYPERLINK("http://nlpdeep.cs.uic.edu:8080/proofing/gsii/4309-medication-history-0-12.pdf","gsii/4309-medication-history-0-12.pdf")</f>
        <v>gsii/4309-medication-history-0-12.pdf</v>
      </c>
      <c r="F973">
        <v>109181</v>
      </c>
      <c r="G973">
        <v>4309</v>
      </c>
      <c r="H973" t="s">
        <v>745</v>
      </c>
      <c r="I973" t="s">
        <v>336</v>
      </c>
      <c r="J973" t="s">
        <v>4432</v>
      </c>
    </row>
    <row r="974" spans="1:10" x14ac:dyDescent="0.2">
      <c r="A974" t="s">
        <v>4433</v>
      </c>
      <c r="E974" t="str">
        <f>HYPERLINK("http://nlpdeep.cs.uic.edu:8080/proofing/t5/4309-medication-history-0-13.pdf","t5/4309-medication-history-0-13.pdf")</f>
        <v>t5/4309-medication-history-0-13.pdf</v>
      </c>
      <c r="F974">
        <v>109181</v>
      </c>
      <c r="G974">
        <v>4309</v>
      </c>
      <c r="H974" t="s">
        <v>745</v>
      </c>
      <c r="I974" t="s">
        <v>336</v>
      </c>
      <c r="J974" t="s">
        <v>4434</v>
      </c>
    </row>
    <row r="975" spans="1:10" x14ac:dyDescent="0.2">
      <c r="A975" t="s">
        <v>4433</v>
      </c>
      <c r="E975" t="str">
        <f>HYPERLINK("http://nlpdeep.cs.uic.edu:8080/proofing/gsii/4309-medication-history-0-13.pdf","gsii/4309-medication-history-0-13.pdf")</f>
        <v>gsii/4309-medication-history-0-13.pdf</v>
      </c>
      <c r="F975">
        <v>109181</v>
      </c>
      <c r="G975">
        <v>4309</v>
      </c>
      <c r="H975" t="s">
        <v>745</v>
      </c>
      <c r="I975" t="s">
        <v>336</v>
      </c>
      <c r="J975" t="s">
        <v>4434</v>
      </c>
    </row>
    <row r="976" spans="1:10" x14ac:dyDescent="0.2">
      <c r="A976" t="s">
        <v>4435</v>
      </c>
      <c r="E976" t="str">
        <f>HYPERLINK("http://nlpdeep.cs.uic.edu:8080/proofing/t5/4309-medication-history-0-14.pdf","t5/4309-medication-history-0-14.pdf")</f>
        <v>t5/4309-medication-history-0-14.pdf</v>
      </c>
      <c r="F976">
        <v>109181</v>
      </c>
      <c r="G976">
        <v>4309</v>
      </c>
      <c r="H976" t="s">
        <v>745</v>
      </c>
      <c r="I976" t="s">
        <v>336</v>
      </c>
      <c r="J976" t="s">
        <v>4436</v>
      </c>
    </row>
    <row r="977" spans="1:10" x14ac:dyDescent="0.2">
      <c r="A977" t="s">
        <v>4435</v>
      </c>
      <c r="E977" t="str">
        <f>HYPERLINK("http://nlpdeep.cs.uic.edu:8080/proofing/gsii/4309-medication-history-0-14.pdf","gsii/4309-medication-history-0-14.pdf")</f>
        <v>gsii/4309-medication-history-0-14.pdf</v>
      </c>
      <c r="F977">
        <v>109181</v>
      </c>
      <c r="G977">
        <v>4309</v>
      </c>
      <c r="H977" t="s">
        <v>745</v>
      </c>
      <c r="I977" t="s">
        <v>336</v>
      </c>
      <c r="J977" t="s">
        <v>4436</v>
      </c>
    </row>
    <row r="978" spans="1:10" x14ac:dyDescent="0.2">
      <c r="A978" t="s">
        <v>4437</v>
      </c>
      <c r="E978" t="str">
        <f>HYPERLINK("http://nlpdeep.cs.uic.edu:8080/proofing/t5/4309-medication-history-0-15.pdf","t5/4309-medication-history-0-15.pdf")</f>
        <v>t5/4309-medication-history-0-15.pdf</v>
      </c>
      <c r="F978">
        <v>109181</v>
      </c>
      <c r="G978">
        <v>4309</v>
      </c>
      <c r="H978" t="s">
        <v>745</v>
      </c>
      <c r="I978" t="s">
        <v>336</v>
      </c>
      <c r="J978" t="s">
        <v>4438</v>
      </c>
    </row>
    <row r="979" spans="1:10" x14ac:dyDescent="0.2">
      <c r="A979" t="s">
        <v>4437</v>
      </c>
      <c r="E979" t="str">
        <f>HYPERLINK("http://nlpdeep.cs.uic.edu:8080/proofing/gsii/4309-medication-history-0-15.pdf","gsii/4309-medication-history-0-15.pdf")</f>
        <v>gsii/4309-medication-history-0-15.pdf</v>
      </c>
      <c r="F979">
        <v>109181</v>
      </c>
      <c r="G979">
        <v>4309</v>
      </c>
      <c r="H979" t="s">
        <v>745</v>
      </c>
      <c r="I979" t="s">
        <v>336</v>
      </c>
      <c r="J979" t="s">
        <v>4438</v>
      </c>
    </row>
    <row r="980" spans="1:10" x14ac:dyDescent="0.2">
      <c r="A980" t="s">
        <v>4439</v>
      </c>
      <c r="E980" t="str">
        <f>HYPERLINK("http://nlpdeep.cs.uic.edu:8080/proofing/t5/4309-medication-history-0-16.pdf","t5/4309-medication-history-0-16.pdf")</f>
        <v>t5/4309-medication-history-0-16.pdf</v>
      </c>
      <c r="F980">
        <v>109181</v>
      </c>
      <c r="G980">
        <v>4309</v>
      </c>
      <c r="H980" t="s">
        <v>745</v>
      </c>
      <c r="I980" t="s">
        <v>336</v>
      </c>
      <c r="J980" t="s">
        <v>4440</v>
      </c>
    </row>
    <row r="981" spans="1:10" x14ac:dyDescent="0.2">
      <c r="A981" t="s">
        <v>4439</v>
      </c>
      <c r="E981" t="str">
        <f>HYPERLINK("http://nlpdeep.cs.uic.edu:8080/proofing/gsii/4309-medication-history-0-16.pdf","gsii/4309-medication-history-0-16.pdf")</f>
        <v>gsii/4309-medication-history-0-16.pdf</v>
      </c>
      <c r="F981">
        <v>109181</v>
      </c>
      <c r="G981">
        <v>4309</v>
      </c>
      <c r="H981" t="s">
        <v>745</v>
      </c>
      <c r="I981" t="s">
        <v>336</v>
      </c>
      <c r="J981" t="s">
        <v>4440</v>
      </c>
    </row>
    <row r="982" spans="1:10" x14ac:dyDescent="0.2">
      <c r="A982" t="s">
        <v>4441</v>
      </c>
      <c r="E982" t="str">
        <f>HYPERLINK("http://nlpdeep.cs.uic.edu:8080/proofing/t5/4309-discharge-medications-0-0.pdf","t5/4309-discharge-medications-0-0.pdf")</f>
        <v>t5/4309-discharge-medications-0-0.pdf</v>
      </c>
      <c r="F982">
        <v>109181</v>
      </c>
      <c r="G982">
        <v>4309</v>
      </c>
      <c r="H982" t="s">
        <v>745</v>
      </c>
      <c r="I982" t="s">
        <v>1122</v>
      </c>
      <c r="J982" t="s">
        <v>4442</v>
      </c>
    </row>
    <row r="983" spans="1:10" x14ac:dyDescent="0.2">
      <c r="A983" t="s">
        <v>4441</v>
      </c>
      <c r="E983" t="str">
        <f>HYPERLINK("http://nlpdeep.cs.uic.edu:8080/proofing/gsii/4309-discharge-medications-0-0.pdf","gsii/4309-discharge-medications-0-0.pdf")</f>
        <v>gsii/4309-discharge-medications-0-0.pdf</v>
      </c>
      <c r="F983">
        <v>109181</v>
      </c>
      <c r="G983">
        <v>4309</v>
      </c>
      <c r="H983" t="s">
        <v>745</v>
      </c>
      <c r="I983" t="s">
        <v>1122</v>
      </c>
      <c r="J983" t="s">
        <v>4442</v>
      </c>
    </row>
    <row r="984" spans="1:10" x14ac:dyDescent="0.2">
      <c r="A984" t="s">
        <v>4443</v>
      </c>
      <c r="E984" t="str">
        <f>HYPERLINK("http://nlpdeep.cs.uic.edu:8080/proofing/t5/4309-discharge-disposition-0-0.pdf","t5/4309-discharge-disposition-0-0.pdf")</f>
        <v>t5/4309-discharge-disposition-0-0.pdf</v>
      </c>
      <c r="F984">
        <v>109181</v>
      </c>
      <c r="G984">
        <v>4309</v>
      </c>
      <c r="H984" t="s">
        <v>745</v>
      </c>
      <c r="I984" t="s">
        <v>1162</v>
      </c>
      <c r="J984" t="s">
        <v>4444</v>
      </c>
    </row>
    <row r="985" spans="1:10" x14ac:dyDescent="0.2">
      <c r="A985" t="s">
        <v>4443</v>
      </c>
      <c r="E985" t="str">
        <f>HYPERLINK("http://nlpdeep.cs.uic.edu:8080/proofing/gsii/4309-discharge-disposition-0-0.pdf","gsii/4309-discharge-disposition-0-0.pdf")</f>
        <v>gsii/4309-discharge-disposition-0-0.pdf</v>
      </c>
      <c r="F985">
        <v>109181</v>
      </c>
      <c r="G985">
        <v>4309</v>
      </c>
      <c r="H985" t="s">
        <v>745</v>
      </c>
      <c r="I985" t="s">
        <v>1162</v>
      </c>
      <c r="J985" t="s">
        <v>4444</v>
      </c>
    </row>
    <row r="986" spans="1:10" x14ac:dyDescent="0.2">
      <c r="A986" t="s">
        <v>4445</v>
      </c>
      <c r="E986" t="str">
        <f>HYPERLINK("http://nlpdeep.cs.uic.edu:8080/proofing/t5/4309-discharge-diagnosis-0-0.pdf","t5/4309-discharge-diagnosis-0-0.pdf")</f>
        <v>t5/4309-discharge-diagnosis-0-0.pdf</v>
      </c>
      <c r="F986">
        <v>109181</v>
      </c>
      <c r="G986">
        <v>4309</v>
      </c>
      <c r="H986" t="s">
        <v>745</v>
      </c>
      <c r="I986" t="s">
        <v>1168</v>
      </c>
      <c r="J986" t="s">
        <v>4446</v>
      </c>
    </row>
    <row r="987" spans="1:10" x14ac:dyDescent="0.2">
      <c r="A987" t="s">
        <v>4445</v>
      </c>
      <c r="E987" t="str">
        <f>HYPERLINK("http://nlpdeep.cs.uic.edu:8080/proofing/gsii/4309-discharge-diagnosis-0-0.pdf","gsii/4309-discharge-diagnosis-0-0.pdf")</f>
        <v>gsii/4309-discharge-diagnosis-0-0.pdf</v>
      </c>
      <c r="F987">
        <v>109181</v>
      </c>
      <c r="G987">
        <v>4309</v>
      </c>
      <c r="H987" t="s">
        <v>745</v>
      </c>
      <c r="I987" t="s">
        <v>1168</v>
      </c>
      <c r="J987" t="s">
        <v>4446</v>
      </c>
    </row>
    <row r="988" spans="1:10" x14ac:dyDescent="0.2">
      <c r="A988" t="s">
        <v>4447</v>
      </c>
      <c r="E988" t="str">
        <f>HYPERLINK("http://nlpdeep.cs.uic.edu:8080/proofing/t5/4309-discharge-condition-0-0.pdf","t5/4309-discharge-condition-0-0.pdf")</f>
        <v>t5/4309-discharge-condition-0-0.pdf</v>
      </c>
      <c r="F988">
        <v>109181</v>
      </c>
      <c r="G988">
        <v>4309</v>
      </c>
      <c r="H988" t="s">
        <v>745</v>
      </c>
      <c r="I988" t="s">
        <v>1172</v>
      </c>
      <c r="J988" t="s">
        <v>4446</v>
      </c>
    </row>
    <row r="989" spans="1:10" x14ac:dyDescent="0.2">
      <c r="A989" t="s">
        <v>4447</v>
      </c>
      <c r="E989" t="str">
        <f>HYPERLINK("http://nlpdeep.cs.uic.edu:8080/proofing/gsii/4309-discharge-condition-0-0.pdf","gsii/4309-discharge-condition-0-0.pdf")</f>
        <v>gsii/4309-discharge-condition-0-0.pdf</v>
      </c>
      <c r="F989">
        <v>109181</v>
      </c>
      <c r="G989">
        <v>4309</v>
      </c>
      <c r="H989" t="s">
        <v>745</v>
      </c>
      <c r="I989" t="s">
        <v>1172</v>
      </c>
      <c r="J989" t="s">
        <v>4446</v>
      </c>
    </row>
    <row r="990" spans="1:10" x14ac:dyDescent="0.2">
      <c r="A990" t="s">
        <v>4448</v>
      </c>
      <c r="E990" t="str">
        <f>HYPERLINK("http://nlpdeep.cs.uic.edu:8080/proofing/t5/4309-discharge-instructions-0-0.pdf","t5/4309-discharge-instructions-0-0.pdf")</f>
        <v>t5/4309-discharge-instructions-0-0.pdf</v>
      </c>
      <c r="F990">
        <v>109181</v>
      </c>
      <c r="G990">
        <v>4309</v>
      </c>
      <c r="H990" t="s">
        <v>745</v>
      </c>
      <c r="I990" t="s">
        <v>1179</v>
      </c>
    </row>
    <row r="991" spans="1:10" x14ac:dyDescent="0.2">
      <c r="A991" t="s">
        <v>4448</v>
      </c>
      <c r="E991" t="str">
        <f>HYPERLINK("http://nlpdeep.cs.uic.edu:8080/proofing/gsii/4309-discharge-instructions-0-0.pdf","gsii/4309-discharge-instructions-0-0.pdf")</f>
        <v>gsii/4309-discharge-instructions-0-0.pdf</v>
      </c>
      <c r="F991">
        <v>109181</v>
      </c>
      <c r="G991">
        <v>4309</v>
      </c>
      <c r="H991" t="s">
        <v>745</v>
      </c>
      <c r="I991" t="s">
        <v>1179</v>
      </c>
    </row>
    <row r="992" spans="1:10" x14ac:dyDescent="0.2">
      <c r="A992" t="s">
        <v>4449</v>
      </c>
      <c r="E992" t="str">
        <f>HYPERLINK("http://nlpdeep.cs.uic.edu:8080/proofing/t5/4309-discharge-instructions-1-0.pdf","t5/4309-discharge-instructions-1-0.pdf")</f>
        <v>t5/4309-discharge-instructions-1-0.pdf</v>
      </c>
      <c r="F992">
        <v>109181</v>
      </c>
      <c r="G992">
        <v>4309</v>
      </c>
      <c r="H992" t="s">
        <v>745</v>
      </c>
      <c r="I992" t="s">
        <v>1179</v>
      </c>
    </row>
    <row r="993" spans="1:10" x14ac:dyDescent="0.2">
      <c r="A993" t="s">
        <v>4449</v>
      </c>
      <c r="E993" t="str">
        <f>HYPERLINK("http://nlpdeep.cs.uic.edu:8080/proofing/gsii/4309-discharge-instructions-1-0.pdf","gsii/4309-discharge-instructions-1-0.pdf")</f>
        <v>gsii/4309-discharge-instructions-1-0.pdf</v>
      </c>
      <c r="F993">
        <v>109181</v>
      </c>
      <c r="G993">
        <v>4309</v>
      </c>
      <c r="H993" t="s">
        <v>745</v>
      </c>
      <c r="I993" t="s">
        <v>1179</v>
      </c>
    </row>
    <row r="994" spans="1:10" x14ac:dyDescent="0.2">
      <c r="A994" t="s">
        <v>4450</v>
      </c>
      <c r="E994" t="str">
        <f>HYPERLINK("http://nlpdeep.cs.uic.edu:8080/proofing/t5/64146-patient-test-information-0-0.pdf","t5/64146-patient-test-information-0-0.pdf")</f>
        <v>t5/64146-patient-test-information-0-0.pdf</v>
      </c>
      <c r="F994">
        <v>109181</v>
      </c>
      <c r="G994">
        <v>64146</v>
      </c>
      <c r="H994" t="s">
        <v>1891</v>
      </c>
      <c r="I994" t="s">
        <v>1892</v>
      </c>
      <c r="J994" t="s">
        <v>4451</v>
      </c>
    </row>
    <row r="995" spans="1:10" x14ac:dyDescent="0.2">
      <c r="A995" t="s">
        <v>4450</v>
      </c>
      <c r="E995" t="str">
        <f>HYPERLINK("http://nlpdeep.cs.uic.edu:8080/proofing/gsii/64146-patient-test-information-0-0.pdf","gsii/64146-patient-test-information-0-0.pdf")</f>
        <v>gsii/64146-patient-test-information-0-0.pdf</v>
      </c>
      <c r="F995">
        <v>109181</v>
      </c>
      <c r="G995">
        <v>64146</v>
      </c>
      <c r="H995" t="s">
        <v>1891</v>
      </c>
      <c r="I995" t="s">
        <v>1892</v>
      </c>
      <c r="J995" t="s">
        <v>4451</v>
      </c>
    </row>
    <row r="996" spans="1:10" x14ac:dyDescent="0.2">
      <c r="A996" t="s">
        <v>4452</v>
      </c>
      <c r="E996" t="str">
        <f>HYPERLINK("http://nlpdeep.cs.uic.edu:8080/proofing/t5/64146-patient-test-information-0-1.pdf","t5/64146-patient-test-information-0-1.pdf")</f>
        <v>t5/64146-patient-test-information-0-1.pdf</v>
      </c>
      <c r="F996">
        <v>109181</v>
      </c>
      <c r="G996">
        <v>64146</v>
      </c>
      <c r="H996" t="s">
        <v>1891</v>
      </c>
      <c r="I996" t="s">
        <v>1892</v>
      </c>
      <c r="J996" t="s">
        <v>1897</v>
      </c>
    </row>
    <row r="997" spans="1:10" x14ac:dyDescent="0.2">
      <c r="A997" t="s">
        <v>4452</v>
      </c>
      <c r="E997" t="str">
        <f>HYPERLINK("http://nlpdeep.cs.uic.edu:8080/proofing/gsii/64146-patient-test-information-0-1.pdf","gsii/64146-patient-test-information-0-1.pdf")</f>
        <v>gsii/64146-patient-test-information-0-1.pdf</v>
      </c>
      <c r="F997">
        <v>109181</v>
      </c>
      <c r="G997">
        <v>64146</v>
      </c>
      <c r="H997" t="s">
        <v>1891</v>
      </c>
      <c r="I997" t="s">
        <v>1892</v>
      </c>
      <c r="J997" t="s">
        <v>1897</v>
      </c>
    </row>
    <row r="998" spans="1:10" x14ac:dyDescent="0.2">
      <c r="A998" t="s">
        <v>4453</v>
      </c>
      <c r="E998" t="str">
        <f>HYPERLINK("http://nlpdeep.cs.uic.edu:8080/proofing/t5/64146-patient-test-information-0-2.pdf","t5/64146-patient-test-information-0-2.pdf")</f>
        <v>t5/64146-patient-test-information-0-2.pdf</v>
      </c>
      <c r="F998">
        <v>109181</v>
      </c>
      <c r="G998">
        <v>64146</v>
      </c>
      <c r="H998" t="s">
        <v>1891</v>
      </c>
      <c r="I998" t="s">
        <v>1892</v>
      </c>
      <c r="J998" t="s">
        <v>4454</v>
      </c>
    </row>
    <row r="999" spans="1:10" x14ac:dyDescent="0.2">
      <c r="A999" t="s">
        <v>4453</v>
      </c>
      <c r="E999" t="str">
        <f>HYPERLINK("http://nlpdeep.cs.uic.edu:8080/proofing/gsii/64146-patient-test-information-0-2.pdf","gsii/64146-patient-test-information-0-2.pdf")</f>
        <v>gsii/64146-patient-test-information-0-2.pdf</v>
      </c>
      <c r="F999">
        <v>109181</v>
      </c>
      <c r="G999">
        <v>64146</v>
      </c>
      <c r="H999" t="s">
        <v>1891</v>
      </c>
      <c r="I999" t="s">
        <v>1892</v>
      </c>
      <c r="J999" t="s">
        <v>4454</v>
      </c>
    </row>
    <row r="1000" spans="1:10" x14ac:dyDescent="0.2">
      <c r="A1000" t="s">
        <v>4455</v>
      </c>
      <c r="E1000" t="str">
        <f>HYPERLINK("http://nlpdeep.cs.uic.edu:8080/proofing/t5/64146-patient-test-information-0-3.pdf","t5/64146-patient-test-information-0-3.pdf")</f>
        <v>t5/64146-patient-test-information-0-3.pdf</v>
      </c>
      <c r="F1000">
        <v>109181</v>
      </c>
      <c r="G1000">
        <v>64146</v>
      </c>
      <c r="H1000" t="s">
        <v>1891</v>
      </c>
      <c r="I1000" t="s">
        <v>1892</v>
      </c>
      <c r="J1000" t="s">
        <v>4456</v>
      </c>
    </row>
    <row r="1001" spans="1:10" x14ac:dyDescent="0.2">
      <c r="A1001" t="s">
        <v>4455</v>
      </c>
      <c r="E1001" t="str">
        <f>HYPERLINK("http://nlpdeep.cs.uic.edu:8080/proofing/gsii/64146-patient-test-information-0-3.pdf","gsii/64146-patient-test-information-0-3.pdf")</f>
        <v>gsii/64146-patient-test-information-0-3.pdf</v>
      </c>
      <c r="F1001">
        <v>109181</v>
      </c>
      <c r="G1001">
        <v>64146</v>
      </c>
      <c r="H1001" t="s">
        <v>1891</v>
      </c>
      <c r="I1001" t="s">
        <v>1892</v>
      </c>
      <c r="J1001" t="s">
        <v>4456</v>
      </c>
    </row>
    <row r="1002" spans="1:10" x14ac:dyDescent="0.2">
      <c r="A1002" t="s">
        <v>4457</v>
      </c>
      <c r="E1002" t="str">
        <f>HYPERLINK("http://nlpdeep.cs.uic.edu:8080/proofing/t5/64146-findings-0-0.pdf","t5/64146-findings-0-0.pdf")</f>
        <v>t5/64146-findings-0-0.pdf</v>
      </c>
      <c r="F1002">
        <v>109181</v>
      </c>
      <c r="G1002">
        <v>64146</v>
      </c>
      <c r="H1002" t="s">
        <v>1891</v>
      </c>
      <c r="I1002" t="s">
        <v>1840</v>
      </c>
      <c r="J1002" t="s">
        <v>4458</v>
      </c>
    </row>
    <row r="1003" spans="1:10" x14ac:dyDescent="0.2">
      <c r="A1003" t="s">
        <v>4457</v>
      </c>
      <c r="E1003" t="str">
        <f>HYPERLINK("http://nlpdeep.cs.uic.edu:8080/proofing/gsii/64146-findings-0-0.pdf","gsii/64146-findings-0-0.pdf")</f>
        <v>gsii/64146-findings-0-0.pdf</v>
      </c>
      <c r="F1003">
        <v>109181</v>
      </c>
      <c r="G1003">
        <v>64146</v>
      </c>
      <c r="H1003" t="s">
        <v>1891</v>
      </c>
      <c r="I1003" t="s">
        <v>1840</v>
      </c>
      <c r="J1003" t="s">
        <v>4458</v>
      </c>
    </row>
    <row r="1004" spans="1:10" x14ac:dyDescent="0.2">
      <c r="A1004" t="s">
        <v>4459</v>
      </c>
      <c r="E1004" t="str">
        <f>HYPERLINK("http://nlpdeep.cs.uic.edu:8080/proofing/t5/64146-findings-1-0.pdf","t5/64146-findings-1-0.pdf")</f>
        <v>t5/64146-findings-1-0.pdf</v>
      </c>
      <c r="F1004">
        <v>109181</v>
      </c>
      <c r="G1004">
        <v>64146</v>
      </c>
      <c r="H1004" t="s">
        <v>1891</v>
      </c>
      <c r="I1004" t="s">
        <v>1840</v>
      </c>
      <c r="J1004" t="s">
        <v>4460</v>
      </c>
    </row>
    <row r="1005" spans="1:10" x14ac:dyDescent="0.2">
      <c r="A1005" t="s">
        <v>4459</v>
      </c>
      <c r="E1005" t="str">
        <f>HYPERLINK("http://nlpdeep.cs.uic.edu:8080/proofing/gsii/64146-findings-1-0.pdf","gsii/64146-findings-1-0.pdf")</f>
        <v>gsii/64146-findings-1-0.pdf</v>
      </c>
      <c r="F1005">
        <v>109181</v>
      </c>
      <c r="G1005">
        <v>64146</v>
      </c>
      <c r="H1005" t="s">
        <v>1891</v>
      </c>
      <c r="I1005" t="s">
        <v>1840</v>
      </c>
      <c r="J1005" t="s">
        <v>4460</v>
      </c>
    </row>
    <row r="1006" spans="1:10" x14ac:dyDescent="0.2">
      <c r="A1006" t="s">
        <v>4461</v>
      </c>
      <c r="E1006" t="str">
        <f>HYPERLINK("http://nlpdeep.cs.uic.edu:8080/proofing/t5/64146-findings-2-0.pdf","t5/64146-findings-2-0.pdf")</f>
        <v>t5/64146-findings-2-0.pdf</v>
      </c>
      <c r="F1006">
        <v>109181</v>
      </c>
      <c r="G1006">
        <v>64146</v>
      </c>
      <c r="H1006" t="s">
        <v>1891</v>
      </c>
      <c r="I1006" t="s">
        <v>1840</v>
      </c>
      <c r="J1006" t="s">
        <v>4462</v>
      </c>
    </row>
    <row r="1007" spans="1:10" x14ac:dyDescent="0.2">
      <c r="A1007" t="s">
        <v>4461</v>
      </c>
      <c r="E1007" t="str">
        <f>HYPERLINK("http://nlpdeep.cs.uic.edu:8080/proofing/gsii/64146-findings-2-0.pdf","gsii/64146-findings-2-0.pdf")</f>
        <v>gsii/64146-findings-2-0.pdf</v>
      </c>
      <c r="F1007">
        <v>109181</v>
      </c>
      <c r="G1007">
        <v>64146</v>
      </c>
      <c r="H1007" t="s">
        <v>1891</v>
      </c>
      <c r="I1007" t="s">
        <v>1840</v>
      </c>
      <c r="J1007" t="s">
        <v>4462</v>
      </c>
    </row>
    <row r="1008" spans="1:10" x14ac:dyDescent="0.2">
      <c r="A1008" t="s">
        <v>4463</v>
      </c>
      <c r="E1008" t="str">
        <f>HYPERLINK("http://nlpdeep.cs.uic.edu:8080/proofing/t5/64146-findings-3-0.pdf","t5/64146-findings-3-0.pdf")</f>
        <v>t5/64146-findings-3-0.pdf</v>
      </c>
      <c r="F1008">
        <v>109181</v>
      </c>
      <c r="G1008">
        <v>64146</v>
      </c>
      <c r="H1008" t="s">
        <v>1891</v>
      </c>
      <c r="I1008" t="s">
        <v>1840</v>
      </c>
      <c r="J1008" t="s">
        <v>1905</v>
      </c>
    </row>
    <row r="1009" spans="1:10" x14ac:dyDescent="0.2">
      <c r="A1009" t="s">
        <v>4463</v>
      </c>
      <c r="E1009" t="str">
        <f>HYPERLINK("http://nlpdeep.cs.uic.edu:8080/proofing/gsii/64146-findings-3-0.pdf","gsii/64146-findings-3-0.pdf")</f>
        <v>gsii/64146-findings-3-0.pdf</v>
      </c>
      <c r="F1009">
        <v>109181</v>
      </c>
      <c r="G1009">
        <v>64146</v>
      </c>
      <c r="H1009" t="s">
        <v>1891</v>
      </c>
      <c r="I1009" t="s">
        <v>1840</v>
      </c>
      <c r="J1009" t="s">
        <v>1905</v>
      </c>
    </row>
    <row r="1010" spans="1:10" x14ac:dyDescent="0.2">
      <c r="A1010" t="s">
        <v>4464</v>
      </c>
      <c r="E1010" t="str">
        <f>HYPERLINK("http://nlpdeep.cs.uic.edu:8080/proofing/t5/64146-findings-3-1.pdf","t5/64146-findings-3-1.pdf")</f>
        <v>t5/64146-findings-3-1.pdf</v>
      </c>
      <c r="F1010">
        <v>109181</v>
      </c>
      <c r="G1010">
        <v>64146</v>
      </c>
      <c r="H1010" t="s">
        <v>1891</v>
      </c>
      <c r="I1010" t="s">
        <v>1840</v>
      </c>
      <c r="J1010" t="s">
        <v>4465</v>
      </c>
    </row>
    <row r="1011" spans="1:10" x14ac:dyDescent="0.2">
      <c r="A1011" t="s">
        <v>4464</v>
      </c>
      <c r="E1011" t="str">
        <f>HYPERLINK("http://nlpdeep.cs.uic.edu:8080/proofing/gsii/64146-findings-3-1.pdf","gsii/64146-findings-3-1.pdf")</f>
        <v>gsii/64146-findings-3-1.pdf</v>
      </c>
      <c r="F1011">
        <v>109181</v>
      </c>
      <c r="G1011">
        <v>64146</v>
      </c>
      <c r="H1011" t="s">
        <v>1891</v>
      </c>
      <c r="I1011" t="s">
        <v>1840</v>
      </c>
      <c r="J1011" t="s">
        <v>4465</v>
      </c>
    </row>
    <row r="1012" spans="1:10" x14ac:dyDescent="0.2">
      <c r="A1012" t="s">
        <v>4466</v>
      </c>
      <c r="E1012" t="str">
        <f>HYPERLINK("http://nlpdeep.cs.uic.edu:8080/proofing/t5/64146-findings-3-2.pdf","t5/64146-findings-3-2.pdf")</f>
        <v>t5/64146-findings-3-2.pdf</v>
      </c>
      <c r="F1012">
        <v>109181</v>
      </c>
      <c r="G1012">
        <v>64146</v>
      </c>
      <c r="H1012" t="s">
        <v>1891</v>
      </c>
      <c r="I1012" t="s">
        <v>1840</v>
      </c>
      <c r="J1012" t="s">
        <v>4467</v>
      </c>
    </row>
    <row r="1013" spans="1:10" x14ac:dyDescent="0.2">
      <c r="A1013" t="s">
        <v>4466</v>
      </c>
      <c r="E1013" t="str">
        <f>HYPERLINK("http://nlpdeep.cs.uic.edu:8080/proofing/gsii/64146-findings-3-2.pdf","gsii/64146-findings-3-2.pdf")</f>
        <v>gsii/64146-findings-3-2.pdf</v>
      </c>
      <c r="F1013">
        <v>109181</v>
      </c>
      <c r="G1013">
        <v>64146</v>
      </c>
      <c r="H1013" t="s">
        <v>1891</v>
      </c>
      <c r="I1013" t="s">
        <v>1840</v>
      </c>
      <c r="J1013" t="s">
        <v>4467</v>
      </c>
    </row>
    <row r="1014" spans="1:10" x14ac:dyDescent="0.2">
      <c r="A1014" t="s">
        <v>4468</v>
      </c>
      <c r="E1014" t="str">
        <f>HYPERLINK("http://nlpdeep.cs.uic.edu:8080/proofing/t5/64146-findings-3-3.pdf","t5/64146-findings-3-3.pdf")</f>
        <v>t5/64146-findings-3-3.pdf</v>
      </c>
      <c r="F1014">
        <v>109181</v>
      </c>
      <c r="G1014">
        <v>64146</v>
      </c>
      <c r="H1014" t="s">
        <v>1891</v>
      </c>
      <c r="I1014" t="s">
        <v>1840</v>
      </c>
      <c r="J1014" t="s">
        <v>4469</v>
      </c>
    </row>
    <row r="1015" spans="1:10" x14ac:dyDescent="0.2">
      <c r="A1015" t="s">
        <v>4468</v>
      </c>
      <c r="E1015" t="str">
        <f>HYPERLINK("http://nlpdeep.cs.uic.edu:8080/proofing/gsii/64146-findings-3-3.pdf","gsii/64146-findings-3-3.pdf")</f>
        <v>gsii/64146-findings-3-3.pdf</v>
      </c>
      <c r="F1015">
        <v>109181</v>
      </c>
      <c r="G1015">
        <v>64146</v>
      </c>
      <c r="H1015" t="s">
        <v>1891</v>
      </c>
      <c r="I1015" t="s">
        <v>1840</v>
      </c>
      <c r="J1015" t="s">
        <v>4469</v>
      </c>
    </row>
    <row r="1016" spans="1:10" x14ac:dyDescent="0.2">
      <c r="A1016" t="s">
        <v>4470</v>
      </c>
      <c r="E1016" t="str">
        <f>HYPERLINK("http://nlpdeep.cs.uic.edu:8080/proofing/t5/64146-findings-4-0.pdf","t5/64146-findings-4-0.pdf")</f>
        <v>t5/64146-findings-4-0.pdf</v>
      </c>
      <c r="F1016">
        <v>109181</v>
      </c>
      <c r="G1016">
        <v>64146</v>
      </c>
      <c r="H1016" t="s">
        <v>1891</v>
      </c>
      <c r="I1016" t="s">
        <v>1840</v>
      </c>
      <c r="J1016" t="s">
        <v>4471</v>
      </c>
    </row>
    <row r="1017" spans="1:10" x14ac:dyDescent="0.2">
      <c r="A1017" t="s">
        <v>4470</v>
      </c>
      <c r="E1017" t="str">
        <f>HYPERLINK("http://nlpdeep.cs.uic.edu:8080/proofing/gsii/64146-findings-4-0.pdf","gsii/64146-findings-4-0.pdf")</f>
        <v>gsii/64146-findings-4-0.pdf</v>
      </c>
      <c r="F1017">
        <v>109181</v>
      </c>
      <c r="G1017">
        <v>64146</v>
      </c>
      <c r="H1017" t="s">
        <v>1891</v>
      </c>
      <c r="I1017" t="s">
        <v>1840</v>
      </c>
      <c r="J1017" t="s">
        <v>4471</v>
      </c>
    </row>
    <row r="1018" spans="1:10" x14ac:dyDescent="0.2">
      <c r="A1018" t="s">
        <v>4472</v>
      </c>
      <c r="E1018" t="str">
        <f>HYPERLINK("http://nlpdeep.cs.uic.edu:8080/proofing/t5/64146-findings-5-0.pdf","t5/64146-findings-5-0.pdf")</f>
        <v>t5/64146-findings-5-0.pdf</v>
      </c>
      <c r="F1018">
        <v>109181</v>
      </c>
      <c r="G1018">
        <v>64146</v>
      </c>
      <c r="H1018" t="s">
        <v>1891</v>
      </c>
      <c r="I1018" t="s">
        <v>1840</v>
      </c>
      <c r="J1018" t="s">
        <v>4473</v>
      </c>
    </row>
    <row r="1019" spans="1:10" x14ac:dyDescent="0.2">
      <c r="A1019" t="s">
        <v>4472</v>
      </c>
      <c r="E1019" t="str">
        <f>HYPERLINK("http://nlpdeep.cs.uic.edu:8080/proofing/gsii/64146-findings-5-0.pdf","gsii/64146-findings-5-0.pdf")</f>
        <v>gsii/64146-findings-5-0.pdf</v>
      </c>
      <c r="F1019">
        <v>109181</v>
      </c>
      <c r="G1019">
        <v>64146</v>
      </c>
      <c r="H1019" t="s">
        <v>1891</v>
      </c>
      <c r="I1019" t="s">
        <v>1840</v>
      </c>
      <c r="J1019" t="s">
        <v>4473</v>
      </c>
    </row>
    <row r="1020" spans="1:10" x14ac:dyDescent="0.2">
      <c r="A1020" t="s">
        <v>4474</v>
      </c>
      <c r="E1020" t="str">
        <f>HYPERLINK("http://nlpdeep.cs.uic.edu:8080/proofing/t5/64146-findings-5-1.pdf","t5/64146-findings-5-1.pdf")</f>
        <v>t5/64146-findings-5-1.pdf</v>
      </c>
      <c r="F1020">
        <v>109181</v>
      </c>
      <c r="G1020">
        <v>64146</v>
      </c>
      <c r="H1020" t="s">
        <v>1891</v>
      </c>
      <c r="I1020" t="s">
        <v>1840</v>
      </c>
      <c r="J1020" t="s">
        <v>4475</v>
      </c>
    </row>
    <row r="1021" spans="1:10" x14ac:dyDescent="0.2">
      <c r="A1021" t="s">
        <v>4474</v>
      </c>
      <c r="E1021" t="str">
        <f>HYPERLINK("http://nlpdeep.cs.uic.edu:8080/proofing/gsii/64146-findings-5-1.pdf","gsii/64146-findings-5-1.pdf")</f>
        <v>gsii/64146-findings-5-1.pdf</v>
      </c>
      <c r="F1021">
        <v>109181</v>
      </c>
      <c r="G1021">
        <v>64146</v>
      </c>
      <c r="H1021" t="s">
        <v>1891</v>
      </c>
      <c r="I1021" t="s">
        <v>1840</v>
      </c>
      <c r="J1021" t="s">
        <v>4475</v>
      </c>
    </row>
    <row r="1022" spans="1:10" x14ac:dyDescent="0.2">
      <c r="A1022" t="s">
        <v>4476</v>
      </c>
      <c r="E1022" t="str">
        <f>HYPERLINK("http://nlpdeep.cs.uic.edu:8080/proofing/t5/64146-findings-6-0.pdf","t5/64146-findings-6-0.pdf")</f>
        <v>t5/64146-findings-6-0.pdf</v>
      </c>
      <c r="F1022">
        <v>109181</v>
      </c>
      <c r="G1022">
        <v>64146</v>
      </c>
      <c r="H1022" t="s">
        <v>1891</v>
      </c>
      <c r="I1022" t="s">
        <v>1840</v>
      </c>
      <c r="J1022" t="s">
        <v>3003</v>
      </c>
    </row>
    <row r="1023" spans="1:10" x14ac:dyDescent="0.2">
      <c r="A1023" t="s">
        <v>4476</v>
      </c>
      <c r="E1023" t="str">
        <f>HYPERLINK("http://nlpdeep.cs.uic.edu:8080/proofing/gsii/64146-findings-6-0.pdf","gsii/64146-findings-6-0.pdf")</f>
        <v>gsii/64146-findings-6-0.pdf</v>
      </c>
      <c r="F1023">
        <v>109181</v>
      </c>
      <c r="G1023">
        <v>64146</v>
      </c>
      <c r="H1023" t="s">
        <v>1891</v>
      </c>
      <c r="I1023" t="s">
        <v>1840</v>
      </c>
      <c r="J1023" t="s">
        <v>3003</v>
      </c>
    </row>
    <row r="1024" spans="1:10" x14ac:dyDescent="0.2">
      <c r="A1024" t="s">
        <v>4477</v>
      </c>
      <c r="E1024" t="str">
        <f>HYPERLINK("http://nlpdeep.cs.uic.edu:8080/proofing/t5/64146-findings-7-0.pdf","t5/64146-findings-7-0.pdf")</f>
        <v>t5/64146-findings-7-0.pdf</v>
      </c>
      <c r="F1024">
        <v>109181</v>
      </c>
      <c r="G1024">
        <v>64146</v>
      </c>
      <c r="H1024" t="s">
        <v>1891</v>
      </c>
      <c r="I1024" t="s">
        <v>1840</v>
      </c>
      <c r="J1024" t="s">
        <v>4478</v>
      </c>
    </row>
    <row r="1025" spans="1:10" x14ac:dyDescent="0.2">
      <c r="A1025" t="s">
        <v>4477</v>
      </c>
      <c r="E1025" t="str">
        <f>HYPERLINK("http://nlpdeep.cs.uic.edu:8080/proofing/gsii/64146-findings-7-0.pdf","gsii/64146-findings-7-0.pdf")</f>
        <v>gsii/64146-findings-7-0.pdf</v>
      </c>
      <c r="F1025">
        <v>109181</v>
      </c>
      <c r="G1025">
        <v>64146</v>
      </c>
      <c r="H1025" t="s">
        <v>1891</v>
      </c>
      <c r="I1025" t="s">
        <v>1840</v>
      </c>
      <c r="J1025" t="s">
        <v>4478</v>
      </c>
    </row>
    <row r="1026" spans="1:10" x14ac:dyDescent="0.2">
      <c r="A1026" t="s">
        <v>4479</v>
      </c>
      <c r="E1026" t="str">
        <f>HYPERLINK("http://nlpdeep.cs.uic.edu:8080/proofing/t5/64146-findings-7-1.pdf","t5/64146-findings-7-1.pdf")</f>
        <v>t5/64146-findings-7-1.pdf</v>
      </c>
      <c r="F1026">
        <v>109181</v>
      </c>
      <c r="G1026">
        <v>64146</v>
      </c>
      <c r="H1026" t="s">
        <v>1891</v>
      </c>
      <c r="I1026" t="s">
        <v>1840</v>
      </c>
      <c r="J1026" t="s">
        <v>1935</v>
      </c>
    </row>
    <row r="1027" spans="1:10" x14ac:dyDescent="0.2">
      <c r="A1027" t="s">
        <v>4479</v>
      </c>
      <c r="E1027" t="str">
        <f>HYPERLINK("http://nlpdeep.cs.uic.edu:8080/proofing/gsii/64146-findings-7-1.pdf","gsii/64146-findings-7-1.pdf")</f>
        <v>gsii/64146-findings-7-1.pdf</v>
      </c>
      <c r="F1027">
        <v>109181</v>
      </c>
      <c r="G1027">
        <v>64146</v>
      </c>
      <c r="H1027" t="s">
        <v>1891</v>
      </c>
      <c r="I1027" t="s">
        <v>1840</v>
      </c>
      <c r="J1027" t="s">
        <v>1935</v>
      </c>
    </row>
    <row r="1028" spans="1:10" x14ac:dyDescent="0.2">
      <c r="A1028" t="s">
        <v>4480</v>
      </c>
      <c r="E1028" t="str">
        <f>HYPERLINK("http://nlpdeep.cs.uic.edu:8080/proofing/t5/64146-findings-7-2.pdf","t5/64146-findings-7-2.pdf")</f>
        <v>t5/64146-findings-7-2.pdf</v>
      </c>
      <c r="F1028">
        <v>109181</v>
      </c>
      <c r="G1028">
        <v>64146</v>
      </c>
      <c r="H1028" t="s">
        <v>1891</v>
      </c>
      <c r="I1028" t="s">
        <v>1840</v>
      </c>
      <c r="J1028" t="s">
        <v>4481</v>
      </c>
    </row>
    <row r="1029" spans="1:10" x14ac:dyDescent="0.2">
      <c r="A1029" t="s">
        <v>4480</v>
      </c>
      <c r="E1029" t="str">
        <f>HYPERLINK("http://nlpdeep.cs.uic.edu:8080/proofing/gsii/64146-findings-7-2.pdf","gsii/64146-findings-7-2.pdf")</f>
        <v>gsii/64146-findings-7-2.pdf</v>
      </c>
      <c r="F1029">
        <v>109181</v>
      </c>
      <c r="G1029">
        <v>64146</v>
      </c>
      <c r="H1029" t="s">
        <v>1891</v>
      </c>
      <c r="I1029" t="s">
        <v>1840</v>
      </c>
      <c r="J1029" t="s">
        <v>4481</v>
      </c>
    </row>
    <row r="1030" spans="1:10" x14ac:dyDescent="0.2">
      <c r="A1030" t="s">
        <v>4482</v>
      </c>
      <c r="E1030" t="str">
        <f>HYPERLINK("http://nlpdeep.cs.uic.edu:8080/proofing/t5/64146-findings-7-3.pdf","t5/64146-findings-7-3.pdf")</f>
        <v>t5/64146-findings-7-3.pdf</v>
      </c>
      <c r="F1030">
        <v>109181</v>
      </c>
      <c r="G1030">
        <v>64146</v>
      </c>
      <c r="H1030" t="s">
        <v>1891</v>
      </c>
      <c r="I1030" t="s">
        <v>1840</v>
      </c>
      <c r="J1030" t="s">
        <v>1937</v>
      </c>
    </row>
    <row r="1031" spans="1:10" x14ac:dyDescent="0.2">
      <c r="A1031" t="s">
        <v>4482</v>
      </c>
      <c r="E1031" t="str">
        <f>HYPERLINK("http://nlpdeep.cs.uic.edu:8080/proofing/gsii/64146-findings-7-3.pdf","gsii/64146-findings-7-3.pdf")</f>
        <v>gsii/64146-findings-7-3.pdf</v>
      </c>
      <c r="F1031">
        <v>109181</v>
      </c>
      <c r="G1031">
        <v>64146</v>
      </c>
      <c r="H1031" t="s">
        <v>1891</v>
      </c>
      <c r="I1031" t="s">
        <v>1840</v>
      </c>
      <c r="J1031" t="s">
        <v>1937</v>
      </c>
    </row>
    <row r="1032" spans="1:10" x14ac:dyDescent="0.2">
      <c r="A1032" t="s">
        <v>4483</v>
      </c>
      <c r="E1032" t="str">
        <f>HYPERLINK("http://nlpdeep.cs.uic.edu:8080/proofing/t5/64146-findings-7-4.pdf","t5/64146-findings-7-4.pdf")</f>
        <v>t5/64146-findings-7-4.pdf</v>
      </c>
      <c r="F1032">
        <v>109181</v>
      </c>
      <c r="G1032">
        <v>64146</v>
      </c>
      <c r="H1032" t="s">
        <v>1891</v>
      </c>
      <c r="I1032" t="s">
        <v>1840</v>
      </c>
      <c r="J1032" t="s">
        <v>4484</v>
      </c>
    </row>
    <row r="1033" spans="1:10" x14ac:dyDescent="0.2">
      <c r="A1033" t="s">
        <v>4483</v>
      </c>
      <c r="E1033" t="str">
        <f>HYPERLINK("http://nlpdeep.cs.uic.edu:8080/proofing/gsii/64146-findings-7-4.pdf","gsii/64146-findings-7-4.pdf")</f>
        <v>gsii/64146-findings-7-4.pdf</v>
      </c>
      <c r="F1033">
        <v>109181</v>
      </c>
      <c r="G1033">
        <v>64146</v>
      </c>
      <c r="H1033" t="s">
        <v>1891</v>
      </c>
      <c r="I1033" t="s">
        <v>1840</v>
      </c>
      <c r="J1033" t="s">
        <v>4484</v>
      </c>
    </row>
    <row r="1034" spans="1:10" x14ac:dyDescent="0.2">
      <c r="A1034" t="s">
        <v>4485</v>
      </c>
      <c r="E1034" t="str">
        <f>HYPERLINK("http://nlpdeep.cs.uic.edu:8080/proofing/t5/64146-findings-8-0.pdf","t5/64146-findings-8-0.pdf")</f>
        <v>t5/64146-findings-8-0.pdf</v>
      </c>
      <c r="F1034">
        <v>109181</v>
      </c>
      <c r="G1034">
        <v>64146</v>
      </c>
      <c r="H1034" t="s">
        <v>1891</v>
      </c>
      <c r="I1034" t="s">
        <v>1840</v>
      </c>
      <c r="J1034" t="s">
        <v>1941</v>
      </c>
    </row>
    <row r="1035" spans="1:10" x14ac:dyDescent="0.2">
      <c r="A1035" t="s">
        <v>4485</v>
      </c>
      <c r="E1035" t="str">
        <f>HYPERLINK("http://nlpdeep.cs.uic.edu:8080/proofing/gsii/64146-findings-8-0.pdf","gsii/64146-findings-8-0.pdf")</f>
        <v>gsii/64146-findings-8-0.pdf</v>
      </c>
      <c r="F1035">
        <v>109181</v>
      </c>
      <c r="G1035">
        <v>64146</v>
      </c>
      <c r="H1035" t="s">
        <v>1891</v>
      </c>
      <c r="I1035" t="s">
        <v>1840</v>
      </c>
      <c r="J1035" t="s">
        <v>1941</v>
      </c>
    </row>
    <row r="1036" spans="1:10" x14ac:dyDescent="0.2">
      <c r="A1036" t="s">
        <v>4486</v>
      </c>
      <c r="E1036" t="str">
        <f>HYPERLINK("http://nlpdeep.cs.uic.edu:8080/proofing/t5/64146-findings-8-1.pdf","t5/64146-findings-8-1.pdf")</f>
        <v>t5/64146-findings-8-1.pdf</v>
      </c>
      <c r="F1036">
        <v>109181</v>
      </c>
      <c r="G1036">
        <v>64146</v>
      </c>
      <c r="H1036" t="s">
        <v>1891</v>
      </c>
      <c r="I1036" t="s">
        <v>1840</v>
      </c>
      <c r="J1036" t="s">
        <v>1943</v>
      </c>
    </row>
    <row r="1037" spans="1:10" x14ac:dyDescent="0.2">
      <c r="A1037" t="s">
        <v>4486</v>
      </c>
      <c r="E1037" t="str">
        <f>HYPERLINK("http://nlpdeep.cs.uic.edu:8080/proofing/gsii/64146-findings-8-1.pdf","gsii/64146-findings-8-1.pdf")</f>
        <v>gsii/64146-findings-8-1.pdf</v>
      </c>
      <c r="F1037">
        <v>109181</v>
      </c>
      <c r="G1037">
        <v>64146</v>
      </c>
      <c r="H1037" t="s">
        <v>1891</v>
      </c>
      <c r="I1037" t="s">
        <v>1840</v>
      </c>
      <c r="J1037" t="s">
        <v>1943</v>
      </c>
    </row>
    <row r="1038" spans="1:10" x14ac:dyDescent="0.2">
      <c r="A1038" t="s">
        <v>4487</v>
      </c>
      <c r="E1038" t="str">
        <f>HYPERLINK("http://nlpdeep.cs.uic.edu:8080/proofing/t5/64146-findings-8-2.pdf","t5/64146-findings-8-2.pdf")</f>
        <v>t5/64146-findings-8-2.pdf</v>
      </c>
      <c r="F1038">
        <v>109181</v>
      </c>
      <c r="G1038">
        <v>64146</v>
      </c>
      <c r="H1038" t="s">
        <v>1891</v>
      </c>
      <c r="I1038" t="s">
        <v>1840</v>
      </c>
      <c r="J1038" t="s">
        <v>4488</v>
      </c>
    </row>
    <row r="1039" spans="1:10" x14ac:dyDescent="0.2">
      <c r="A1039" t="s">
        <v>4487</v>
      </c>
      <c r="E1039" t="str">
        <f>HYPERLINK("http://nlpdeep.cs.uic.edu:8080/proofing/gsii/64146-findings-8-2.pdf","gsii/64146-findings-8-2.pdf")</f>
        <v>gsii/64146-findings-8-2.pdf</v>
      </c>
      <c r="F1039">
        <v>109181</v>
      </c>
      <c r="G1039">
        <v>64146</v>
      </c>
      <c r="H1039" t="s">
        <v>1891</v>
      </c>
      <c r="I1039" t="s">
        <v>1840</v>
      </c>
      <c r="J1039" t="s">
        <v>4488</v>
      </c>
    </row>
    <row r="1040" spans="1:10" x14ac:dyDescent="0.2">
      <c r="A1040" t="s">
        <v>4489</v>
      </c>
      <c r="E1040" t="str">
        <f>HYPERLINK("http://nlpdeep.cs.uic.edu:8080/proofing/t5/64146-findings-8-3.pdf","t5/64146-findings-8-3.pdf")</f>
        <v>t5/64146-findings-8-3.pdf</v>
      </c>
      <c r="F1040">
        <v>109181</v>
      </c>
      <c r="G1040">
        <v>64146</v>
      </c>
      <c r="H1040" t="s">
        <v>1891</v>
      </c>
      <c r="I1040" t="s">
        <v>1840</v>
      </c>
      <c r="J1040" t="s">
        <v>4490</v>
      </c>
    </row>
    <row r="1041" spans="1:10" x14ac:dyDescent="0.2">
      <c r="A1041" t="s">
        <v>4489</v>
      </c>
      <c r="E1041" t="str">
        <f>HYPERLINK("http://nlpdeep.cs.uic.edu:8080/proofing/gsii/64146-findings-8-3.pdf","gsii/64146-findings-8-3.pdf")</f>
        <v>gsii/64146-findings-8-3.pdf</v>
      </c>
      <c r="F1041">
        <v>109181</v>
      </c>
      <c r="G1041">
        <v>64146</v>
      </c>
      <c r="H1041" t="s">
        <v>1891</v>
      </c>
      <c r="I1041" t="s">
        <v>1840</v>
      </c>
      <c r="J1041" t="s">
        <v>4490</v>
      </c>
    </row>
    <row r="1042" spans="1:10" x14ac:dyDescent="0.2">
      <c r="A1042" t="s">
        <v>4491</v>
      </c>
      <c r="E1042" t="str">
        <f>HYPERLINK("http://nlpdeep.cs.uic.edu:8080/proofing/t5/64146-findings-9-0.pdf","t5/64146-findings-9-0.pdf")</f>
        <v>t5/64146-findings-9-0.pdf</v>
      </c>
      <c r="F1042">
        <v>109181</v>
      </c>
      <c r="G1042">
        <v>64146</v>
      </c>
      <c r="H1042" t="s">
        <v>1891</v>
      </c>
      <c r="I1042" t="s">
        <v>1840</v>
      </c>
      <c r="J1042" t="s">
        <v>3016</v>
      </c>
    </row>
    <row r="1043" spans="1:10" x14ac:dyDescent="0.2">
      <c r="A1043" t="s">
        <v>4491</v>
      </c>
      <c r="E1043" t="str">
        <f>HYPERLINK("http://nlpdeep.cs.uic.edu:8080/proofing/gsii/64146-findings-9-0.pdf","gsii/64146-findings-9-0.pdf")</f>
        <v>gsii/64146-findings-9-0.pdf</v>
      </c>
      <c r="F1043">
        <v>109181</v>
      </c>
      <c r="G1043">
        <v>64146</v>
      </c>
      <c r="H1043" t="s">
        <v>1891</v>
      </c>
      <c r="I1043" t="s">
        <v>1840</v>
      </c>
      <c r="J1043" t="s">
        <v>3016</v>
      </c>
    </row>
    <row r="1044" spans="1:10" x14ac:dyDescent="0.2">
      <c r="A1044" t="s">
        <v>4492</v>
      </c>
      <c r="E1044" t="str">
        <f>HYPERLINK("http://nlpdeep.cs.uic.edu:8080/proofing/t5/64146-findings-9-1.pdf","t5/64146-findings-9-1.pdf")</f>
        <v>t5/64146-findings-9-1.pdf</v>
      </c>
      <c r="F1044">
        <v>109181</v>
      </c>
      <c r="G1044">
        <v>64146</v>
      </c>
      <c r="H1044" t="s">
        <v>1891</v>
      </c>
      <c r="I1044" t="s">
        <v>1840</v>
      </c>
      <c r="J1044" t="s">
        <v>4493</v>
      </c>
    </row>
    <row r="1045" spans="1:10" x14ac:dyDescent="0.2">
      <c r="A1045" t="s">
        <v>4492</v>
      </c>
      <c r="E1045" t="str">
        <f>HYPERLINK("http://nlpdeep.cs.uic.edu:8080/proofing/gsii/64146-findings-9-1.pdf","gsii/64146-findings-9-1.pdf")</f>
        <v>gsii/64146-findings-9-1.pdf</v>
      </c>
      <c r="F1045">
        <v>109181</v>
      </c>
      <c r="G1045">
        <v>64146</v>
      </c>
      <c r="H1045" t="s">
        <v>1891</v>
      </c>
      <c r="I1045" t="s">
        <v>1840</v>
      </c>
      <c r="J1045" t="s">
        <v>4493</v>
      </c>
    </row>
    <row r="1046" spans="1:10" x14ac:dyDescent="0.2">
      <c r="A1046" t="s">
        <v>4494</v>
      </c>
      <c r="E1046" t="str">
        <f>HYPERLINK("http://nlpdeep.cs.uic.edu:8080/proofing/t5/64146-findings-9-2.pdf","t5/64146-findings-9-2.pdf")</f>
        <v>t5/64146-findings-9-2.pdf</v>
      </c>
      <c r="F1046">
        <v>109181</v>
      </c>
      <c r="G1046">
        <v>64146</v>
      </c>
      <c r="H1046" t="s">
        <v>1891</v>
      </c>
      <c r="I1046" t="s">
        <v>1840</v>
      </c>
      <c r="J1046" t="s">
        <v>4495</v>
      </c>
    </row>
    <row r="1047" spans="1:10" x14ac:dyDescent="0.2">
      <c r="A1047" t="s">
        <v>4494</v>
      </c>
      <c r="E1047" t="str">
        <f>HYPERLINK("http://nlpdeep.cs.uic.edu:8080/proofing/gsii/64146-findings-9-2.pdf","gsii/64146-findings-9-2.pdf")</f>
        <v>gsii/64146-findings-9-2.pdf</v>
      </c>
      <c r="F1047">
        <v>109181</v>
      </c>
      <c r="G1047">
        <v>64146</v>
      </c>
      <c r="H1047" t="s">
        <v>1891</v>
      </c>
      <c r="I1047" t="s">
        <v>1840</v>
      </c>
      <c r="J1047" t="s">
        <v>4495</v>
      </c>
    </row>
    <row r="1048" spans="1:10" x14ac:dyDescent="0.2">
      <c r="A1048" t="s">
        <v>4496</v>
      </c>
      <c r="E1048" t="str">
        <f>HYPERLINK("http://nlpdeep.cs.uic.edu:8080/proofing/t5/64146-findings-10-0.pdf","t5/64146-findings-10-0.pdf")</f>
        <v>t5/64146-findings-10-0.pdf</v>
      </c>
      <c r="F1048">
        <v>109181</v>
      </c>
      <c r="G1048">
        <v>64146</v>
      </c>
      <c r="H1048" t="s">
        <v>1891</v>
      </c>
      <c r="I1048" t="s">
        <v>1840</v>
      </c>
      <c r="J1048" t="s">
        <v>4497</v>
      </c>
    </row>
    <row r="1049" spans="1:10" x14ac:dyDescent="0.2">
      <c r="A1049" t="s">
        <v>4496</v>
      </c>
      <c r="E1049" t="str">
        <f>HYPERLINK("http://nlpdeep.cs.uic.edu:8080/proofing/gsii/64146-findings-10-0.pdf","gsii/64146-findings-10-0.pdf")</f>
        <v>gsii/64146-findings-10-0.pdf</v>
      </c>
      <c r="F1049">
        <v>109181</v>
      </c>
      <c r="G1049">
        <v>64146</v>
      </c>
      <c r="H1049" t="s">
        <v>1891</v>
      </c>
      <c r="I1049" t="s">
        <v>1840</v>
      </c>
      <c r="J1049" t="s">
        <v>4497</v>
      </c>
    </row>
    <row r="1050" spans="1:10" x14ac:dyDescent="0.2">
      <c r="A1050" t="s">
        <v>4498</v>
      </c>
      <c r="E1050" t="str">
        <f>HYPERLINK("http://nlpdeep.cs.uic.edu:8080/proofing/t5/64146-findings-10-1.pdf","t5/64146-findings-10-1.pdf")</f>
        <v>t5/64146-findings-10-1.pdf</v>
      </c>
      <c r="F1050">
        <v>109181</v>
      </c>
      <c r="G1050">
        <v>64146</v>
      </c>
      <c r="H1050" t="s">
        <v>1891</v>
      </c>
      <c r="I1050" t="s">
        <v>1840</v>
      </c>
      <c r="J1050" t="s">
        <v>1969</v>
      </c>
    </row>
    <row r="1051" spans="1:10" x14ac:dyDescent="0.2">
      <c r="A1051" t="s">
        <v>4498</v>
      </c>
      <c r="E1051" t="str">
        <f>HYPERLINK("http://nlpdeep.cs.uic.edu:8080/proofing/gsii/64146-findings-10-1.pdf","gsii/64146-findings-10-1.pdf")</f>
        <v>gsii/64146-findings-10-1.pdf</v>
      </c>
      <c r="F1051">
        <v>109181</v>
      </c>
      <c r="G1051">
        <v>64146</v>
      </c>
      <c r="H1051" t="s">
        <v>1891</v>
      </c>
      <c r="I1051" t="s">
        <v>1840</v>
      </c>
      <c r="J1051" t="s">
        <v>1969</v>
      </c>
    </row>
    <row r="1052" spans="1:10" x14ac:dyDescent="0.2">
      <c r="A1052" t="s">
        <v>4499</v>
      </c>
      <c r="E1052" t="str">
        <f>HYPERLINK("http://nlpdeep.cs.uic.edu:8080/proofing/t5/64146-findings-10-2.pdf","t5/64146-findings-10-2.pdf")</f>
        <v>t5/64146-findings-10-2.pdf</v>
      </c>
      <c r="F1052">
        <v>109181</v>
      </c>
      <c r="G1052">
        <v>64146</v>
      </c>
      <c r="H1052" t="s">
        <v>1891</v>
      </c>
      <c r="I1052" t="s">
        <v>1840</v>
      </c>
      <c r="J1052" t="s">
        <v>4500</v>
      </c>
    </row>
    <row r="1053" spans="1:10" x14ac:dyDescent="0.2">
      <c r="A1053" t="s">
        <v>4499</v>
      </c>
      <c r="E1053" t="str">
        <f>HYPERLINK("http://nlpdeep.cs.uic.edu:8080/proofing/gsii/64146-findings-10-2.pdf","gsii/64146-findings-10-2.pdf")</f>
        <v>gsii/64146-findings-10-2.pdf</v>
      </c>
      <c r="F1053">
        <v>109181</v>
      </c>
      <c r="G1053">
        <v>64146</v>
      </c>
      <c r="H1053" t="s">
        <v>1891</v>
      </c>
      <c r="I1053" t="s">
        <v>1840</v>
      </c>
      <c r="J1053" t="s">
        <v>4500</v>
      </c>
    </row>
    <row r="1054" spans="1:10" x14ac:dyDescent="0.2">
      <c r="A1054" t="s">
        <v>4501</v>
      </c>
      <c r="E1054" t="str">
        <f>HYPERLINK("http://nlpdeep.cs.uic.edu:8080/proofing/t5/64146-findings-11-0.pdf","t5/64146-findings-11-0.pdf")</f>
        <v>t5/64146-findings-11-0.pdf</v>
      </c>
      <c r="F1054">
        <v>109181</v>
      </c>
      <c r="G1054">
        <v>64146</v>
      </c>
      <c r="H1054" t="s">
        <v>1891</v>
      </c>
      <c r="I1054" t="s">
        <v>1840</v>
      </c>
      <c r="J1054" t="s">
        <v>3868</v>
      </c>
    </row>
    <row r="1055" spans="1:10" x14ac:dyDescent="0.2">
      <c r="A1055" t="s">
        <v>4501</v>
      </c>
      <c r="E1055" t="str">
        <f>HYPERLINK("http://nlpdeep.cs.uic.edu:8080/proofing/gsii/64146-findings-11-0.pdf","gsii/64146-findings-11-0.pdf")</f>
        <v>gsii/64146-findings-11-0.pdf</v>
      </c>
      <c r="F1055">
        <v>109181</v>
      </c>
      <c r="G1055">
        <v>64146</v>
      </c>
      <c r="H1055" t="s">
        <v>1891</v>
      </c>
      <c r="I1055" t="s">
        <v>1840</v>
      </c>
      <c r="J1055" t="s">
        <v>3868</v>
      </c>
    </row>
    <row r="1056" spans="1:10" x14ac:dyDescent="0.2">
      <c r="A1056" t="s">
        <v>4502</v>
      </c>
      <c r="E1056" t="str">
        <f>HYPERLINK("http://nlpdeep.cs.uic.edu:8080/proofing/t5/64146-findings-12-0.pdf","t5/64146-findings-12-0.pdf")</f>
        <v>t5/64146-findings-12-0.pdf</v>
      </c>
      <c r="F1056">
        <v>109181</v>
      </c>
      <c r="G1056">
        <v>64146</v>
      </c>
      <c r="H1056" t="s">
        <v>1891</v>
      </c>
      <c r="I1056" t="s">
        <v>1840</v>
      </c>
      <c r="J1056" t="s">
        <v>4503</v>
      </c>
    </row>
    <row r="1057" spans="1:10" x14ac:dyDescent="0.2">
      <c r="A1057" t="s">
        <v>4502</v>
      </c>
      <c r="E1057" t="str">
        <f>HYPERLINK("http://nlpdeep.cs.uic.edu:8080/proofing/gsii/64146-findings-12-0.pdf","gsii/64146-findings-12-0.pdf")</f>
        <v>gsii/64146-findings-12-0.pdf</v>
      </c>
      <c r="F1057">
        <v>109181</v>
      </c>
      <c r="G1057">
        <v>64146</v>
      </c>
      <c r="H1057" t="s">
        <v>1891</v>
      </c>
      <c r="I1057" t="s">
        <v>1840</v>
      </c>
      <c r="J1057" t="s">
        <v>4503</v>
      </c>
    </row>
    <row r="1058" spans="1:10" x14ac:dyDescent="0.2">
      <c r="A1058" t="s">
        <v>4504</v>
      </c>
      <c r="E1058" t="str">
        <f>HYPERLINK("http://nlpdeep.cs.uic.edu:8080/proofing/t5/64146-conclusions-0-0.pdf","t5/64146-conclusions-0-0.pdf")</f>
        <v>t5/64146-conclusions-0-0.pdf</v>
      </c>
      <c r="F1058">
        <v>109181</v>
      </c>
      <c r="G1058">
        <v>64146</v>
      </c>
      <c r="H1058" t="s">
        <v>1891</v>
      </c>
      <c r="I1058" t="s">
        <v>1979</v>
      </c>
      <c r="J1058" t="s">
        <v>1980</v>
      </c>
    </row>
    <row r="1059" spans="1:10" x14ac:dyDescent="0.2">
      <c r="A1059" t="s">
        <v>4504</v>
      </c>
      <c r="E1059" t="str">
        <f>HYPERLINK("http://nlpdeep.cs.uic.edu:8080/proofing/gsii/64146-conclusions-0-0.pdf","gsii/64146-conclusions-0-0.pdf")</f>
        <v>gsii/64146-conclusions-0-0.pdf</v>
      </c>
      <c r="F1059">
        <v>109181</v>
      </c>
      <c r="G1059">
        <v>64146</v>
      </c>
      <c r="H1059" t="s">
        <v>1891</v>
      </c>
      <c r="I1059" t="s">
        <v>1979</v>
      </c>
      <c r="J1059" t="s">
        <v>1980</v>
      </c>
    </row>
    <row r="1060" spans="1:10" x14ac:dyDescent="0.2">
      <c r="A1060" t="s">
        <v>4505</v>
      </c>
      <c r="E1060" t="str">
        <f>HYPERLINK("http://nlpdeep.cs.uic.edu:8080/proofing/t5/64146-conclusions-0-1.pdf","t5/64146-conclusions-0-1.pdf")</f>
        <v>t5/64146-conclusions-0-1.pdf</v>
      </c>
      <c r="F1060">
        <v>109181</v>
      </c>
      <c r="G1060">
        <v>64146</v>
      </c>
      <c r="H1060" t="s">
        <v>1891</v>
      </c>
      <c r="I1060" t="s">
        <v>1979</v>
      </c>
      <c r="J1060" t="s">
        <v>1982</v>
      </c>
    </row>
    <row r="1061" spans="1:10" x14ac:dyDescent="0.2">
      <c r="A1061" t="s">
        <v>4505</v>
      </c>
      <c r="E1061" t="str">
        <f>HYPERLINK("http://nlpdeep.cs.uic.edu:8080/proofing/gsii/64146-conclusions-0-1.pdf","gsii/64146-conclusions-0-1.pdf")</f>
        <v>gsii/64146-conclusions-0-1.pdf</v>
      </c>
      <c r="F1061">
        <v>109181</v>
      </c>
      <c r="G1061">
        <v>64146</v>
      </c>
      <c r="H1061" t="s">
        <v>1891</v>
      </c>
      <c r="I1061" t="s">
        <v>1979</v>
      </c>
      <c r="J1061" t="s">
        <v>1982</v>
      </c>
    </row>
    <row r="1062" spans="1:10" x14ac:dyDescent="0.2">
      <c r="A1062" t="s">
        <v>4506</v>
      </c>
      <c r="E1062" t="str">
        <f>HYPERLINK("http://nlpdeep.cs.uic.edu:8080/proofing/t5/64146-conclusions-0-2.pdf","t5/64146-conclusions-0-2.pdf")</f>
        <v>t5/64146-conclusions-0-2.pdf</v>
      </c>
      <c r="F1062">
        <v>109181</v>
      </c>
      <c r="G1062">
        <v>64146</v>
      </c>
      <c r="H1062" t="s">
        <v>1891</v>
      </c>
      <c r="I1062" t="s">
        <v>1979</v>
      </c>
      <c r="J1062" t="s">
        <v>4507</v>
      </c>
    </row>
    <row r="1063" spans="1:10" x14ac:dyDescent="0.2">
      <c r="A1063" t="s">
        <v>4506</v>
      </c>
      <c r="E1063" t="str">
        <f>HYPERLINK("http://nlpdeep.cs.uic.edu:8080/proofing/gsii/64146-conclusions-0-2.pdf","gsii/64146-conclusions-0-2.pdf")</f>
        <v>gsii/64146-conclusions-0-2.pdf</v>
      </c>
      <c r="F1063">
        <v>109181</v>
      </c>
      <c r="G1063">
        <v>64146</v>
      </c>
      <c r="H1063" t="s">
        <v>1891</v>
      </c>
      <c r="I1063" t="s">
        <v>1979</v>
      </c>
      <c r="J1063" t="s">
        <v>4507</v>
      </c>
    </row>
    <row r="1064" spans="1:10" x14ac:dyDescent="0.2">
      <c r="A1064" t="s">
        <v>4508</v>
      </c>
      <c r="E1064" t="str">
        <f>HYPERLINK("http://nlpdeep.cs.uic.edu:8080/proofing/t5/64146-conclusions-0-3.pdf","t5/64146-conclusions-0-3.pdf")</f>
        <v>t5/64146-conclusions-0-3.pdf</v>
      </c>
      <c r="F1064">
        <v>109181</v>
      </c>
      <c r="G1064">
        <v>64146</v>
      </c>
      <c r="H1064" t="s">
        <v>1891</v>
      </c>
      <c r="I1064" t="s">
        <v>1979</v>
      </c>
      <c r="J1064" t="s">
        <v>4509</v>
      </c>
    </row>
    <row r="1065" spans="1:10" x14ac:dyDescent="0.2">
      <c r="A1065" t="s">
        <v>4508</v>
      </c>
      <c r="E1065" t="str">
        <f>HYPERLINK("http://nlpdeep.cs.uic.edu:8080/proofing/gsii/64146-conclusions-0-3.pdf","gsii/64146-conclusions-0-3.pdf")</f>
        <v>gsii/64146-conclusions-0-3.pdf</v>
      </c>
      <c r="F1065">
        <v>109181</v>
      </c>
      <c r="G1065">
        <v>64146</v>
      </c>
      <c r="H1065" t="s">
        <v>1891</v>
      </c>
      <c r="I1065" t="s">
        <v>1979</v>
      </c>
      <c r="J1065" t="s">
        <v>4509</v>
      </c>
    </row>
    <row r="1066" spans="1:10" x14ac:dyDescent="0.2">
      <c r="A1066" t="s">
        <v>4510</v>
      </c>
      <c r="E1066" t="str">
        <f>HYPERLINK("http://nlpdeep.cs.uic.edu:8080/proofing/t5/64146-conclusions-0-4.pdf","t5/64146-conclusions-0-4.pdf")</f>
        <v>t5/64146-conclusions-0-4.pdf</v>
      </c>
      <c r="F1066">
        <v>109181</v>
      </c>
      <c r="G1066">
        <v>64146</v>
      </c>
      <c r="H1066" t="s">
        <v>1891</v>
      </c>
      <c r="I1066" t="s">
        <v>1979</v>
      </c>
      <c r="J1066" t="s">
        <v>4511</v>
      </c>
    </row>
    <row r="1067" spans="1:10" x14ac:dyDescent="0.2">
      <c r="A1067" t="s">
        <v>4510</v>
      </c>
      <c r="E1067" t="str">
        <f>HYPERLINK("http://nlpdeep.cs.uic.edu:8080/proofing/gsii/64146-conclusions-0-4.pdf","gsii/64146-conclusions-0-4.pdf")</f>
        <v>gsii/64146-conclusions-0-4.pdf</v>
      </c>
      <c r="F1067">
        <v>109181</v>
      </c>
      <c r="G1067">
        <v>64146</v>
      </c>
      <c r="H1067" t="s">
        <v>1891</v>
      </c>
      <c r="I1067" t="s">
        <v>1979</v>
      </c>
      <c r="J1067" t="s">
        <v>4511</v>
      </c>
    </row>
    <row r="1068" spans="1:10" x14ac:dyDescent="0.2">
      <c r="A1068" t="s">
        <v>4512</v>
      </c>
      <c r="E1068" t="str">
        <f>HYPERLINK("http://nlpdeep.cs.uic.edu:8080/proofing/t5/64146-conclusions-0-5.pdf","t5/64146-conclusions-0-5.pdf")</f>
        <v>t5/64146-conclusions-0-5.pdf</v>
      </c>
      <c r="F1068">
        <v>109181</v>
      </c>
      <c r="G1068">
        <v>64146</v>
      </c>
      <c r="H1068" t="s">
        <v>1891</v>
      </c>
      <c r="I1068" t="s">
        <v>1979</v>
      </c>
      <c r="J1068" t="s">
        <v>4513</v>
      </c>
    </row>
    <row r="1069" spans="1:10" x14ac:dyDescent="0.2">
      <c r="A1069" t="s">
        <v>4512</v>
      </c>
      <c r="E1069" t="str">
        <f>HYPERLINK("http://nlpdeep.cs.uic.edu:8080/proofing/gsii/64146-conclusions-0-5.pdf","gsii/64146-conclusions-0-5.pdf")</f>
        <v>gsii/64146-conclusions-0-5.pdf</v>
      </c>
      <c r="F1069">
        <v>109181</v>
      </c>
      <c r="G1069">
        <v>64146</v>
      </c>
      <c r="H1069" t="s">
        <v>1891</v>
      </c>
      <c r="I1069" t="s">
        <v>1979</v>
      </c>
      <c r="J1069" t="s">
        <v>4513</v>
      </c>
    </row>
    <row r="1070" spans="1:10" x14ac:dyDescent="0.2">
      <c r="A1070" t="s">
        <v>4514</v>
      </c>
      <c r="E1070" t="str">
        <f>HYPERLINK("http://nlpdeep.cs.uic.edu:8080/proofing/t5/64146-conclusions-0-6.pdf","t5/64146-conclusions-0-6.pdf")</f>
        <v>t5/64146-conclusions-0-6.pdf</v>
      </c>
      <c r="F1070">
        <v>109181</v>
      </c>
      <c r="G1070">
        <v>64146</v>
      </c>
      <c r="H1070" t="s">
        <v>1891</v>
      </c>
      <c r="I1070" t="s">
        <v>1979</v>
      </c>
      <c r="J1070" t="s">
        <v>4515</v>
      </c>
    </row>
    <row r="1071" spans="1:10" x14ac:dyDescent="0.2">
      <c r="A1071" t="s">
        <v>4514</v>
      </c>
      <c r="E1071" t="str">
        <f>HYPERLINK("http://nlpdeep.cs.uic.edu:8080/proofing/gsii/64146-conclusions-0-6.pdf","gsii/64146-conclusions-0-6.pdf")</f>
        <v>gsii/64146-conclusions-0-6.pdf</v>
      </c>
      <c r="F1071">
        <v>109181</v>
      </c>
      <c r="G1071">
        <v>64146</v>
      </c>
      <c r="H1071" t="s">
        <v>1891</v>
      </c>
      <c r="I1071" t="s">
        <v>1979</v>
      </c>
      <c r="J1071" t="s">
        <v>4515</v>
      </c>
    </row>
    <row r="1072" spans="1:10" x14ac:dyDescent="0.2">
      <c r="A1072" t="s">
        <v>4516</v>
      </c>
      <c r="E1072" t="str">
        <f>HYPERLINK("http://nlpdeep.cs.uic.edu:8080/proofing/t5/64146-conclusions-0-7.pdf","t5/64146-conclusions-0-7.pdf")</f>
        <v>t5/64146-conclusions-0-7.pdf</v>
      </c>
      <c r="F1072">
        <v>109181</v>
      </c>
      <c r="G1072">
        <v>64146</v>
      </c>
      <c r="H1072" t="s">
        <v>1891</v>
      </c>
      <c r="I1072" t="s">
        <v>1979</v>
      </c>
      <c r="J1072" t="s">
        <v>4517</v>
      </c>
    </row>
    <row r="1073" spans="1:10" x14ac:dyDescent="0.2">
      <c r="A1073" t="s">
        <v>4516</v>
      </c>
      <c r="E1073" t="str">
        <f>HYPERLINK("http://nlpdeep.cs.uic.edu:8080/proofing/gsii/64146-conclusions-0-7.pdf","gsii/64146-conclusions-0-7.pdf")</f>
        <v>gsii/64146-conclusions-0-7.pdf</v>
      </c>
      <c r="F1073">
        <v>109181</v>
      </c>
      <c r="G1073">
        <v>64146</v>
      </c>
      <c r="H1073" t="s">
        <v>1891</v>
      </c>
      <c r="I1073" t="s">
        <v>1979</v>
      </c>
      <c r="J1073" t="s">
        <v>4517</v>
      </c>
    </row>
    <row r="1074" spans="1:10" x14ac:dyDescent="0.2">
      <c r="A1074" t="s">
        <v>4518</v>
      </c>
      <c r="E1074" t="str">
        <f>HYPERLINK("http://nlpdeep.cs.uic.edu:8080/proofing/t5/64146-conclusions-0-8.pdf","t5/64146-conclusions-0-8.pdf")</f>
        <v>t5/64146-conclusions-0-8.pdf</v>
      </c>
      <c r="F1074">
        <v>109181</v>
      </c>
      <c r="G1074">
        <v>64146</v>
      </c>
      <c r="H1074" t="s">
        <v>1891</v>
      </c>
      <c r="I1074" t="s">
        <v>1979</v>
      </c>
      <c r="J1074" t="s">
        <v>4519</v>
      </c>
    </row>
    <row r="1075" spans="1:10" x14ac:dyDescent="0.2">
      <c r="A1075" t="s">
        <v>4518</v>
      </c>
      <c r="E1075" t="str">
        <f>HYPERLINK("http://nlpdeep.cs.uic.edu:8080/proofing/gsii/64146-conclusions-0-8.pdf","gsii/64146-conclusions-0-8.pdf")</f>
        <v>gsii/64146-conclusions-0-8.pdf</v>
      </c>
      <c r="F1075">
        <v>109181</v>
      </c>
      <c r="G1075">
        <v>64146</v>
      </c>
      <c r="H1075" t="s">
        <v>1891</v>
      </c>
      <c r="I1075" t="s">
        <v>1979</v>
      </c>
      <c r="J1075" t="s">
        <v>4519</v>
      </c>
    </row>
    <row r="1076" spans="1:10" x14ac:dyDescent="0.2">
      <c r="A1076" t="s">
        <v>4520</v>
      </c>
      <c r="E1076" t="str">
        <f>HYPERLINK("http://nlpdeep.cs.uic.edu:8080/proofing/t5/64146-conclusions-0-9.pdf","t5/64146-conclusions-0-9.pdf")</f>
        <v>t5/64146-conclusions-0-9.pdf</v>
      </c>
      <c r="F1076">
        <v>109181</v>
      </c>
      <c r="G1076">
        <v>64146</v>
      </c>
      <c r="H1076" t="s">
        <v>1891</v>
      </c>
      <c r="I1076" t="s">
        <v>1979</v>
      </c>
      <c r="J1076" t="s">
        <v>4521</v>
      </c>
    </row>
    <row r="1077" spans="1:10" x14ac:dyDescent="0.2">
      <c r="A1077" t="s">
        <v>4520</v>
      </c>
      <c r="E1077" t="str">
        <f>HYPERLINK("http://nlpdeep.cs.uic.edu:8080/proofing/gsii/64146-conclusions-0-9.pdf","gsii/64146-conclusions-0-9.pdf")</f>
        <v>gsii/64146-conclusions-0-9.pdf</v>
      </c>
      <c r="F1077">
        <v>109181</v>
      </c>
      <c r="G1077">
        <v>64146</v>
      </c>
      <c r="H1077" t="s">
        <v>1891</v>
      </c>
      <c r="I1077" t="s">
        <v>1979</v>
      </c>
      <c r="J1077" t="s">
        <v>4521</v>
      </c>
    </row>
    <row r="1078" spans="1:10" x14ac:dyDescent="0.2">
      <c r="A1078" t="s">
        <v>4522</v>
      </c>
      <c r="E1078" t="str">
        <f>HYPERLINK("http://nlpdeep.cs.uic.edu:8080/proofing/t5/64146-conclusions-0-10.pdf","t5/64146-conclusions-0-10.pdf")</f>
        <v>t5/64146-conclusions-0-10.pdf</v>
      </c>
      <c r="F1078">
        <v>109181</v>
      </c>
      <c r="G1078">
        <v>64146</v>
      </c>
      <c r="H1078" t="s">
        <v>1891</v>
      </c>
      <c r="I1078" t="s">
        <v>1979</v>
      </c>
      <c r="J1078" t="s">
        <v>4523</v>
      </c>
    </row>
    <row r="1079" spans="1:10" x14ac:dyDescent="0.2">
      <c r="A1079" t="s">
        <v>4522</v>
      </c>
      <c r="E1079" t="str">
        <f>HYPERLINK("http://nlpdeep.cs.uic.edu:8080/proofing/gsii/64146-conclusions-0-10.pdf","gsii/64146-conclusions-0-10.pdf")</f>
        <v>gsii/64146-conclusions-0-10.pdf</v>
      </c>
      <c r="F1079">
        <v>109181</v>
      </c>
      <c r="G1079">
        <v>64146</v>
      </c>
      <c r="H1079" t="s">
        <v>1891</v>
      </c>
      <c r="I1079" t="s">
        <v>1979</v>
      </c>
      <c r="J1079" t="s">
        <v>4523</v>
      </c>
    </row>
    <row r="1080" spans="1:10" x14ac:dyDescent="0.2">
      <c r="A1080" t="s">
        <v>4524</v>
      </c>
      <c r="E1080" t="str">
        <f>HYPERLINK("http://nlpdeep.cs.uic.edu:8080/proofing/t5/64146-conclusions-0-11.pdf","t5/64146-conclusions-0-11.pdf")</f>
        <v>t5/64146-conclusions-0-11.pdf</v>
      </c>
      <c r="F1080">
        <v>109181</v>
      </c>
      <c r="G1080">
        <v>64146</v>
      </c>
      <c r="H1080" t="s">
        <v>1891</v>
      </c>
      <c r="I1080" t="s">
        <v>1979</v>
      </c>
      <c r="J1080" t="s">
        <v>4525</v>
      </c>
    </row>
    <row r="1081" spans="1:10" x14ac:dyDescent="0.2">
      <c r="A1081" t="s">
        <v>4524</v>
      </c>
      <c r="E1081" t="str">
        <f>HYPERLINK("http://nlpdeep.cs.uic.edu:8080/proofing/gsii/64146-conclusions-0-11.pdf","gsii/64146-conclusions-0-11.pdf")</f>
        <v>gsii/64146-conclusions-0-11.pdf</v>
      </c>
      <c r="F1081">
        <v>109181</v>
      </c>
      <c r="G1081">
        <v>64146</v>
      </c>
      <c r="H1081" t="s">
        <v>1891</v>
      </c>
      <c r="I1081" t="s">
        <v>1979</v>
      </c>
      <c r="J1081" t="s">
        <v>4525</v>
      </c>
    </row>
    <row r="1082" spans="1:10" x14ac:dyDescent="0.2">
      <c r="A1082" t="s">
        <v>4526</v>
      </c>
      <c r="E1082" t="str">
        <f>HYPERLINK("http://nlpdeep.cs.uic.edu:8080/proofing/t5/64146-conclusions-0-12.pdf","t5/64146-conclusions-0-12.pdf")</f>
        <v>t5/64146-conclusions-0-12.pdf</v>
      </c>
      <c r="F1082">
        <v>109181</v>
      </c>
      <c r="G1082">
        <v>64146</v>
      </c>
      <c r="H1082" t="s">
        <v>1891</v>
      </c>
      <c r="I1082" t="s">
        <v>1979</v>
      </c>
      <c r="J1082" t="s">
        <v>4527</v>
      </c>
    </row>
    <row r="1083" spans="1:10" x14ac:dyDescent="0.2">
      <c r="A1083" t="s">
        <v>4526</v>
      </c>
      <c r="E1083" t="str">
        <f>HYPERLINK("http://nlpdeep.cs.uic.edu:8080/proofing/gsii/64146-conclusions-0-12.pdf","gsii/64146-conclusions-0-12.pdf")</f>
        <v>gsii/64146-conclusions-0-12.pdf</v>
      </c>
      <c r="F1083">
        <v>109181</v>
      </c>
      <c r="G1083">
        <v>64146</v>
      </c>
      <c r="H1083" t="s">
        <v>1891</v>
      </c>
      <c r="I1083" t="s">
        <v>1979</v>
      </c>
      <c r="J1083" t="s">
        <v>4527</v>
      </c>
    </row>
    <row r="1084" spans="1:10" x14ac:dyDescent="0.2">
      <c r="A1084" t="s">
        <v>4528</v>
      </c>
      <c r="E1084" t="str">
        <f>HYPERLINK("http://nlpdeep.cs.uic.edu:8080/proofing/t5/64146-conclusions-0-13.pdf","t5/64146-conclusions-0-13.pdf")</f>
        <v>t5/64146-conclusions-0-13.pdf</v>
      </c>
      <c r="F1084">
        <v>109181</v>
      </c>
      <c r="G1084">
        <v>64146</v>
      </c>
      <c r="H1084" t="s">
        <v>1891</v>
      </c>
      <c r="I1084" t="s">
        <v>1979</v>
      </c>
      <c r="J1084" t="s">
        <v>4529</v>
      </c>
    </row>
    <row r="1085" spans="1:10" x14ac:dyDescent="0.2">
      <c r="A1085" t="s">
        <v>4528</v>
      </c>
      <c r="E1085" t="str">
        <f>HYPERLINK("http://nlpdeep.cs.uic.edu:8080/proofing/gsii/64146-conclusions-0-13.pdf","gsii/64146-conclusions-0-13.pdf")</f>
        <v>gsii/64146-conclusions-0-13.pdf</v>
      </c>
      <c r="F1085">
        <v>109181</v>
      </c>
      <c r="G1085">
        <v>64146</v>
      </c>
      <c r="H1085" t="s">
        <v>1891</v>
      </c>
      <c r="I1085" t="s">
        <v>1979</v>
      </c>
      <c r="J1085" t="s">
        <v>4529</v>
      </c>
    </row>
    <row r="1086" spans="1:10" x14ac:dyDescent="0.2">
      <c r="A1086" t="s">
        <v>4530</v>
      </c>
      <c r="E1086" t="str">
        <f>HYPERLINK("http://nlpdeep.cs.uic.edu:8080/proofing/t5/64146-conclusions-0-14.pdf","t5/64146-conclusions-0-14.pdf")</f>
        <v>t5/64146-conclusions-0-14.pdf</v>
      </c>
      <c r="F1086">
        <v>109181</v>
      </c>
      <c r="G1086">
        <v>64146</v>
      </c>
      <c r="H1086" t="s">
        <v>1891</v>
      </c>
      <c r="I1086" t="s">
        <v>1979</v>
      </c>
      <c r="J1086" t="s">
        <v>2004</v>
      </c>
    </row>
    <row r="1087" spans="1:10" x14ac:dyDescent="0.2">
      <c r="A1087" t="s">
        <v>4530</v>
      </c>
      <c r="E1087" t="str">
        <f>HYPERLINK("http://nlpdeep.cs.uic.edu:8080/proofing/gsii/64146-conclusions-0-14.pdf","gsii/64146-conclusions-0-14.pdf")</f>
        <v>gsii/64146-conclusions-0-14.pdf</v>
      </c>
      <c r="F1087">
        <v>109181</v>
      </c>
      <c r="G1087">
        <v>64146</v>
      </c>
      <c r="H1087" t="s">
        <v>1891</v>
      </c>
      <c r="I1087" t="s">
        <v>1979</v>
      </c>
      <c r="J1087" t="s">
        <v>2004</v>
      </c>
    </row>
    <row r="1088" spans="1:10" x14ac:dyDescent="0.2">
      <c r="A1088" t="s">
        <v>4531</v>
      </c>
      <c r="E1088" t="str">
        <f>HYPERLINK("http://nlpdeep.cs.uic.edu:8080/proofing/t5/64146-conclusions-0-15.pdf","t5/64146-conclusions-0-15.pdf")</f>
        <v>t5/64146-conclusions-0-15.pdf</v>
      </c>
      <c r="F1088">
        <v>109181</v>
      </c>
      <c r="G1088">
        <v>64146</v>
      </c>
      <c r="H1088" t="s">
        <v>1891</v>
      </c>
      <c r="I1088" t="s">
        <v>1979</v>
      </c>
      <c r="J1088" t="s">
        <v>4532</v>
      </c>
    </row>
    <row r="1089" spans="1:10" x14ac:dyDescent="0.2">
      <c r="A1089" t="s">
        <v>4531</v>
      </c>
      <c r="E1089" t="str">
        <f>HYPERLINK("http://nlpdeep.cs.uic.edu:8080/proofing/gsii/64146-conclusions-0-15.pdf","gsii/64146-conclusions-0-15.pdf")</f>
        <v>gsii/64146-conclusions-0-15.pdf</v>
      </c>
      <c r="F1089">
        <v>109181</v>
      </c>
      <c r="G1089">
        <v>64146</v>
      </c>
      <c r="H1089" t="s">
        <v>1891</v>
      </c>
      <c r="I1089" t="s">
        <v>1979</v>
      </c>
      <c r="J1089" t="s">
        <v>4532</v>
      </c>
    </row>
    <row r="1090" spans="1:10" x14ac:dyDescent="0.2">
      <c r="A1090" t="s">
        <v>4533</v>
      </c>
      <c r="E1090" t="str">
        <f>HYPERLINK("http://nlpdeep.cs.uic.edu:8080/proofing/t5/64146-conclusions-0-16.pdf","t5/64146-conclusions-0-16.pdf")</f>
        <v>t5/64146-conclusions-0-16.pdf</v>
      </c>
      <c r="F1090">
        <v>109181</v>
      </c>
      <c r="G1090">
        <v>64146</v>
      </c>
      <c r="H1090" t="s">
        <v>1891</v>
      </c>
      <c r="I1090" t="s">
        <v>1979</v>
      </c>
      <c r="J1090" t="s">
        <v>4534</v>
      </c>
    </row>
    <row r="1091" spans="1:10" x14ac:dyDescent="0.2">
      <c r="A1091" t="s">
        <v>4533</v>
      </c>
      <c r="E1091" t="str">
        <f>HYPERLINK("http://nlpdeep.cs.uic.edu:8080/proofing/gsii/64146-conclusions-0-16.pdf","gsii/64146-conclusions-0-16.pdf")</f>
        <v>gsii/64146-conclusions-0-16.pdf</v>
      </c>
      <c r="F1091">
        <v>109181</v>
      </c>
      <c r="G1091">
        <v>64146</v>
      </c>
      <c r="H1091" t="s">
        <v>1891</v>
      </c>
      <c r="I1091" t="s">
        <v>1979</v>
      </c>
      <c r="J1091" t="s">
        <v>4534</v>
      </c>
    </row>
    <row r="1092" spans="1:10" x14ac:dyDescent="0.2">
      <c r="A1092" t="s">
        <v>4535</v>
      </c>
      <c r="E1092" t="str">
        <f>HYPERLINK("http://nlpdeep.cs.uic.edu:8080/proofing/t5/64146-conclusions-0-17.pdf","t5/64146-conclusions-0-17.pdf")</f>
        <v>t5/64146-conclusions-0-17.pdf</v>
      </c>
      <c r="F1092">
        <v>109181</v>
      </c>
      <c r="G1092">
        <v>64146</v>
      </c>
      <c r="H1092" t="s">
        <v>1891</v>
      </c>
      <c r="I1092" t="s">
        <v>1979</v>
      </c>
      <c r="J1092" t="s">
        <v>4536</v>
      </c>
    </row>
    <row r="1093" spans="1:10" x14ac:dyDescent="0.2">
      <c r="A1093" t="s">
        <v>4535</v>
      </c>
      <c r="E1093" t="str">
        <f>HYPERLINK("http://nlpdeep.cs.uic.edu:8080/proofing/gsii/64146-conclusions-0-17.pdf","gsii/64146-conclusions-0-17.pdf")</f>
        <v>gsii/64146-conclusions-0-17.pdf</v>
      </c>
      <c r="F1093">
        <v>109181</v>
      </c>
      <c r="G1093">
        <v>64146</v>
      </c>
      <c r="H1093" t="s">
        <v>1891</v>
      </c>
      <c r="I1093" t="s">
        <v>1979</v>
      </c>
      <c r="J1093" t="s">
        <v>4536</v>
      </c>
    </row>
    <row r="1094" spans="1:10" x14ac:dyDescent="0.2">
      <c r="A1094" t="s">
        <v>4537</v>
      </c>
      <c r="E1094" t="str">
        <f>HYPERLINK("http://nlpdeep.cs.uic.edu:8080/proofing/t5/64146-conclusions-0-18.pdf","t5/64146-conclusions-0-18.pdf")</f>
        <v>t5/64146-conclusions-0-18.pdf</v>
      </c>
      <c r="F1094">
        <v>109181</v>
      </c>
      <c r="G1094">
        <v>64146</v>
      </c>
      <c r="H1094" t="s">
        <v>1891</v>
      </c>
      <c r="I1094" t="s">
        <v>1979</v>
      </c>
      <c r="J1094" t="s">
        <v>4538</v>
      </c>
    </row>
    <row r="1095" spans="1:10" x14ac:dyDescent="0.2">
      <c r="A1095" t="s">
        <v>4537</v>
      </c>
      <c r="E1095" t="str">
        <f>HYPERLINK("http://nlpdeep.cs.uic.edu:8080/proofing/gsii/64146-conclusions-0-18.pdf","gsii/64146-conclusions-0-18.pdf")</f>
        <v>gsii/64146-conclusions-0-18.pdf</v>
      </c>
      <c r="F1095">
        <v>109181</v>
      </c>
      <c r="G1095">
        <v>64146</v>
      </c>
      <c r="H1095" t="s">
        <v>1891</v>
      </c>
      <c r="I1095" t="s">
        <v>1979</v>
      </c>
      <c r="J1095" t="s">
        <v>4538</v>
      </c>
    </row>
    <row r="1096" spans="1:10" x14ac:dyDescent="0.2">
      <c r="A1096" t="s">
        <v>4539</v>
      </c>
      <c r="E1096" t="str">
        <f>HYPERLINK("http://nlpdeep.cs.uic.edu:8080/proofing/t5/64146-conclusions-0-19.pdf","t5/64146-conclusions-0-19.pdf")</f>
        <v>t5/64146-conclusions-0-19.pdf</v>
      </c>
      <c r="F1096">
        <v>109181</v>
      </c>
      <c r="G1096">
        <v>64146</v>
      </c>
      <c r="H1096" t="s">
        <v>1891</v>
      </c>
      <c r="I1096" t="s">
        <v>1979</v>
      </c>
      <c r="J1096" t="s">
        <v>2016</v>
      </c>
    </row>
    <row r="1097" spans="1:10" x14ac:dyDescent="0.2">
      <c r="A1097" t="s">
        <v>4539</v>
      </c>
      <c r="E1097" t="str">
        <f>HYPERLINK("http://nlpdeep.cs.uic.edu:8080/proofing/gsii/64146-conclusions-0-19.pdf","gsii/64146-conclusions-0-19.pdf")</f>
        <v>gsii/64146-conclusions-0-19.pdf</v>
      </c>
      <c r="F1097">
        <v>109181</v>
      </c>
      <c r="G1097">
        <v>64146</v>
      </c>
      <c r="H1097" t="s">
        <v>1891</v>
      </c>
      <c r="I1097" t="s">
        <v>1979</v>
      </c>
      <c r="J1097" t="s">
        <v>2016</v>
      </c>
    </row>
    <row r="1098" spans="1:10" x14ac:dyDescent="0.2">
      <c r="A1098" t="s">
        <v>4540</v>
      </c>
      <c r="E1098" t="str">
        <f>HYPERLINK("http://nlpdeep.cs.uic.edu:8080/proofing/t5/64146-impression-0-0.pdf","t5/64146-impression-0-0.pdf")</f>
        <v>t5/64146-impression-0-0.pdf</v>
      </c>
      <c r="F1098">
        <v>109181</v>
      </c>
      <c r="G1098">
        <v>64146</v>
      </c>
      <c r="H1098" t="s">
        <v>1891</v>
      </c>
      <c r="I1098" t="s">
        <v>1859</v>
      </c>
      <c r="J1098" t="s">
        <v>4541</v>
      </c>
    </row>
    <row r="1099" spans="1:10" x14ac:dyDescent="0.2">
      <c r="A1099" t="s">
        <v>4540</v>
      </c>
      <c r="E1099" t="str">
        <f>HYPERLINK("http://nlpdeep.cs.uic.edu:8080/proofing/gsii/64146-impression-0-0.pdf","gsii/64146-impression-0-0.pdf")</f>
        <v>gsii/64146-impression-0-0.pdf</v>
      </c>
      <c r="F1099">
        <v>109181</v>
      </c>
      <c r="G1099">
        <v>64146</v>
      </c>
      <c r="H1099" t="s">
        <v>1891</v>
      </c>
      <c r="I1099" t="s">
        <v>1859</v>
      </c>
      <c r="J1099" t="s">
        <v>4541</v>
      </c>
    </row>
    <row r="1100" spans="1:10" x14ac:dyDescent="0.2">
      <c r="A1100" t="s">
        <v>4542</v>
      </c>
      <c r="E1100" t="str">
        <f>HYPERLINK("http://nlpdeep.cs.uic.edu:8080/proofing/t5/64146-impression-0-1.pdf","t5/64146-impression-0-1.pdf")</f>
        <v>t5/64146-impression-0-1.pdf</v>
      </c>
      <c r="F1100">
        <v>109181</v>
      </c>
      <c r="G1100">
        <v>64146</v>
      </c>
      <c r="H1100" t="s">
        <v>1891</v>
      </c>
      <c r="I1100" t="s">
        <v>1859</v>
      </c>
      <c r="J1100" t="s">
        <v>4228</v>
      </c>
    </row>
    <row r="1101" spans="1:10" x14ac:dyDescent="0.2">
      <c r="A1101" t="s">
        <v>4542</v>
      </c>
      <c r="E1101" t="str">
        <f>HYPERLINK("http://nlpdeep.cs.uic.edu:8080/proofing/gsii/64146-impression-0-1.pdf","gsii/64146-impression-0-1.pdf")</f>
        <v>gsii/64146-impression-0-1.pdf</v>
      </c>
      <c r="F1101">
        <v>109181</v>
      </c>
      <c r="G1101">
        <v>64146</v>
      </c>
      <c r="H1101" t="s">
        <v>1891</v>
      </c>
      <c r="I1101" t="s">
        <v>1859</v>
      </c>
      <c r="J1101" t="s">
        <v>4228</v>
      </c>
    </row>
    <row r="1102" spans="1:10" x14ac:dyDescent="0.2">
      <c r="A1102" t="s">
        <v>4543</v>
      </c>
      <c r="E1102" t="str">
        <f>HYPERLINK("http://nlpdeep.cs.uic.edu:8080/proofing/t5/64146-impression-0-2.pdf","t5/64146-impression-0-2.pdf")</f>
        <v>t5/64146-impression-0-2.pdf</v>
      </c>
      <c r="F1102">
        <v>109181</v>
      </c>
      <c r="G1102">
        <v>64146</v>
      </c>
      <c r="H1102" t="s">
        <v>1891</v>
      </c>
      <c r="I1102" t="s">
        <v>1859</v>
      </c>
      <c r="J1102" t="s">
        <v>4544</v>
      </c>
    </row>
    <row r="1103" spans="1:10" x14ac:dyDescent="0.2">
      <c r="A1103" t="s">
        <v>4543</v>
      </c>
      <c r="E1103" t="str">
        <f>HYPERLINK("http://nlpdeep.cs.uic.edu:8080/proofing/gsii/64146-impression-0-2.pdf","gsii/64146-impression-0-2.pdf")</f>
        <v>gsii/64146-impression-0-2.pdf</v>
      </c>
      <c r="F1103">
        <v>109181</v>
      </c>
      <c r="G1103">
        <v>64146</v>
      </c>
      <c r="H1103" t="s">
        <v>1891</v>
      </c>
      <c r="I1103" t="s">
        <v>1859</v>
      </c>
      <c r="J1103" t="s">
        <v>4544</v>
      </c>
    </row>
    <row r="1104" spans="1:10" x14ac:dyDescent="0.2">
      <c r="A1104" t="s">
        <v>4545</v>
      </c>
      <c r="E1104" t="str">
        <f>HYPERLINK("http://nlpdeep.cs.uic.edu:8080/proofing/t5/64146-impression-0-3.pdf","t5/64146-impression-0-3.pdf")</f>
        <v>t5/64146-impression-0-3.pdf</v>
      </c>
      <c r="F1104">
        <v>109181</v>
      </c>
      <c r="G1104">
        <v>64146</v>
      </c>
      <c r="H1104" t="s">
        <v>1891</v>
      </c>
      <c r="I1104" t="s">
        <v>1859</v>
      </c>
      <c r="J1104" t="s">
        <v>4546</v>
      </c>
    </row>
    <row r="1105" spans="1:10" x14ac:dyDescent="0.2">
      <c r="A1105" t="s">
        <v>4545</v>
      </c>
      <c r="E1105" t="str">
        <f>HYPERLINK("http://nlpdeep.cs.uic.edu:8080/proofing/gsii/64146-impression-0-3.pdf","gsii/64146-impression-0-3.pdf")</f>
        <v>gsii/64146-impression-0-3.pdf</v>
      </c>
      <c r="F1105">
        <v>109181</v>
      </c>
      <c r="G1105">
        <v>64146</v>
      </c>
      <c r="H1105" t="s">
        <v>1891</v>
      </c>
      <c r="I1105" t="s">
        <v>1859</v>
      </c>
      <c r="J1105" t="s">
        <v>4546</v>
      </c>
    </row>
    <row r="1106" spans="1:10" x14ac:dyDescent="0.2">
      <c r="A1106" t="s">
        <v>4547</v>
      </c>
      <c r="E1106" t="str">
        <f>HYPERLINK("http://nlpdeep.cs.uic.edu:8080/proofing/t5/64146-impression-0-4.pdf","t5/64146-impression-0-4.pdf")</f>
        <v>t5/64146-impression-0-4.pdf</v>
      </c>
      <c r="F1106">
        <v>109181</v>
      </c>
      <c r="G1106">
        <v>64146</v>
      </c>
      <c r="H1106" t="s">
        <v>1891</v>
      </c>
      <c r="I1106" t="s">
        <v>1859</v>
      </c>
      <c r="J1106" t="s">
        <v>4234</v>
      </c>
    </row>
    <row r="1107" spans="1:10" x14ac:dyDescent="0.2">
      <c r="A1107" t="s">
        <v>4547</v>
      </c>
      <c r="E1107" t="str">
        <f>HYPERLINK("http://nlpdeep.cs.uic.edu:8080/proofing/gsii/64146-impression-0-4.pdf","gsii/64146-impression-0-4.pdf")</f>
        <v>gsii/64146-impression-0-4.pdf</v>
      </c>
      <c r="F1107">
        <v>109181</v>
      </c>
      <c r="G1107">
        <v>64146</v>
      </c>
      <c r="H1107" t="s">
        <v>1891</v>
      </c>
      <c r="I1107" t="s">
        <v>1859</v>
      </c>
      <c r="J1107" t="s">
        <v>4234</v>
      </c>
    </row>
    <row r="1108" spans="1:10" x14ac:dyDescent="0.2">
      <c r="A1108" t="s">
        <v>4548</v>
      </c>
      <c r="E1108" t="str">
        <f>HYPERLINK("http://nlpdeep.cs.uic.edu:8080/proofing/t5/64146-impression-0-5.pdf","t5/64146-impression-0-5.pdf")</f>
        <v>t5/64146-impression-0-5.pdf</v>
      </c>
      <c r="F1108">
        <v>109181</v>
      </c>
      <c r="G1108">
        <v>64146</v>
      </c>
      <c r="H1108" t="s">
        <v>1891</v>
      </c>
      <c r="I1108" t="s">
        <v>1859</v>
      </c>
      <c r="J1108" t="s">
        <v>4549</v>
      </c>
    </row>
    <row r="1109" spans="1:10" x14ac:dyDescent="0.2">
      <c r="A1109" t="s">
        <v>4548</v>
      </c>
      <c r="E1109" t="str">
        <f>HYPERLINK("http://nlpdeep.cs.uic.edu:8080/proofing/gsii/64146-impression-0-5.pdf","gsii/64146-impression-0-5.pdf")</f>
        <v>gsii/64146-impression-0-5.pdf</v>
      </c>
      <c r="F1109">
        <v>109181</v>
      </c>
      <c r="G1109">
        <v>64146</v>
      </c>
      <c r="H1109" t="s">
        <v>1891</v>
      </c>
      <c r="I1109" t="s">
        <v>1859</v>
      </c>
      <c r="J1109" t="s">
        <v>4549</v>
      </c>
    </row>
    <row r="1110" spans="1:10" x14ac:dyDescent="0.2">
      <c r="A1110" t="s">
        <v>4550</v>
      </c>
      <c r="E1110" t="str">
        <f>HYPERLINK("http://nlpdeep.cs.uic.edu:8080/proofing/t5/64146-impression-0-6.pdf","t5/64146-impression-0-6.pdf")</f>
        <v>t5/64146-impression-0-6.pdf</v>
      </c>
      <c r="F1110">
        <v>109181</v>
      </c>
      <c r="G1110">
        <v>64146</v>
      </c>
      <c r="H1110" t="s">
        <v>1891</v>
      </c>
      <c r="I1110" t="s">
        <v>1859</v>
      </c>
      <c r="J1110" t="s">
        <v>4238</v>
      </c>
    </row>
    <row r="1111" spans="1:10" x14ac:dyDescent="0.2">
      <c r="A1111" t="s">
        <v>4550</v>
      </c>
      <c r="E1111" t="str">
        <f>HYPERLINK("http://nlpdeep.cs.uic.edu:8080/proofing/gsii/64146-impression-0-6.pdf","gsii/64146-impression-0-6.pdf")</f>
        <v>gsii/64146-impression-0-6.pdf</v>
      </c>
      <c r="F1111">
        <v>109181</v>
      </c>
      <c r="G1111">
        <v>64146</v>
      </c>
      <c r="H1111" t="s">
        <v>1891</v>
      </c>
      <c r="I1111" t="s">
        <v>1859</v>
      </c>
      <c r="J1111" t="s">
        <v>4238</v>
      </c>
    </row>
    <row r="1112" spans="1:10" x14ac:dyDescent="0.2">
      <c r="A1112" t="s">
        <v>4551</v>
      </c>
      <c r="E1112" t="str">
        <f>HYPERLINK("http://nlpdeep.cs.uic.edu:8080/proofing/t5/64146-impression-1-0.pdf","t5/64146-impression-1-0.pdf")</f>
        <v>t5/64146-impression-1-0.pdf</v>
      </c>
      <c r="F1112">
        <v>109181</v>
      </c>
      <c r="G1112">
        <v>64146</v>
      </c>
      <c r="H1112" t="s">
        <v>1891</v>
      </c>
      <c r="I1112" t="s">
        <v>1859</v>
      </c>
      <c r="J1112" t="s">
        <v>4552</v>
      </c>
    </row>
    <row r="1113" spans="1:10" x14ac:dyDescent="0.2">
      <c r="A1113" t="s">
        <v>4551</v>
      </c>
      <c r="E1113" t="str">
        <f>HYPERLINK("http://nlpdeep.cs.uic.edu:8080/proofing/gsii/64146-impression-1-0.pdf","gsii/64146-impression-1-0.pdf")</f>
        <v>gsii/64146-impression-1-0.pdf</v>
      </c>
      <c r="F1113">
        <v>109181</v>
      </c>
      <c r="G1113">
        <v>64146</v>
      </c>
      <c r="H1113" t="s">
        <v>1891</v>
      </c>
      <c r="I1113" t="s">
        <v>1859</v>
      </c>
      <c r="J1113" t="s">
        <v>4552</v>
      </c>
    </row>
    <row r="1114" spans="1:10" x14ac:dyDescent="0.2">
      <c r="A1114" t="s">
        <v>4553</v>
      </c>
      <c r="E1114" t="str">
        <f>HYPERLINK("http://nlpdeep.cs.uic.edu:8080/proofing/t5/64146-impression-1-1.pdf","t5/64146-impression-1-1.pdf")</f>
        <v>t5/64146-impression-1-1.pdf</v>
      </c>
      <c r="F1114">
        <v>109181</v>
      </c>
      <c r="G1114">
        <v>64146</v>
      </c>
      <c r="H1114" t="s">
        <v>1891</v>
      </c>
      <c r="I1114" t="s">
        <v>1859</v>
      </c>
      <c r="J1114" t="s">
        <v>4554</v>
      </c>
    </row>
    <row r="1115" spans="1:10" x14ac:dyDescent="0.2">
      <c r="A1115" t="s">
        <v>4553</v>
      </c>
      <c r="E1115" t="str">
        <f>HYPERLINK("http://nlpdeep.cs.uic.edu:8080/proofing/gsii/64146-impression-1-1.pdf","gsii/64146-impression-1-1.pdf")</f>
        <v>gsii/64146-impression-1-1.pdf</v>
      </c>
      <c r="F1115">
        <v>109181</v>
      </c>
      <c r="G1115">
        <v>64146</v>
      </c>
      <c r="H1115" t="s">
        <v>1891</v>
      </c>
      <c r="I1115" t="s">
        <v>1859</v>
      </c>
      <c r="J1115" t="s">
        <v>4554</v>
      </c>
    </row>
    <row r="1116" spans="1:10" x14ac:dyDescent="0.2">
      <c r="A1116" t="s">
        <v>4555</v>
      </c>
      <c r="E1116" t="str">
        <f>HYPERLINK("http://nlpdeep.cs.uic.edu:8080/proofing/t5/64146-impression-1-2.pdf","t5/64146-impression-1-2.pdf")</f>
        <v>t5/64146-impression-1-2.pdf</v>
      </c>
      <c r="F1116">
        <v>109181</v>
      </c>
      <c r="G1116">
        <v>64146</v>
      </c>
      <c r="H1116" t="s">
        <v>1891</v>
      </c>
      <c r="I1116" t="s">
        <v>1859</v>
      </c>
      <c r="J1116" t="s">
        <v>4244</v>
      </c>
    </row>
    <row r="1117" spans="1:10" x14ac:dyDescent="0.2">
      <c r="A1117" t="s">
        <v>4555</v>
      </c>
      <c r="E1117" t="str">
        <f>HYPERLINK("http://nlpdeep.cs.uic.edu:8080/proofing/gsii/64146-impression-1-2.pdf","gsii/64146-impression-1-2.pdf")</f>
        <v>gsii/64146-impression-1-2.pdf</v>
      </c>
      <c r="F1117">
        <v>109181</v>
      </c>
      <c r="G1117">
        <v>64146</v>
      </c>
      <c r="H1117" t="s">
        <v>1891</v>
      </c>
      <c r="I1117" t="s">
        <v>1859</v>
      </c>
      <c r="J1117" t="s">
        <v>4244</v>
      </c>
    </row>
    <row r="1118" spans="1:10" x14ac:dyDescent="0.2">
      <c r="A1118" t="s">
        <v>4556</v>
      </c>
      <c r="E1118" t="str">
        <f>HYPERLINK("http://nlpdeep.cs.uic.edu:8080/proofing/t5/64146-impression-1-3.pdf","t5/64146-impression-1-3.pdf")</f>
        <v>t5/64146-impression-1-3.pdf</v>
      </c>
      <c r="F1118">
        <v>109181</v>
      </c>
      <c r="G1118">
        <v>64146</v>
      </c>
      <c r="H1118" t="s">
        <v>1891</v>
      </c>
      <c r="I1118" t="s">
        <v>1859</v>
      </c>
      <c r="J1118" t="s">
        <v>4557</v>
      </c>
    </row>
    <row r="1119" spans="1:10" x14ac:dyDescent="0.2">
      <c r="A1119" t="s">
        <v>4556</v>
      </c>
      <c r="E1119" t="str">
        <f>HYPERLINK("http://nlpdeep.cs.uic.edu:8080/proofing/gsii/64146-impression-1-3.pdf","gsii/64146-impression-1-3.pdf")</f>
        <v>gsii/64146-impression-1-3.pdf</v>
      </c>
      <c r="F1119">
        <v>109181</v>
      </c>
      <c r="G1119">
        <v>64146</v>
      </c>
      <c r="H1119" t="s">
        <v>1891</v>
      </c>
      <c r="I1119" t="s">
        <v>1859</v>
      </c>
      <c r="J1119" t="s">
        <v>4557</v>
      </c>
    </row>
    <row r="1120" spans="1:10" x14ac:dyDescent="0.2">
      <c r="A1120" t="s">
        <v>4558</v>
      </c>
      <c r="E1120" t="str">
        <f>HYPERLINK("http://nlpdeep.cs.uic.edu:8080/proofing/t5/503162-chief-complaint-0-0.pdf","t5/503162-chief-complaint-0-0.pdf")</f>
        <v>t5/503162-chief-complaint-0-0.pdf</v>
      </c>
      <c r="F1120">
        <v>110002</v>
      </c>
      <c r="G1120">
        <v>503162</v>
      </c>
      <c r="H1120" t="s">
        <v>306</v>
      </c>
      <c r="I1120" t="s">
        <v>10</v>
      </c>
      <c r="J1120" t="s">
        <v>4559</v>
      </c>
    </row>
    <row r="1121" spans="1:10" x14ac:dyDescent="0.2">
      <c r="A1121" t="s">
        <v>4558</v>
      </c>
      <c r="E1121" t="str">
        <f>HYPERLINK("http://nlpdeep.cs.uic.edu:8080/proofing/gsii/503162-chief-complaint-0-0.pdf","gsii/503162-chief-complaint-0-0.pdf")</f>
        <v>gsii/503162-chief-complaint-0-0.pdf</v>
      </c>
      <c r="F1121">
        <v>110002</v>
      </c>
      <c r="G1121">
        <v>503162</v>
      </c>
      <c r="H1121" t="s">
        <v>306</v>
      </c>
      <c r="I1121" t="s">
        <v>10</v>
      </c>
      <c r="J1121" t="s">
        <v>4559</v>
      </c>
    </row>
    <row r="1122" spans="1:10" x14ac:dyDescent="0.2">
      <c r="A1122" t="s">
        <v>4560</v>
      </c>
      <c r="E1122" t="str">
        <f>HYPERLINK("http://nlpdeep.cs.uic.edu:8080/proofing/t5/503162-chief-complaint-0-1.pdf","t5/503162-chief-complaint-0-1.pdf")</f>
        <v>t5/503162-chief-complaint-0-1.pdf</v>
      </c>
      <c r="F1122">
        <v>110002</v>
      </c>
      <c r="G1122">
        <v>503162</v>
      </c>
      <c r="H1122" t="s">
        <v>306</v>
      </c>
      <c r="I1122" t="s">
        <v>10</v>
      </c>
      <c r="J1122" t="s">
        <v>4561</v>
      </c>
    </row>
    <row r="1123" spans="1:10" x14ac:dyDescent="0.2">
      <c r="A1123" t="s">
        <v>4560</v>
      </c>
      <c r="E1123" t="str">
        <f>HYPERLINK("http://nlpdeep.cs.uic.edu:8080/proofing/gsii/503162-chief-complaint-0-1.pdf","gsii/503162-chief-complaint-0-1.pdf")</f>
        <v>gsii/503162-chief-complaint-0-1.pdf</v>
      </c>
      <c r="F1123">
        <v>110002</v>
      </c>
      <c r="G1123">
        <v>503162</v>
      </c>
      <c r="H1123" t="s">
        <v>306</v>
      </c>
      <c r="I1123" t="s">
        <v>10</v>
      </c>
      <c r="J1123" t="s">
        <v>4561</v>
      </c>
    </row>
    <row r="1124" spans="1:10" x14ac:dyDescent="0.2">
      <c r="A1124" t="s">
        <v>4562</v>
      </c>
      <c r="E1124" t="str">
        <f>HYPERLINK("http://nlpdeep.cs.uic.edu:8080/proofing/t5/503162-24-hour-events-0-0.pdf","t5/503162-24-hour-events-0-0.pdf")</f>
        <v>t5/503162-24-hour-events-0-0.pdf</v>
      </c>
      <c r="F1124">
        <v>110002</v>
      </c>
      <c r="G1124">
        <v>503162</v>
      </c>
      <c r="H1124" t="s">
        <v>306</v>
      </c>
      <c r="I1124" t="s">
        <v>538</v>
      </c>
      <c r="J1124" t="s">
        <v>4563</v>
      </c>
    </row>
    <row r="1125" spans="1:10" x14ac:dyDescent="0.2">
      <c r="A1125" t="s">
        <v>4562</v>
      </c>
      <c r="E1125" t="str">
        <f>HYPERLINK("http://nlpdeep.cs.uic.edu:8080/proofing/gsii/503162-24-hour-events-0-0.pdf","gsii/503162-24-hour-events-0-0.pdf")</f>
        <v>gsii/503162-24-hour-events-0-0.pdf</v>
      </c>
      <c r="F1125">
        <v>110002</v>
      </c>
      <c r="G1125">
        <v>503162</v>
      </c>
      <c r="H1125" t="s">
        <v>306</v>
      </c>
      <c r="I1125" t="s">
        <v>538</v>
      </c>
      <c r="J1125" t="s">
        <v>4563</v>
      </c>
    </row>
    <row r="1126" spans="1:10" x14ac:dyDescent="0.2">
      <c r="A1126" t="s">
        <v>4564</v>
      </c>
      <c r="E1126" t="str">
        <f>HYPERLINK("http://nlpdeep.cs.uic.edu:8080/proofing/t5/503162-current-medications-0-0.pdf","t5/503162-current-medications-0-0.pdf")</f>
        <v>t5/503162-current-medications-0-0.pdf</v>
      </c>
      <c r="F1126">
        <v>110002</v>
      </c>
      <c r="G1126">
        <v>503162</v>
      </c>
      <c r="H1126" t="s">
        <v>306</v>
      </c>
      <c r="I1126" t="s">
        <v>365</v>
      </c>
      <c r="J1126" t="s">
        <v>4565</v>
      </c>
    </row>
    <row r="1127" spans="1:10" x14ac:dyDescent="0.2">
      <c r="A1127" t="s">
        <v>4564</v>
      </c>
      <c r="E1127" t="str">
        <f>HYPERLINK("http://nlpdeep.cs.uic.edu:8080/proofing/gsii/503162-current-medications-0-0.pdf","gsii/503162-current-medications-0-0.pdf")</f>
        <v>gsii/503162-current-medications-0-0.pdf</v>
      </c>
      <c r="F1127">
        <v>110002</v>
      </c>
      <c r="G1127">
        <v>503162</v>
      </c>
      <c r="H1127" t="s">
        <v>306</v>
      </c>
      <c r="I1127" t="s">
        <v>365</v>
      </c>
      <c r="J1127" t="s">
        <v>4565</v>
      </c>
    </row>
    <row r="1128" spans="1:10" x14ac:dyDescent="0.2">
      <c r="A1128" t="s">
        <v>4566</v>
      </c>
      <c r="E1128" t="str">
        <f>HYPERLINK("http://nlpdeep.cs.uic.edu:8080/proofing/t5/503162-physical-examination-0-0.pdf","t5/503162-physical-examination-0-0.pdf")</f>
        <v>t5/503162-physical-examination-0-0.pdf</v>
      </c>
      <c r="F1128">
        <v>110002</v>
      </c>
      <c r="G1128">
        <v>503162</v>
      </c>
      <c r="H1128" t="s">
        <v>306</v>
      </c>
      <c r="I1128" t="s">
        <v>138</v>
      </c>
      <c r="J1128" t="s">
        <v>4567</v>
      </c>
    </row>
    <row r="1129" spans="1:10" x14ac:dyDescent="0.2">
      <c r="A1129" t="s">
        <v>4566</v>
      </c>
      <c r="E1129" t="str">
        <f>HYPERLINK("http://nlpdeep.cs.uic.edu:8080/proofing/gsii/503162-physical-examination-0-0.pdf","gsii/503162-physical-examination-0-0.pdf")</f>
        <v>gsii/503162-physical-examination-0-0.pdf</v>
      </c>
      <c r="F1129">
        <v>110002</v>
      </c>
      <c r="G1129">
        <v>503162</v>
      </c>
      <c r="H1129" t="s">
        <v>306</v>
      </c>
      <c r="I1129" t="s">
        <v>138</v>
      </c>
      <c r="J1129" t="s">
        <v>4567</v>
      </c>
    </row>
    <row r="1130" spans="1:10" x14ac:dyDescent="0.2">
      <c r="A1130" t="s">
        <v>4568</v>
      </c>
      <c r="E1130" t="str">
        <f>HYPERLINK("http://nlpdeep.cs.uic.edu:8080/proofing/t5/503162-labs-imaging-0-0.pdf","t5/503162-labs-imaging-0-0.pdf")</f>
        <v>t5/503162-labs-imaging-0-0.pdf</v>
      </c>
      <c r="F1130">
        <v>110002</v>
      </c>
      <c r="G1130">
        <v>503162</v>
      </c>
      <c r="H1130" t="s">
        <v>306</v>
      </c>
      <c r="I1130" t="s">
        <v>147</v>
      </c>
      <c r="J1130" t="s">
        <v>4569</v>
      </c>
    </row>
    <row r="1131" spans="1:10" x14ac:dyDescent="0.2">
      <c r="A1131" t="s">
        <v>4568</v>
      </c>
      <c r="E1131" t="str">
        <f>HYPERLINK("http://nlpdeep.cs.uic.edu:8080/proofing/gsii/503162-labs-imaging-0-0.pdf","gsii/503162-labs-imaging-0-0.pdf")</f>
        <v>gsii/503162-labs-imaging-0-0.pdf</v>
      </c>
      <c r="F1131">
        <v>110002</v>
      </c>
      <c r="G1131">
        <v>503162</v>
      </c>
      <c r="H1131" t="s">
        <v>306</v>
      </c>
      <c r="I1131" t="s">
        <v>147</v>
      </c>
      <c r="J1131" t="s">
        <v>4569</v>
      </c>
    </row>
    <row r="1132" spans="1:10" x14ac:dyDescent="0.2">
      <c r="A1132" t="s">
        <v>4570</v>
      </c>
      <c r="E1132" t="str">
        <f>HYPERLINK("http://nlpdeep.cs.uic.edu:8080/proofing/t5/503162-assessment-and-plan-0-0.pdf","t5/503162-assessment-and-plan-0-0.pdf")</f>
        <v>t5/503162-assessment-and-plan-0-0.pdf</v>
      </c>
      <c r="F1132">
        <v>110002</v>
      </c>
      <c r="G1132">
        <v>503162</v>
      </c>
      <c r="H1132" t="s">
        <v>306</v>
      </c>
      <c r="I1132" t="s">
        <v>195</v>
      </c>
      <c r="J1132" t="s">
        <v>4571</v>
      </c>
    </row>
    <row r="1133" spans="1:10" x14ac:dyDescent="0.2">
      <c r="A1133" t="s">
        <v>4570</v>
      </c>
      <c r="E1133" t="str">
        <f>HYPERLINK("http://nlpdeep.cs.uic.edu:8080/proofing/gsii/503162-assessment-and-plan-0-0.pdf","gsii/503162-assessment-and-plan-0-0.pdf")</f>
        <v>gsii/503162-assessment-and-plan-0-0.pdf</v>
      </c>
      <c r="F1133">
        <v>110002</v>
      </c>
      <c r="G1133">
        <v>503162</v>
      </c>
      <c r="H1133" t="s">
        <v>306</v>
      </c>
      <c r="I1133" t="s">
        <v>195</v>
      </c>
      <c r="J1133" t="s">
        <v>4571</v>
      </c>
    </row>
    <row r="1134" spans="1:10" x14ac:dyDescent="0.2">
      <c r="A1134" t="s">
        <v>4572</v>
      </c>
      <c r="E1134" t="str">
        <f>HYPERLINK("http://nlpdeep.cs.uic.edu:8080/proofing/t5/503162-assessment-and-plan-0-1.pdf","t5/503162-assessment-and-plan-0-1.pdf")</f>
        <v>t5/503162-assessment-and-plan-0-1.pdf</v>
      </c>
      <c r="F1134">
        <v>110002</v>
      </c>
      <c r="G1134">
        <v>503162</v>
      </c>
      <c r="H1134" t="s">
        <v>306</v>
      </c>
      <c r="I1134" t="s">
        <v>195</v>
      </c>
      <c r="J1134" t="s">
        <v>4573</v>
      </c>
    </row>
    <row r="1135" spans="1:10" x14ac:dyDescent="0.2">
      <c r="A1135" t="s">
        <v>4572</v>
      </c>
      <c r="E1135" t="str">
        <f>HYPERLINK("http://nlpdeep.cs.uic.edu:8080/proofing/gsii/503162-assessment-and-plan-0-1.pdf","gsii/503162-assessment-and-plan-0-1.pdf")</f>
        <v>gsii/503162-assessment-and-plan-0-1.pdf</v>
      </c>
      <c r="F1135">
        <v>110002</v>
      </c>
      <c r="G1135">
        <v>503162</v>
      </c>
      <c r="H1135" t="s">
        <v>306</v>
      </c>
      <c r="I1135" t="s">
        <v>195</v>
      </c>
      <c r="J1135" t="s">
        <v>4573</v>
      </c>
    </row>
    <row r="1136" spans="1:10" x14ac:dyDescent="0.2">
      <c r="A1136" t="s">
        <v>4574</v>
      </c>
      <c r="E1136" t="str">
        <f>HYPERLINK("http://nlpdeep.cs.uic.edu:8080/proofing/t5/503162-assessment-and-plan-0-2.pdf","t5/503162-assessment-and-plan-0-2.pdf")</f>
        <v>t5/503162-assessment-and-plan-0-2.pdf</v>
      </c>
      <c r="F1136">
        <v>110002</v>
      </c>
      <c r="G1136">
        <v>503162</v>
      </c>
      <c r="H1136" t="s">
        <v>306</v>
      </c>
      <c r="I1136" t="s">
        <v>195</v>
      </c>
      <c r="J1136" t="s">
        <v>4575</v>
      </c>
    </row>
    <row r="1137" spans="1:10" x14ac:dyDescent="0.2">
      <c r="A1137" t="s">
        <v>4574</v>
      </c>
      <c r="E1137" t="str">
        <f>HYPERLINK("http://nlpdeep.cs.uic.edu:8080/proofing/gsii/503162-assessment-and-plan-0-2.pdf","gsii/503162-assessment-and-plan-0-2.pdf")</f>
        <v>gsii/503162-assessment-and-plan-0-2.pdf</v>
      </c>
      <c r="F1137">
        <v>110002</v>
      </c>
      <c r="G1137">
        <v>503162</v>
      </c>
      <c r="H1137" t="s">
        <v>306</v>
      </c>
      <c r="I1137" t="s">
        <v>195</v>
      </c>
      <c r="J1137" t="s">
        <v>4575</v>
      </c>
    </row>
    <row r="1138" spans="1:10" x14ac:dyDescent="0.2">
      <c r="A1138" t="s">
        <v>4576</v>
      </c>
      <c r="E1138" t="str">
        <f>HYPERLINK("http://nlpdeep.cs.uic.edu:8080/proofing/t5/503162-assessment-and-plan-0-3.pdf","t5/503162-assessment-and-plan-0-3.pdf")</f>
        <v>t5/503162-assessment-and-plan-0-3.pdf</v>
      </c>
      <c r="F1138">
        <v>110002</v>
      </c>
      <c r="G1138">
        <v>503162</v>
      </c>
      <c r="H1138" t="s">
        <v>306</v>
      </c>
      <c r="I1138" t="s">
        <v>195</v>
      </c>
      <c r="J1138" t="s">
        <v>4577</v>
      </c>
    </row>
    <row r="1139" spans="1:10" x14ac:dyDescent="0.2">
      <c r="A1139" t="s">
        <v>4576</v>
      </c>
      <c r="E1139" t="str">
        <f>HYPERLINK("http://nlpdeep.cs.uic.edu:8080/proofing/gsii/503162-assessment-and-plan-0-3.pdf","gsii/503162-assessment-and-plan-0-3.pdf")</f>
        <v>gsii/503162-assessment-and-plan-0-3.pdf</v>
      </c>
      <c r="F1139">
        <v>110002</v>
      </c>
      <c r="G1139">
        <v>503162</v>
      </c>
      <c r="H1139" t="s">
        <v>306</v>
      </c>
      <c r="I1139" t="s">
        <v>195</v>
      </c>
      <c r="J1139" t="s">
        <v>4577</v>
      </c>
    </row>
    <row r="1140" spans="1:10" x14ac:dyDescent="0.2">
      <c r="A1140" t="s">
        <v>4578</v>
      </c>
      <c r="E1140" t="str">
        <f>HYPERLINK("http://nlpdeep.cs.uic.edu:8080/proofing/t5/37337-allergies-0-0.pdf","t5/37337-allergies-0-0.pdf")</f>
        <v>t5/37337-allergies-0-0.pdf</v>
      </c>
      <c r="F1140">
        <v>110002</v>
      </c>
      <c r="G1140">
        <v>37337</v>
      </c>
      <c r="H1140" t="s">
        <v>745</v>
      </c>
      <c r="I1140" t="s">
        <v>64</v>
      </c>
      <c r="J1140" t="s">
        <v>2259</v>
      </c>
    </row>
    <row r="1141" spans="1:10" x14ac:dyDescent="0.2">
      <c r="A1141" t="s">
        <v>4578</v>
      </c>
      <c r="E1141" t="str">
        <f>HYPERLINK("http://nlpdeep.cs.uic.edu:8080/proofing/gsii/37337-allergies-0-0.pdf","gsii/37337-allergies-0-0.pdf")</f>
        <v>gsii/37337-allergies-0-0.pdf</v>
      </c>
      <c r="F1141">
        <v>110002</v>
      </c>
      <c r="G1141">
        <v>37337</v>
      </c>
      <c r="H1141" t="s">
        <v>745</v>
      </c>
      <c r="I1141" t="s">
        <v>64</v>
      </c>
      <c r="J1141" t="s">
        <v>2259</v>
      </c>
    </row>
    <row r="1142" spans="1:10" x14ac:dyDescent="0.2">
      <c r="A1142" t="s">
        <v>4579</v>
      </c>
      <c r="E1142" t="str">
        <f>HYPERLINK("http://nlpdeep.cs.uic.edu:8080/proofing/t5/37337-chief-complaint-0-0.pdf","t5/37337-chief-complaint-0-0.pdf")</f>
        <v>t5/37337-chief-complaint-0-0.pdf</v>
      </c>
      <c r="F1142">
        <v>110002</v>
      </c>
      <c r="G1142">
        <v>37337</v>
      </c>
      <c r="H1142" t="s">
        <v>745</v>
      </c>
      <c r="I1142" t="s">
        <v>10</v>
      </c>
      <c r="J1142" t="s">
        <v>4580</v>
      </c>
    </row>
    <row r="1143" spans="1:10" x14ac:dyDescent="0.2">
      <c r="A1143" t="s">
        <v>4579</v>
      </c>
      <c r="E1143" t="str">
        <f>HYPERLINK("http://nlpdeep.cs.uic.edu:8080/proofing/gsii/37337-chief-complaint-0-0.pdf","gsii/37337-chief-complaint-0-0.pdf")</f>
        <v>gsii/37337-chief-complaint-0-0.pdf</v>
      </c>
      <c r="F1143">
        <v>110002</v>
      </c>
      <c r="G1143">
        <v>37337</v>
      </c>
      <c r="H1143" t="s">
        <v>745</v>
      </c>
      <c r="I1143" t="s">
        <v>10</v>
      </c>
      <c r="J1143" t="s">
        <v>4580</v>
      </c>
    </row>
    <row r="1144" spans="1:10" x14ac:dyDescent="0.2">
      <c r="A1144" t="s">
        <v>4581</v>
      </c>
      <c r="E1144" t="str">
        <f>HYPERLINK("http://nlpdeep.cs.uic.edu:8080/proofing/t5/37337-major-surgical-or-invasive-procedure-0-0.pdf","t5/37337-major-surgical-or-invasive-procedure-0-0.pdf")</f>
        <v>t5/37337-major-surgical-or-invasive-procedure-0-0.pdf</v>
      </c>
      <c r="F1144">
        <v>110002</v>
      </c>
      <c r="G1144">
        <v>37337</v>
      </c>
      <c r="H1144" t="s">
        <v>745</v>
      </c>
      <c r="I1144" t="s">
        <v>750</v>
      </c>
      <c r="J1144" t="s">
        <v>4582</v>
      </c>
    </row>
    <row r="1145" spans="1:10" x14ac:dyDescent="0.2">
      <c r="A1145" t="s">
        <v>4581</v>
      </c>
      <c r="E1145" t="str">
        <f>HYPERLINK("http://nlpdeep.cs.uic.edu:8080/proofing/gsii/37337-major-surgical-or-invasive-procedure-0-0.pdf","gsii/37337-major-surgical-or-invasive-procedure-0-0.pdf")</f>
        <v>gsii/37337-major-surgical-or-invasive-procedure-0-0.pdf</v>
      </c>
      <c r="F1145">
        <v>110002</v>
      </c>
      <c r="G1145">
        <v>37337</v>
      </c>
      <c r="H1145" t="s">
        <v>745</v>
      </c>
      <c r="I1145" t="s">
        <v>750</v>
      </c>
      <c r="J1145" t="s">
        <v>4582</v>
      </c>
    </row>
    <row r="1146" spans="1:10" x14ac:dyDescent="0.2">
      <c r="A1146" t="s">
        <v>4583</v>
      </c>
      <c r="E1146" t="str">
        <f>HYPERLINK("http://nlpdeep.cs.uic.edu:8080/proofing/t5/37337-history-of-present-illness-0-0.pdf","t5/37337-history-of-present-illness-0-0.pdf")</f>
        <v>t5/37337-history-of-present-illness-0-0.pdf</v>
      </c>
      <c r="F1146">
        <v>110002</v>
      </c>
      <c r="G1146">
        <v>37337</v>
      </c>
      <c r="H1146" t="s">
        <v>745</v>
      </c>
      <c r="I1146" t="s">
        <v>13</v>
      </c>
      <c r="J1146" t="s">
        <v>4584</v>
      </c>
    </row>
    <row r="1147" spans="1:10" x14ac:dyDescent="0.2">
      <c r="A1147" t="s">
        <v>4583</v>
      </c>
      <c r="E1147" t="str">
        <f>HYPERLINK("http://nlpdeep.cs.uic.edu:8080/proofing/gsii/37337-history-of-present-illness-0-0.pdf","gsii/37337-history-of-present-illness-0-0.pdf")</f>
        <v>gsii/37337-history-of-present-illness-0-0.pdf</v>
      </c>
      <c r="F1147">
        <v>110002</v>
      </c>
      <c r="G1147">
        <v>37337</v>
      </c>
      <c r="H1147" t="s">
        <v>745</v>
      </c>
      <c r="I1147" t="s">
        <v>13</v>
      </c>
      <c r="J1147" t="s">
        <v>4584</v>
      </c>
    </row>
    <row r="1148" spans="1:10" x14ac:dyDescent="0.2">
      <c r="A1148" t="s">
        <v>4585</v>
      </c>
      <c r="E1148" t="str">
        <f>HYPERLINK("http://nlpdeep.cs.uic.edu:8080/proofing/t5/37337-history-of-present-illness-0-1.pdf","t5/37337-history-of-present-illness-0-1.pdf")</f>
        <v>t5/37337-history-of-present-illness-0-1.pdf</v>
      </c>
      <c r="F1148">
        <v>110002</v>
      </c>
      <c r="G1148">
        <v>37337</v>
      </c>
      <c r="H1148" t="s">
        <v>745</v>
      </c>
      <c r="I1148" t="s">
        <v>13</v>
      </c>
      <c r="J1148" t="s">
        <v>4586</v>
      </c>
    </row>
    <row r="1149" spans="1:10" x14ac:dyDescent="0.2">
      <c r="A1149" t="s">
        <v>4585</v>
      </c>
      <c r="E1149" t="str">
        <f>HYPERLINK("http://nlpdeep.cs.uic.edu:8080/proofing/gsii/37337-history-of-present-illness-0-1.pdf","gsii/37337-history-of-present-illness-0-1.pdf")</f>
        <v>gsii/37337-history-of-present-illness-0-1.pdf</v>
      </c>
      <c r="F1149">
        <v>110002</v>
      </c>
      <c r="G1149">
        <v>37337</v>
      </c>
      <c r="H1149" t="s">
        <v>745</v>
      </c>
      <c r="I1149" t="s">
        <v>13</v>
      </c>
      <c r="J1149" t="s">
        <v>4586</v>
      </c>
    </row>
    <row r="1150" spans="1:10" x14ac:dyDescent="0.2">
      <c r="A1150" t="s">
        <v>4587</v>
      </c>
      <c r="E1150" t="str">
        <f>HYPERLINK("http://nlpdeep.cs.uic.edu:8080/proofing/t5/37337-history-of-present-illness-0-2.pdf","t5/37337-history-of-present-illness-0-2.pdf")</f>
        <v>t5/37337-history-of-present-illness-0-2.pdf</v>
      </c>
      <c r="F1150">
        <v>110002</v>
      </c>
      <c r="G1150">
        <v>37337</v>
      </c>
      <c r="H1150" t="s">
        <v>745</v>
      </c>
      <c r="I1150" t="s">
        <v>13</v>
      </c>
      <c r="J1150" t="s">
        <v>4588</v>
      </c>
    </row>
    <row r="1151" spans="1:10" x14ac:dyDescent="0.2">
      <c r="A1151" t="s">
        <v>4587</v>
      </c>
      <c r="E1151" t="str">
        <f>HYPERLINK("http://nlpdeep.cs.uic.edu:8080/proofing/gsii/37337-history-of-present-illness-0-2.pdf","gsii/37337-history-of-present-illness-0-2.pdf")</f>
        <v>gsii/37337-history-of-present-illness-0-2.pdf</v>
      </c>
      <c r="F1151">
        <v>110002</v>
      </c>
      <c r="G1151">
        <v>37337</v>
      </c>
      <c r="H1151" t="s">
        <v>745</v>
      </c>
      <c r="I1151" t="s">
        <v>13</v>
      </c>
      <c r="J1151" t="s">
        <v>4588</v>
      </c>
    </row>
    <row r="1152" spans="1:10" x14ac:dyDescent="0.2">
      <c r="A1152" t="s">
        <v>4589</v>
      </c>
      <c r="E1152" t="str">
        <f>HYPERLINK("http://nlpdeep.cs.uic.edu:8080/proofing/t5/37337-history-of-present-illness-0-3.pdf","t5/37337-history-of-present-illness-0-3.pdf")</f>
        <v>t5/37337-history-of-present-illness-0-3.pdf</v>
      </c>
      <c r="F1152">
        <v>110002</v>
      </c>
      <c r="G1152">
        <v>37337</v>
      </c>
      <c r="H1152" t="s">
        <v>745</v>
      </c>
      <c r="I1152" t="s">
        <v>13</v>
      </c>
      <c r="J1152" t="s">
        <v>4590</v>
      </c>
    </row>
    <row r="1153" spans="1:10" x14ac:dyDescent="0.2">
      <c r="A1153" t="s">
        <v>4589</v>
      </c>
      <c r="E1153" t="str">
        <f>HYPERLINK("http://nlpdeep.cs.uic.edu:8080/proofing/gsii/37337-history-of-present-illness-0-3.pdf","gsii/37337-history-of-present-illness-0-3.pdf")</f>
        <v>gsii/37337-history-of-present-illness-0-3.pdf</v>
      </c>
      <c r="F1153">
        <v>110002</v>
      </c>
      <c r="G1153">
        <v>37337</v>
      </c>
      <c r="H1153" t="s">
        <v>745</v>
      </c>
      <c r="I1153" t="s">
        <v>13</v>
      </c>
      <c r="J1153" t="s">
        <v>4590</v>
      </c>
    </row>
    <row r="1154" spans="1:10" x14ac:dyDescent="0.2">
      <c r="A1154" t="s">
        <v>4591</v>
      </c>
      <c r="E1154" t="str">
        <f>HYPERLINK("http://nlpdeep.cs.uic.edu:8080/proofing/t5/37337-history-of-present-illness-0-4.pdf","t5/37337-history-of-present-illness-0-4.pdf")</f>
        <v>t5/37337-history-of-present-illness-0-4.pdf</v>
      </c>
      <c r="F1154">
        <v>110002</v>
      </c>
      <c r="G1154">
        <v>37337</v>
      </c>
      <c r="H1154" t="s">
        <v>745</v>
      </c>
      <c r="I1154" t="s">
        <v>13</v>
      </c>
      <c r="J1154" t="s">
        <v>4592</v>
      </c>
    </row>
    <row r="1155" spans="1:10" x14ac:dyDescent="0.2">
      <c r="A1155" t="s">
        <v>4591</v>
      </c>
      <c r="E1155" t="str">
        <f>HYPERLINK("http://nlpdeep.cs.uic.edu:8080/proofing/gsii/37337-history-of-present-illness-0-4.pdf","gsii/37337-history-of-present-illness-0-4.pdf")</f>
        <v>gsii/37337-history-of-present-illness-0-4.pdf</v>
      </c>
      <c r="F1155">
        <v>110002</v>
      </c>
      <c r="G1155">
        <v>37337</v>
      </c>
      <c r="H1155" t="s">
        <v>745</v>
      </c>
      <c r="I1155" t="s">
        <v>13</v>
      </c>
      <c r="J1155" t="s">
        <v>4592</v>
      </c>
    </row>
    <row r="1156" spans="1:10" x14ac:dyDescent="0.2">
      <c r="A1156" t="s">
        <v>4593</v>
      </c>
      <c r="E1156" t="str">
        <f>HYPERLINK("http://nlpdeep.cs.uic.edu:8080/proofing/t5/37337-history-of-present-illness-0-5.pdf","t5/37337-history-of-present-illness-0-5.pdf")</f>
        <v>t5/37337-history-of-present-illness-0-5.pdf</v>
      </c>
      <c r="F1156">
        <v>110002</v>
      </c>
      <c r="G1156">
        <v>37337</v>
      </c>
      <c r="H1156" t="s">
        <v>745</v>
      </c>
      <c r="I1156" t="s">
        <v>13</v>
      </c>
      <c r="J1156" t="s">
        <v>4594</v>
      </c>
    </row>
    <row r="1157" spans="1:10" x14ac:dyDescent="0.2">
      <c r="A1157" t="s">
        <v>4593</v>
      </c>
      <c r="E1157" t="str">
        <f>HYPERLINK("http://nlpdeep.cs.uic.edu:8080/proofing/gsii/37337-history-of-present-illness-0-5.pdf","gsii/37337-history-of-present-illness-0-5.pdf")</f>
        <v>gsii/37337-history-of-present-illness-0-5.pdf</v>
      </c>
      <c r="F1157">
        <v>110002</v>
      </c>
      <c r="G1157">
        <v>37337</v>
      </c>
      <c r="H1157" t="s">
        <v>745</v>
      </c>
      <c r="I1157" t="s">
        <v>13</v>
      </c>
      <c r="J1157" t="s">
        <v>4594</v>
      </c>
    </row>
    <row r="1158" spans="1:10" x14ac:dyDescent="0.2">
      <c r="A1158" t="s">
        <v>4595</v>
      </c>
      <c r="E1158" t="str">
        <f>HYPERLINK("http://nlpdeep.cs.uic.edu:8080/proofing/t5/37337-history-of-present-illness-0-6.pdf","t5/37337-history-of-present-illness-0-6.pdf")</f>
        <v>t5/37337-history-of-present-illness-0-6.pdf</v>
      </c>
      <c r="F1158">
        <v>110002</v>
      </c>
      <c r="G1158">
        <v>37337</v>
      </c>
      <c r="H1158" t="s">
        <v>745</v>
      </c>
      <c r="I1158" t="s">
        <v>13</v>
      </c>
      <c r="J1158" t="s">
        <v>4596</v>
      </c>
    </row>
    <row r="1159" spans="1:10" x14ac:dyDescent="0.2">
      <c r="A1159" t="s">
        <v>4595</v>
      </c>
      <c r="E1159" t="str">
        <f>HYPERLINK("http://nlpdeep.cs.uic.edu:8080/proofing/gsii/37337-history-of-present-illness-0-6.pdf","gsii/37337-history-of-present-illness-0-6.pdf")</f>
        <v>gsii/37337-history-of-present-illness-0-6.pdf</v>
      </c>
      <c r="F1159">
        <v>110002</v>
      </c>
      <c r="G1159">
        <v>37337</v>
      </c>
      <c r="H1159" t="s">
        <v>745</v>
      </c>
      <c r="I1159" t="s">
        <v>13</v>
      </c>
      <c r="J1159" t="s">
        <v>4596</v>
      </c>
    </row>
    <row r="1160" spans="1:10" x14ac:dyDescent="0.2">
      <c r="A1160" t="s">
        <v>4597</v>
      </c>
      <c r="E1160" t="str">
        <f>HYPERLINK("http://nlpdeep.cs.uic.edu:8080/proofing/t5/37337-history-of-present-illness-1-0.pdf","t5/37337-history-of-present-illness-1-0.pdf")</f>
        <v>t5/37337-history-of-present-illness-1-0.pdf</v>
      </c>
      <c r="F1160">
        <v>110002</v>
      </c>
      <c r="G1160">
        <v>37337</v>
      </c>
      <c r="H1160" t="s">
        <v>745</v>
      </c>
      <c r="I1160" t="s">
        <v>13</v>
      </c>
      <c r="J1160" t="s">
        <v>4598</v>
      </c>
    </row>
    <row r="1161" spans="1:10" x14ac:dyDescent="0.2">
      <c r="A1161" t="s">
        <v>4597</v>
      </c>
      <c r="E1161" t="str">
        <f>HYPERLINK("http://nlpdeep.cs.uic.edu:8080/proofing/gsii/37337-history-of-present-illness-1-0.pdf","gsii/37337-history-of-present-illness-1-0.pdf")</f>
        <v>gsii/37337-history-of-present-illness-1-0.pdf</v>
      </c>
      <c r="F1161">
        <v>110002</v>
      </c>
      <c r="G1161">
        <v>37337</v>
      </c>
      <c r="H1161" t="s">
        <v>745</v>
      </c>
      <c r="I1161" t="s">
        <v>13</v>
      </c>
      <c r="J1161" t="s">
        <v>4598</v>
      </c>
    </row>
    <row r="1162" spans="1:10" x14ac:dyDescent="0.2">
      <c r="A1162" t="s">
        <v>4599</v>
      </c>
      <c r="E1162" t="str">
        <f>HYPERLINK("http://nlpdeep.cs.uic.edu:8080/proofing/t5/37337-history-of-present-illness-1-1.pdf","t5/37337-history-of-present-illness-1-1.pdf")</f>
        <v>t5/37337-history-of-present-illness-1-1.pdf</v>
      </c>
      <c r="F1162">
        <v>110002</v>
      </c>
      <c r="G1162">
        <v>37337</v>
      </c>
      <c r="H1162" t="s">
        <v>745</v>
      </c>
      <c r="I1162" t="s">
        <v>13</v>
      </c>
      <c r="J1162" t="s">
        <v>4600</v>
      </c>
    </row>
    <row r="1163" spans="1:10" x14ac:dyDescent="0.2">
      <c r="A1163" t="s">
        <v>4599</v>
      </c>
      <c r="E1163" t="str">
        <f>HYPERLINK("http://nlpdeep.cs.uic.edu:8080/proofing/gsii/37337-history-of-present-illness-1-1.pdf","gsii/37337-history-of-present-illness-1-1.pdf")</f>
        <v>gsii/37337-history-of-present-illness-1-1.pdf</v>
      </c>
      <c r="F1163">
        <v>110002</v>
      </c>
      <c r="G1163">
        <v>37337</v>
      </c>
      <c r="H1163" t="s">
        <v>745</v>
      </c>
      <c r="I1163" t="s">
        <v>13</v>
      </c>
      <c r="J1163" t="s">
        <v>4600</v>
      </c>
    </row>
    <row r="1164" spans="1:10" x14ac:dyDescent="0.2">
      <c r="A1164" t="s">
        <v>4601</v>
      </c>
      <c r="E1164" t="str">
        <f>HYPERLINK("http://nlpdeep.cs.uic.edu:8080/proofing/t5/37337-history-of-present-illness-1-2.pdf","t5/37337-history-of-present-illness-1-2.pdf")</f>
        <v>t5/37337-history-of-present-illness-1-2.pdf</v>
      </c>
      <c r="F1164">
        <v>110002</v>
      </c>
      <c r="G1164">
        <v>37337</v>
      </c>
      <c r="H1164" t="s">
        <v>745</v>
      </c>
      <c r="I1164" t="s">
        <v>13</v>
      </c>
      <c r="J1164" t="s">
        <v>4602</v>
      </c>
    </row>
    <row r="1165" spans="1:10" x14ac:dyDescent="0.2">
      <c r="A1165" t="s">
        <v>4601</v>
      </c>
      <c r="E1165" t="str">
        <f>HYPERLINK("http://nlpdeep.cs.uic.edu:8080/proofing/gsii/37337-history-of-present-illness-1-2.pdf","gsii/37337-history-of-present-illness-1-2.pdf")</f>
        <v>gsii/37337-history-of-present-illness-1-2.pdf</v>
      </c>
      <c r="F1165">
        <v>110002</v>
      </c>
      <c r="G1165">
        <v>37337</v>
      </c>
      <c r="H1165" t="s">
        <v>745</v>
      </c>
      <c r="I1165" t="s">
        <v>13</v>
      </c>
      <c r="J1165" t="s">
        <v>4602</v>
      </c>
    </row>
    <row r="1166" spans="1:10" x14ac:dyDescent="0.2">
      <c r="A1166" t="s">
        <v>4603</v>
      </c>
      <c r="E1166" t="str">
        <f>HYPERLINK("http://nlpdeep.cs.uic.edu:8080/proofing/t5/37337-history-of-present-illness-1-3.pdf","t5/37337-history-of-present-illness-1-3.pdf")</f>
        <v>t5/37337-history-of-present-illness-1-3.pdf</v>
      </c>
      <c r="F1166">
        <v>110002</v>
      </c>
      <c r="G1166">
        <v>37337</v>
      </c>
      <c r="H1166" t="s">
        <v>745</v>
      </c>
      <c r="I1166" t="s">
        <v>13</v>
      </c>
      <c r="J1166" t="s">
        <v>4604</v>
      </c>
    </row>
    <row r="1167" spans="1:10" x14ac:dyDescent="0.2">
      <c r="A1167" t="s">
        <v>4603</v>
      </c>
      <c r="E1167" t="str">
        <f>HYPERLINK("http://nlpdeep.cs.uic.edu:8080/proofing/gsii/37337-history-of-present-illness-1-3.pdf","gsii/37337-history-of-present-illness-1-3.pdf")</f>
        <v>gsii/37337-history-of-present-illness-1-3.pdf</v>
      </c>
      <c r="F1167">
        <v>110002</v>
      </c>
      <c r="G1167">
        <v>37337</v>
      </c>
      <c r="H1167" t="s">
        <v>745</v>
      </c>
      <c r="I1167" t="s">
        <v>13</v>
      </c>
      <c r="J1167" t="s">
        <v>4604</v>
      </c>
    </row>
    <row r="1168" spans="1:10" x14ac:dyDescent="0.2">
      <c r="A1168" t="s">
        <v>4605</v>
      </c>
      <c r="E1168" t="str">
        <f>HYPERLINK("http://nlpdeep.cs.uic.edu:8080/proofing/t5/37337-history-of-present-illness-1-4.pdf","t5/37337-history-of-present-illness-1-4.pdf")</f>
        <v>t5/37337-history-of-present-illness-1-4.pdf</v>
      </c>
      <c r="F1168">
        <v>110002</v>
      </c>
      <c r="G1168">
        <v>37337</v>
      </c>
      <c r="H1168" t="s">
        <v>745</v>
      </c>
      <c r="I1168" t="s">
        <v>13</v>
      </c>
      <c r="J1168" t="s">
        <v>4606</v>
      </c>
    </row>
    <row r="1169" spans="1:10" x14ac:dyDescent="0.2">
      <c r="A1169" t="s">
        <v>4605</v>
      </c>
      <c r="E1169" t="str">
        <f>HYPERLINK("http://nlpdeep.cs.uic.edu:8080/proofing/gsii/37337-history-of-present-illness-1-4.pdf","gsii/37337-history-of-present-illness-1-4.pdf")</f>
        <v>gsii/37337-history-of-present-illness-1-4.pdf</v>
      </c>
      <c r="F1169">
        <v>110002</v>
      </c>
      <c r="G1169">
        <v>37337</v>
      </c>
      <c r="H1169" t="s">
        <v>745</v>
      </c>
      <c r="I1169" t="s">
        <v>13</v>
      </c>
      <c r="J1169" t="s">
        <v>4606</v>
      </c>
    </row>
    <row r="1170" spans="1:10" x14ac:dyDescent="0.2">
      <c r="A1170" t="s">
        <v>4607</v>
      </c>
      <c r="E1170" t="str">
        <f>HYPERLINK("http://nlpdeep.cs.uic.edu:8080/proofing/t5/37337-history-of-present-illness-2-0.pdf","t5/37337-history-of-present-illness-2-0.pdf")</f>
        <v>t5/37337-history-of-present-illness-2-0.pdf</v>
      </c>
      <c r="F1170">
        <v>110002</v>
      </c>
      <c r="G1170">
        <v>37337</v>
      </c>
      <c r="H1170" t="s">
        <v>745</v>
      </c>
      <c r="I1170" t="s">
        <v>13</v>
      </c>
      <c r="J1170" t="s">
        <v>4608</v>
      </c>
    </row>
    <row r="1171" spans="1:10" x14ac:dyDescent="0.2">
      <c r="A1171" t="s">
        <v>4607</v>
      </c>
      <c r="E1171" t="str">
        <f>HYPERLINK("http://nlpdeep.cs.uic.edu:8080/proofing/gsii/37337-history-of-present-illness-2-0.pdf","gsii/37337-history-of-present-illness-2-0.pdf")</f>
        <v>gsii/37337-history-of-present-illness-2-0.pdf</v>
      </c>
      <c r="F1171">
        <v>110002</v>
      </c>
      <c r="G1171">
        <v>37337</v>
      </c>
      <c r="H1171" t="s">
        <v>745</v>
      </c>
      <c r="I1171" t="s">
        <v>13</v>
      </c>
      <c r="J1171" t="s">
        <v>4608</v>
      </c>
    </row>
    <row r="1172" spans="1:10" x14ac:dyDescent="0.2">
      <c r="A1172" t="s">
        <v>4609</v>
      </c>
      <c r="E1172" t="str">
        <f>HYPERLINK("http://nlpdeep.cs.uic.edu:8080/proofing/t5/37337-history-of-present-illness-2-1.pdf","t5/37337-history-of-present-illness-2-1.pdf")</f>
        <v>t5/37337-history-of-present-illness-2-1.pdf</v>
      </c>
      <c r="F1172">
        <v>110002</v>
      </c>
      <c r="G1172">
        <v>37337</v>
      </c>
      <c r="H1172" t="s">
        <v>745</v>
      </c>
      <c r="I1172" t="s">
        <v>13</v>
      </c>
      <c r="J1172" t="s">
        <v>4610</v>
      </c>
    </row>
    <row r="1173" spans="1:10" x14ac:dyDescent="0.2">
      <c r="A1173" t="s">
        <v>4609</v>
      </c>
      <c r="E1173" t="str">
        <f>HYPERLINK("http://nlpdeep.cs.uic.edu:8080/proofing/gsii/37337-history-of-present-illness-2-1.pdf","gsii/37337-history-of-present-illness-2-1.pdf")</f>
        <v>gsii/37337-history-of-present-illness-2-1.pdf</v>
      </c>
      <c r="F1173">
        <v>110002</v>
      </c>
      <c r="G1173">
        <v>37337</v>
      </c>
      <c r="H1173" t="s">
        <v>745</v>
      </c>
      <c r="I1173" t="s">
        <v>13</v>
      </c>
      <c r="J1173" t="s">
        <v>4610</v>
      </c>
    </row>
    <row r="1174" spans="1:10" x14ac:dyDescent="0.2">
      <c r="A1174" t="s">
        <v>4611</v>
      </c>
      <c r="E1174" t="str">
        <f>HYPERLINK("http://nlpdeep.cs.uic.edu:8080/proofing/t5/37337-past-medical-history-0-0.pdf","t5/37337-past-medical-history-0-0.pdf")</f>
        <v>t5/37337-past-medical-history-0-0.pdf</v>
      </c>
      <c r="F1174">
        <v>110002</v>
      </c>
      <c r="G1174">
        <v>37337</v>
      </c>
      <c r="H1174" t="s">
        <v>745</v>
      </c>
      <c r="I1174" t="s">
        <v>76</v>
      </c>
      <c r="J1174" t="s">
        <v>4612</v>
      </c>
    </row>
    <row r="1175" spans="1:10" x14ac:dyDescent="0.2">
      <c r="A1175" t="s">
        <v>4611</v>
      </c>
      <c r="E1175" t="str">
        <f>HYPERLINK("http://nlpdeep.cs.uic.edu:8080/proofing/gsii/37337-past-medical-history-0-0.pdf","gsii/37337-past-medical-history-0-0.pdf")</f>
        <v>gsii/37337-past-medical-history-0-0.pdf</v>
      </c>
      <c r="F1175">
        <v>110002</v>
      </c>
      <c r="G1175">
        <v>37337</v>
      </c>
      <c r="H1175" t="s">
        <v>745</v>
      </c>
      <c r="I1175" t="s">
        <v>76</v>
      </c>
      <c r="J1175" t="s">
        <v>4612</v>
      </c>
    </row>
    <row r="1176" spans="1:10" x14ac:dyDescent="0.2">
      <c r="A1176" t="s">
        <v>4613</v>
      </c>
      <c r="E1176" t="str">
        <f>HYPERLINK("http://nlpdeep.cs.uic.edu:8080/proofing/t5/37337-social-history-0-0.pdf","t5/37337-social-history-0-0.pdf")</f>
        <v>t5/37337-social-history-0-0.pdf</v>
      </c>
      <c r="F1176">
        <v>110002</v>
      </c>
      <c r="G1176">
        <v>37337</v>
      </c>
      <c r="H1176" t="s">
        <v>745</v>
      </c>
      <c r="I1176" t="s">
        <v>118</v>
      </c>
      <c r="J1176" t="s">
        <v>4614</v>
      </c>
    </row>
    <row r="1177" spans="1:10" x14ac:dyDescent="0.2">
      <c r="A1177" t="s">
        <v>4613</v>
      </c>
      <c r="E1177" t="str">
        <f>HYPERLINK("http://nlpdeep.cs.uic.edu:8080/proofing/gsii/37337-social-history-0-0.pdf","gsii/37337-social-history-0-0.pdf")</f>
        <v>gsii/37337-social-history-0-0.pdf</v>
      </c>
      <c r="F1177">
        <v>110002</v>
      </c>
      <c r="G1177">
        <v>37337</v>
      </c>
      <c r="H1177" t="s">
        <v>745</v>
      </c>
      <c r="I1177" t="s">
        <v>118</v>
      </c>
      <c r="J1177" t="s">
        <v>4614</v>
      </c>
    </row>
    <row r="1178" spans="1:10" x14ac:dyDescent="0.2">
      <c r="A1178" t="s">
        <v>4615</v>
      </c>
      <c r="E1178" t="str">
        <f>HYPERLINK("http://nlpdeep.cs.uic.edu:8080/proofing/t5/37337-social-history-0-1.pdf","t5/37337-social-history-0-1.pdf")</f>
        <v>t5/37337-social-history-0-1.pdf</v>
      </c>
      <c r="F1178">
        <v>110002</v>
      </c>
      <c r="G1178">
        <v>37337</v>
      </c>
      <c r="H1178" t="s">
        <v>745</v>
      </c>
      <c r="I1178" t="s">
        <v>118</v>
      </c>
      <c r="J1178" t="s">
        <v>4616</v>
      </c>
    </row>
    <row r="1179" spans="1:10" x14ac:dyDescent="0.2">
      <c r="A1179" t="s">
        <v>4615</v>
      </c>
      <c r="E1179" t="str">
        <f>HYPERLINK("http://nlpdeep.cs.uic.edu:8080/proofing/gsii/37337-social-history-0-1.pdf","gsii/37337-social-history-0-1.pdf")</f>
        <v>gsii/37337-social-history-0-1.pdf</v>
      </c>
      <c r="F1179">
        <v>110002</v>
      </c>
      <c r="G1179">
        <v>37337</v>
      </c>
      <c r="H1179" t="s">
        <v>745</v>
      </c>
      <c r="I1179" t="s">
        <v>118</v>
      </c>
      <c r="J1179" t="s">
        <v>4616</v>
      </c>
    </row>
    <row r="1180" spans="1:10" x14ac:dyDescent="0.2">
      <c r="A1180" t="s">
        <v>4617</v>
      </c>
      <c r="E1180" t="str">
        <f>HYPERLINK("http://nlpdeep.cs.uic.edu:8080/proofing/t5/37337-social-history-0-2.pdf","t5/37337-social-history-0-2.pdf")</f>
        <v>t5/37337-social-history-0-2.pdf</v>
      </c>
      <c r="F1180">
        <v>110002</v>
      </c>
      <c r="G1180">
        <v>37337</v>
      </c>
      <c r="H1180" t="s">
        <v>745</v>
      </c>
      <c r="I1180" t="s">
        <v>118</v>
      </c>
      <c r="J1180" t="s">
        <v>4618</v>
      </c>
    </row>
    <row r="1181" spans="1:10" x14ac:dyDescent="0.2">
      <c r="A1181" t="s">
        <v>4617</v>
      </c>
      <c r="E1181" t="str">
        <f>HYPERLINK("http://nlpdeep.cs.uic.edu:8080/proofing/gsii/37337-social-history-0-2.pdf","gsii/37337-social-history-0-2.pdf")</f>
        <v>gsii/37337-social-history-0-2.pdf</v>
      </c>
      <c r="F1181">
        <v>110002</v>
      </c>
      <c r="G1181">
        <v>37337</v>
      </c>
      <c r="H1181" t="s">
        <v>745</v>
      </c>
      <c r="I1181" t="s">
        <v>118</v>
      </c>
      <c r="J1181" t="s">
        <v>4618</v>
      </c>
    </row>
    <row r="1182" spans="1:10" x14ac:dyDescent="0.2">
      <c r="A1182" t="s">
        <v>4619</v>
      </c>
      <c r="E1182" t="str">
        <f>HYPERLINK("http://nlpdeep.cs.uic.edu:8080/proofing/t5/37337-social-history-0-3.pdf","t5/37337-social-history-0-3.pdf")</f>
        <v>t5/37337-social-history-0-3.pdf</v>
      </c>
      <c r="F1182">
        <v>110002</v>
      </c>
      <c r="G1182">
        <v>37337</v>
      </c>
      <c r="H1182" t="s">
        <v>745</v>
      </c>
      <c r="I1182" t="s">
        <v>118</v>
      </c>
      <c r="J1182" t="s">
        <v>4620</v>
      </c>
    </row>
    <row r="1183" spans="1:10" x14ac:dyDescent="0.2">
      <c r="A1183" t="s">
        <v>4619</v>
      </c>
      <c r="E1183" t="str">
        <f>HYPERLINK("http://nlpdeep.cs.uic.edu:8080/proofing/gsii/37337-social-history-0-3.pdf","gsii/37337-social-history-0-3.pdf")</f>
        <v>gsii/37337-social-history-0-3.pdf</v>
      </c>
      <c r="F1183">
        <v>110002</v>
      </c>
      <c r="G1183">
        <v>37337</v>
      </c>
      <c r="H1183" t="s">
        <v>745</v>
      </c>
      <c r="I1183" t="s">
        <v>118</v>
      </c>
      <c r="J1183" t="s">
        <v>4620</v>
      </c>
    </row>
    <row r="1184" spans="1:10" x14ac:dyDescent="0.2">
      <c r="A1184" t="s">
        <v>4621</v>
      </c>
      <c r="E1184" t="str">
        <f>HYPERLINK("http://nlpdeep.cs.uic.edu:8080/proofing/t5/37337-family-history-0-0.pdf","t5/37337-family-history-0-0.pdf")</f>
        <v>t5/37337-family-history-0-0.pdf</v>
      </c>
      <c r="F1184">
        <v>110002</v>
      </c>
      <c r="G1184">
        <v>37337</v>
      </c>
      <c r="H1184" t="s">
        <v>745</v>
      </c>
      <c r="I1184" t="s">
        <v>107</v>
      </c>
      <c r="J1184" t="s">
        <v>4622</v>
      </c>
    </row>
    <row r="1185" spans="1:10" x14ac:dyDescent="0.2">
      <c r="A1185" t="s">
        <v>4621</v>
      </c>
      <c r="E1185" t="str">
        <f>HYPERLINK("http://nlpdeep.cs.uic.edu:8080/proofing/gsii/37337-family-history-0-0.pdf","gsii/37337-family-history-0-0.pdf")</f>
        <v>gsii/37337-family-history-0-0.pdf</v>
      </c>
      <c r="F1185">
        <v>110002</v>
      </c>
      <c r="G1185">
        <v>37337</v>
      </c>
      <c r="H1185" t="s">
        <v>745</v>
      </c>
      <c r="I1185" t="s">
        <v>107</v>
      </c>
      <c r="J1185" t="s">
        <v>4622</v>
      </c>
    </row>
    <row r="1186" spans="1:10" x14ac:dyDescent="0.2">
      <c r="A1186" t="s">
        <v>4623</v>
      </c>
      <c r="E1186" t="str">
        <f>HYPERLINK("http://nlpdeep.cs.uic.edu:8080/proofing/t5/37337-family-history-0-1.pdf","t5/37337-family-history-0-1.pdf")</f>
        <v>t5/37337-family-history-0-1.pdf</v>
      </c>
      <c r="F1186">
        <v>110002</v>
      </c>
      <c r="G1186">
        <v>37337</v>
      </c>
      <c r="H1186" t="s">
        <v>745</v>
      </c>
      <c r="I1186" t="s">
        <v>107</v>
      </c>
      <c r="J1186" t="s">
        <v>4624</v>
      </c>
    </row>
    <row r="1187" spans="1:10" x14ac:dyDescent="0.2">
      <c r="A1187" t="s">
        <v>4623</v>
      </c>
      <c r="E1187" t="str">
        <f>HYPERLINK("http://nlpdeep.cs.uic.edu:8080/proofing/gsii/37337-family-history-0-1.pdf","gsii/37337-family-history-0-1.pdf")</f>
        <v>gsii/37337-family-history-0-1.pdf</v>
      </c>
      <c r="F1187">
        <v>110002</v>
      </c>
      <c r="G1187">
        <v>37337</v>
      </c>
      <c r="H1187" t="s">
        <v>745</v>
      </c>
      <c r="I1187" t="s">
        <v>107</v>
      </c>
      <c r="J1187" t="s">
        <v>4624</v>
      </c>
    </row>
    <row r="1188" spans="1:10" x14ac:dyDescent="0.2">
      <c r="A1188" t="s">
        <v>4625</v>
      </c>
      <c r="E1188" t="str">
        <f>HYPERLINK("http://nlpdeep.cs.uic.edu:8080/proofing/t5/37337-family-history-0-2.pdf","t5/37337-family-history-0-2.pdf")</f>
        <v>t5/37337-family-history-0-2.pdf</v>
      </c>
      <c r="F1188">
        <v>110002</v>
      </c>
      <c r="G1188">
        <v>37337</v>
      </c>
      <c r="H1188" t="s">
        <v>745</v>
      </c>
      <c r="I1188" t="s">
        <v>107</v>
      </c>
      <c r="J1188" t="s">
        <v>4626</v>
      </c>
    </row>
    <row r="1189" spans="1:10" x14ac:dyDescent="0.2">
      <c r="A1189" t="s">
        <v>4625</v>
      </c>
      <c r="E1189" t="str">
        <f>HYPERLINK("http://nlpdeep.cs.uic.edu:8080/proofing/gsii/37337-family-history-0-2.pdf","gsii/37337-family-history-0-2.pdf")</f>
        <v>gsii/37337-family-history-0-2.pdf</v>
      </c>
      <c r="F1189">
        <v>110002</v>
      </c>
      <c r="G1189">
        <v>37337</v>
      </c>
      <c r="H1189" t="s">
        <v>745</v>
      </c>
      <c r="I1189" t="s">
        <v>107</v>
      </c>
      <c r="J1189" t="s">
        <v>4626</v>
      </c>
    </row>
    <row r="1190" spans="1:10" x14ac:dyDescent="0.2">
      <c r="A1190" t="s">
        <v>4627</v>
      </c>
      <c r="E1190" t="str">
        <f>HYPERLINK("http://nlpdeep.cs.uic.edu:8080/proofing/t5/37337-family-history-0-3.pdf","t5/37337-family-history-0-3.pdf")</f>
        <v>t5/37337-family-history-0-3.pdf</v>
      </c>
      <c r="F1190">
        <v>110002</v>
      </c>
      <c r="G1190">
        <v>37337</v>
      </c>
      <c r="H1190" t="s">
        <v>745</v>
      </c>
      <c r="I1190" t="s">
        <v>107</v>
      </c>
      <c r="J1190" t="s">
        <v>4628</v>
      </c>
    </row>
    <row r="1191" spans="1:10" x14ac:dyDescent="0.2">
      <c r="A1191" t="s">
        <v>4627</v>
      </c>
      <c r="E1191" t="str">
        <f>HYPERLINK("http://nlpdeep.cs.uic.edu:8080/proofing/gsii/37337-family-history-0-3.pdf","gsii/37337-family-history-0-3.pdf")</f>
        <v>gsii/37337-family-history-0-3.pdf</v>
      </c>
      <c r="F1191">
        <v>110002</v>
      </c>
      <c r="G1191">
        <v>37337</v>
      </c>
      <c r="H1191" t="s">
        <v>745</v>
      </c>
      <c r="I1191" t="s">
        <v>107</v>
      </c>
      <c r="J1191" t="s">
        <v>4628</v>
      </c>
    </row>
    <row r="1192" spans="1:10" x14ac:dyDescent="0.2">
      <c r="A1192" t="s">
        <v>4629</v>
      </c>
      <c r="E1192" t="str">
        <f>HYPERLINK("http://nlpdeep.cs.uic.edu:8080/proofing/t5/37337-physical-examination-0-0.pdf","t5/37337-physical-examination-0-0.pdf")</f>
        <v>t5/37337-physical-examination-0-0.pdf</v>
      </c>
      <c r="F1192">
        <v>110002</v>
      </c>
      <c r="G1192">
        <v>37337</v>
      </c>
      <c r="H1192" t="s">
        <v>745</v>
      </c>
      <c r="I1192" t="s">
        <v>138</v>
      </c>
      <c r="J1192" t="s">
        <v>4630</v>
      </c>
    </row>
    <row r="1193" spans="1:10" x14ac:dyDescent="0.2">
      <c r="A1193" t="s">
        <v>4629</v>
      </c>
      <c r="E1193" t="str">
        <f>HYPERLINK("http://nlpdeep.cs.uic.edu:8080/proofing/gsii/37337-physical-examination-0-0.pdf","gsii/37337-physical-examination-0-0.pdf")</f>
        <v>gsii/37337-physical-examination-0-0.pdf</v>
      </c>
      <c r="F1193">
        <v>110002</v>
      </c>
      <c r="G1193">
        <v>37337</v>
      </c>
      <c r="H1193" t="s">
        <v>745</v>
      </c>
      <c r="I1193" t="s">
        <v>138</v>
      </c>
      <c r="J1193" t="s">
        <v>4630</v>
      </c>
    </row>
    <row r="1194" spans="1:10" x14ac:dyDescent="0.2">
      <c r="A1194" t="s">
        <v>4631</v>
      </c>
      <c r="E1194" t="str">
        <f>HYPERLINK("http://nlpdeep.cs.uic.edu:8080/proofing/t5/37337-physical-examination-0-1.pdf","t5/37337-physical-examination-0-1.pdf")</f>
        <v>t5/37337-physical-examination-0-1.pdf</v>
      </c>
      <c r="F1194">
        <v>110002</v>
      </c>
      <c r="G1194">
        <v>37337</v>
      </c>
      <c r="H1194" t="s">
        <v>745</v>
      </c>
      <c r="I1194" t="s">
        <v>138</v>
      </c>
      <c r="J1194" t="s">
        <v>4632</v>
      </c>
    </row>
    <row r="1195" spans="1:10" x14ac:dyDescent="0.2">
      <c r="A1195" t="s">
        <v>4631</v>
      </c>
      <c r="E1195" t="str">
        <f>HYPERLINK("http://nlpdeep.cs.uic.edu:8080/proofing/gsii/37337-physical-examination-0-1.pdf","gsii/37337-physical-examination-0-1.pdf")</f>
        <v>gsii/37337-physical-examination-0-1.pdf</v>
      </c>
      <c r="F1195">
        <v>110002</v>
      </c>
      <c r="G1195">
        <v>37337</v>
      </c>
      <c r="H1195" t="s">
        <v>745</v>
      </c>
      <c r="I1195" t="s">
        <v>138</v>
      </c>
      <c r="J1195" t="s">
        <v>4632</v>
      </c>
    </row>
    <row r="1196" spans="1:10" x14ac:dyDescent="0.2">
      <c r="A1196" t="s">
        <v>4633</v>
      </c>
      <c r="E1196" t="str">
        <f>HYPERLINK("http://nlpdeep.cs.uic.edu:8080/proofing/t5/37337-labs-imaging-0-0.pdf","t5/37337-labs-imaging-0-0.pdf")</f>
        <v>t5/37337-labs-imaging-0-0.pdf</v>
      </c>
      <c r="F1196">
        <v>110002</v>
      </c>
      <c r="G1196">
        <v>37337</v>
      </c>
      <c r="H1196" t="s">
        <v>745</v>
      </c>
      <c r="I1196" t="s">
        <v>147</v>
      </c>
      <c r="J1196" t="s">
        <v>4634</v>
      </c>
    </row>
    <row r="1197" spans="1:10" x14ac:dyDescent="0.2">
      <c r="A1197" t="s">
        <v>4633</v>
      </c>
      <c r="E1197" t="str">
        <f>HYPERLINK("http://nlpdeep.cs.uic.edu:8080/proofing/gsii/37337-labs-imaging-0-0.pdf","gsii/37337-labs-imaging-0-0.pdf")</f>
        <v>gsii/37337-labs-imaging-0-0.pdf</v>
      </c>
      <c r="F1197">
        <v>110002</v>
      </c>
      <c r="G1197">
        <v>37337</v>
      </c>
      <c r="H1197" t="s">
        <v>745</v>
      </c>
      <c r="I1197" t="s">
        <v>147</v>
      </c>
      <c r="J1197" t="s">
        <v>4634</v>
      </c>
    </row>
    <row r="1198" spans="1:10" x14ac:dyDescent="0.2">
      <c r="A1198" t="s">
        <v>4635</v>
      </c>
      <c r="E1198" t="str">
        <f>HYPERLINK("http://nlpdeep.cs.uic.edu:8080/proofing/t5/37337-labs-imaging-1-0.pdf","t5/37337-labs-imaging-1-0.pdf")</f>
        <v>t5/37337-labs-imaging-1-0.pdf</v>
      </c>
      <c r="F1198">
        <v>110002</v>
      </c>
      <c r="G1198">
        <v>37337</v>
      </c>
      <c r="H1198" t="s">
        <v>745</v>
      </c>
      <c r="I1198" t="s">
        <v>147</v>
      </c>
      <c r="J1198" t="s">
        <v>4636</v>
      </c>
    </row>
    <row r="1199" spans="1:10" x14ac:dyDescent="0.2">
      <c r="A1199" t="s">
        <v>4635</v>
      </c>
      <c r="E1199" t="str">
        <f>HYPERLINK("http://nlpdeep.cs.uic.edu:8080/proofing/gsii/37337-labs-imaging-1-0.pdf","gsii/37337-labs-imaging-1-0.pdf")</f>
        <v>gsii/37337-labs-imaging-1-0.pdf</v>
      </c>
      <c r="F1199">
        <v>110002</v>
      </c>
      <c r="G1199">
        <v>37337</v>
      </c>
      <c r="H1199" t="s">
        <v>745</v>
      </c>
      <c r="I1199" t="s">
        <v>147</v>
      </c>
      <c r="J1199" t="s">
        <v>4636</v>
      </c>
    </row>
    <row r="1200" spans="1:10" x14ac:dyDescent="0.2">
      <c r="A1200" t="s">
        <v>4637</v>
      </c>
      <c r="E1200" t="str">
        <f>HYPERLINK("http://nlpdeep.cs.uic.edu:8080/proofing/t5/37337-labs-imaging-2-0.pdf","t5/37337-labs-imaging-2-0.pdf")</f>
        <v>t5/37337-labs-imaging-2-0.pdf</v>
      </c>
      <c r="F1200">
        <v>110002</v>
      </c>
      <c r="G1200">
        <v>37337</v>
      </c>
      <c r="H1200" t="s">
        <v>745</v>
      </c>
      <c r="I1200" t="s">
        <v>147</v>
      </c>
      <c r="J1200" t="s">
        <v>4638</v>
      </c>
    </row>
    <row r="1201" spans="1:10" x14ac:dyDescent="0.2">
      <c r="A1201" t="s">
        <v>4637</v>
      </c>
      <c r="E1201" t="str">
        <f>HYPERLINK("http://nlpdeep.cs.uic.edu:8080/proofing/gsii/37337-labs-imaging-2-0.pdf","gsii/37337-labs-imaging-2-0.pdf")</f>
        <v>gsii/37337-labs-imaging-2-0.pdf</v>
      </c>
      <c r="F1201">
        <v>110002</v>
      </c>
      <c r="G1201">
        <v>37337</v>
      </c>
      <c r="H1201" t="s">
        <v>745</v>
      </c>
      <c r="I1201" t="s">
        <v>147</v>
      </c>
      <c r="J1201" t="s">
        <v>4638</v>
      </c>
    </row>
    <row r="1202" spans="1:10" x14ac:dyDescent="0.2">
      <c r="A1202" t="s">
        <v>4639</v>
      </c>
      <c r="E1202" t="str">
        <f>HYPERLINK("http://nlpdeep.cs.uic.edu:8080/proofing/t5/37337-labs-imaging-3-0.pdf","t5/37337-labs-imaging-3-0.pdf")</f>
        <v>t5/37337-labs-imaging-3-0.pdf</v>
      </c>
      <c r="F1202">
        <v>110002</v>
      </c>
      <c r="G1202">
        <v>37337</v>
      </c>
      <c r="H1202" t="s">
        <v>745</v>
      </c>
      <c r="I1202" t="s">
        <v>147</v>
      </c>
      <c r="J1202" t="s">
        <v>4640</v>
      </c>
    </row>
    <row r="1203" spans="1:10" x14ac:dyDescent="0.2">
      <c r="A1203" t="s">
        <v>4639</v>
      </c>
      <c r="E1203" t="str">
        <f>HYPERLINK("http://nlpdeep.cs.uic.edu:8080/proofing/gsii/37337-labs-imaging-3-0.pdf","gsii/37337-labs-imaging-3-0.pdf")</f>
        <v>gsii/37337-labs-imaging-3-0.pdf</v>
      </c>
      <c r="F1203">
        <v>110002</v>
      </c>
      <c r="G1203">
        <v>37337</v>
      </c>
      <c r="H1203" t="s">
        <v>745</v>
      </c>
      <c r="I1203" t="s">
        <v>147</v>
      </c>
      <c r="J1203" t="s">
        <v>4640</v>
      </c>
    </row>
    <row r="1204" spans="1:10" x14ac:dyDescent="0.2">
      <c r="A1204" t="s">
        <v>4641</v>
      </c>
      <c r="E1204" t="str">
        <f>HYPERLINK("http://nlpdeep.cs.uic.edu:8080/proofing/t5/37337-labs-imaging-3-1.pdf","t5/37337-labs-imaging-3-1.pdf")</f>
        <v>t5/37337-labs-imaging-3-1.pdf</v>
      </c>
      <c r="F1204">
        <v>110002</v>
      </c>
      <c r="G1204">
        <v>37337</v>
      </c>
      <c r="H1204" t="s">
        <v>745</v>
      </c>
      <c r="I1204" t="s">
        <v>147</v>
      </c>
      <c r="J1204" t="s">
        <v>4642</v>
      </c>
    </row>
    <row r="1205" spans="1:10" x14ac:dyDescent="0.2">
      <c r="A1205" t="s">
        <v>4641</v>
      </c>
      <c r="E1205" t="str">
        <f>HYPERLINK("http://nlpdeep.cs.uic.edu:8080/proofing/gsii/37337-labs-imaging-3-1.pdf","gsii/37337-labs-imaging-3-1.pdf")</f>
        <v>gsii/37337-labs-imaging-3-1.pdf</v>
      </c>
      <c r="F1205">
        <v>110002</v>
      </c>
      <c r="G1205">
        <v>37337</v>
      </c>
      <c r="H1205" t="s">
        <v>745</v>
      </c>
      <c r="I1205" t="s">
        <v>147</v>
      </c>
      <c r="J1205" t="s">
        <v>4642</v>
      </c>
    </row>
    <row r="1206" spans="1:10" x14ac:dyDescent="0.2">
      <c r="A1206" t="s">
        <v>4643</v>
      </c>
      <c r="E1206" t="str">
        <f>HYPERLINK("http://nlpdeep.cs.uic.edu:8080/proofing/t5/37337-labs-imaging-3-2.pdf","t5/37337-labs-imaging-3-2.pdf")</f>
        <v>t5/37337-labs-imaging-3-2.pdf</v>
      </c>
      <c r="F1206">
        <v>110002</v>
      </c>
      <c r="G1206">
        <v>37337</v>
      </c>
      <c r="H1206" t="s">
        <v>745</v>
      </c>
      <c r="I1206" t="s">
        <v>147</v>
      </c>
      <c r="J1206" t="s">
        <v>4644</v>
      </c>
    </row>
    <row r="1207" spans="1:10" x14ac:dyDescent="0.2">
      <c r="A1207" t="s">
        <v>4643</v>
      </c>
      <c r="E1207" t="str">
        <f>HYPERLINK("http://nlpdeep.cs.uic.edu:8080/proofing/gsii/37337-labs-imaging-3-2.pdf","gsii/37337-labs-imaging-3-2.pdf")</f>
        <v>gsii/37337-labs-imaging-3-2.pdf</v>
      </c>
      <c r="F1207">
        <v>110002</v>
      </c>
      <c r="G1207">
        <v>37337</v>
      </c>
      <c r="H1207" t="s">
        <v>745</v>
      </c>
      <c r="I1207" t="s">
        <v>147</v>
      </c>
      <c r="J1207" t="s">
        <v>4644</v>
      </c>
    </row>
    <row r="1208" spans="1:10" x14ac:dyDescent="0.2">
      <c r="A1208" t="s">
        <v>4645</v>
      </c>
      <c r="E1208" t="str">
        <f>HYPERLINK("http://nlpdeep.cs.uic.edu:8080/proofing/t5/37337-labs-imaging-3-3.pdf","t5/37337-labs-imaging-3-3.pdf")</f>
        <v>t5/37337-labs-imaging-3-3.pdf</v>
      </c>
      <c r="F1208">
        <v>110002</v>
      </c>
      <c r="G1208">
        <v>37337</v>
      </c>
      <c r="H1208" t="s">
        <v>745</v>
      </c>
      <c r="I1208" t="s">
        <v>147</v>
      </c>
      <c r="J1208" t="s">
        <v>4646</v>
      </c>
    </row>
    <row r="1209" spans="1:10" x14ac:dyDescent="0.2">
      <c r="A1209" t="s">
        <v>4645</v>
      </c>
      <c r="E1209" t="str">
        <f>HYPERLINK("http://nlpdeep.cs.uic.edu:8080/proofing/gsii/37337-labs-imaging-3-3.pdf","gsii/37337-labs-imaging-3-3.pdf")</f>
        <v>gsii/37337-labs-imaging-3-3.pdf</v>
      </c>
      <c r="F1209">
        <v>110002</v>
      </c>
      <c r="G1209">
        <v>37337</v>
      </c>
      <c r="H1209" t="s">
        <v>745</v>
      </c>
      <c r="I1209" t="s">
        <v>147</v>
      </c>
      <c r="J1209" t="s">
        <v>4646</v>
      </c>
    </row>
    <row r="1210" spans="1:10" x14ac:dyDescent="0.2">
      <c r="A1210" t="s">
        <v>4647</v>
      </c>
      <c r="E1210" t="str">
        <f>HYPERLINK("http://nlpdeep.cs.uic.edu:8080/proofing/t5/37337-labs-imaging-3-4.pdf","t5/37337-labs-imaging-3-4.pdf")</f>
        <v>t5/37337-labs-imaging-3-4.pdf</v>
      </c>
      <c r="F1210">
        <v>110002</v>
      </c>
      <c r="G1210">
        <v>37337</v>
      </c>
      <c r="H1210" t="s">
        <v>745</v>
      </c>
      <c r="I1210" t="s">
        <v>147</v>
      </c>
      <c r="J1210" t="s">
        <v>4648</v>
      </c>
    </row>
    <row r="1211" spans="1:10" x14ac:dyDescent="0.2">
      <c r="A1211" t="s">
        <v>4647</v>
      </c>
      <c r="E1211" t="str">
        <f>HYPERLINK("http://nlpdeep.cs.uic.edu:8080/proofing/gsii/37337-labs-imaging-3-4.pdf","gsii/37337-labs-imaging-3-4.pdf")</f>
        <v>gsii/37337-labs-imaging-3-4.pdf</v>
      </c>
      <c r="F1211">
        <v>110002</v>
      </c>
      <c r="G1211">
        <v>37337</v>
      </c>
      <c r="H1211" t="s">
        <v>745</v>
      </c>
      <c r="I1211" t="s">
        <v>147</v>
      </c>
      <c r="J1211" t="s">
        <v>4648</v>
      </c>
    </row>
    <row r="1212" spans="1:10" x14ac:dyDescent="0.2">
      <c r="A1212" t="s">
        <v>4649</v>
      </c>
      <c r="E1212" t="str">
        <f>HYPERLINK("http://nlpdeep.cs.uic.edu:8080/proofing/t5/37337-labs-imaging-4-0.pdf","t5/37337-labs-imaging-4-0.pdf")</f>
        <v>t5/37337-labs-imaging-4-0.pdf</v>
      </c>
      <c r="F1212">
        <v>110002</v>
      </c>
      <c r="G1212">
        <v>37337</v>
      </c>
      <c r="H1212" t="s">
        <v>745</v>
      </c>
      <c r="I1212" t="s">
        <v>147</v>
      </c>
      <c r="J1212" t="s">
        <v>4650</v>
      </c>
    </row>
    <row r="1213" spans="1:10" x14ac:dyDescent="0.2">
      <c r="A1213" t="s">
        <v>4649</v>
      </c>
      <c r="E1213" t="str">
        <f>HYPERLINK("http://nlpdeep.cs.uic.edu:8080/proofing/gsii/37337-labs-imaging-4-0.pdf","gsii/37337-labs-imaging-4-0.pdf")</f>
        <v>gsii/37337-labs-imaging-4-0.pdf</v>
      </c>
      <c r="F1213">
        <v>110002</v>
      </c>
      <c r="G1213">
        <v>37337</v>
      </c>
      <c r="H1213" t="s">
        <v>745</v>
      </c>
      <c r="I1213" t="s">
        <v>147</v>
      </c>
      <c r="J1213" t="s">
        <v>4650</v>
      </c>
    </row>
    <row r="1214" spans="1:10" x14ac:dyDescent="0.2">
      <c r="A1214" t="s">
        <v>4651</v>
      </c>
      <c r="E1214" t="str">
        <f>HYPERLINK("http://nlpdeep.cs.uic.edu:8080/proofing/t5/37337-labs-imaging-4-1.pdf","t5/37337-labs-imaging-4-1.pdf")</f>
        <v>t5/37337-labs-imaging-4-1.pdf</v>
      </c>
      <c r="F1214">
        <v>110002</v>
      </c>
      <c r="G1214">
        <v>37337</v>
      </c>
      <c r="H1214" t="s">
        <v>745</v>
      </c>
      <c r="I1214" t="s">
        <v>147</v>
      </c>
      <c r="J1214" t="s">
        <v>4652</v>
      </c>
    </row>
    <row r="1215" spans="1:10" x14ac:dyDescent="0.2">
      <c r="A1215" t="s">
        <v>4651</v>
      </c>
      <c r="E1215" t="str">
        <f>HYPERLINK("http://nlpdeep.cs.uic.edu:8080/proofing/gsii/37337-labs-imaging-4-1.pdf","gsii/37337-labs-imaging-4-1.pdf")</f>
        <v>gsii/37337-labs-imaging-4-1.pdf</v>
      </c>
      <c r="F1215">
        <v>110002</v>
      </c>
      <c r="G1215">
        <v>37337</v>
      </c>
      <c r="H1215" t="s">
        <v>745</v>
      </c>
      <c r="I1215" t="s">
        <v>147</v>
      </c>
      <c r="J1215" t="s">
        <v>4652</v>
      </c>
    </row>
    <row r="1216" spans="1:10" x14ac:dyDescent="0.2">
      <c r="A1216" t="s">
        <v>4653</v>
      </c>
      <c r="E1216" t="str">
        <f>HYPERLINK("http://nlpdeep.cs.uic.edu:8080/proofing/t5/37337-labs-imaging-5-0.pdf","t5/37337-labs-imaging-5-0.pdf")</f>
        <v>t5/37337-labs-imaging-5-0.pdf</v>
      </c>
      <c r="F1216">
        <v>110002</v>
      </c>
      <c r="G1216">
        <v>37337</v>
      </c>
      <c r="H1216" t="s">
        <v>745</v>
      </c>
      <c r="I1216" t="s">
        <v>147</v>
      </c>
      <c r="J1216" t="s">
        <v>4654</v>
      </c>
    </row>
    <row r="1217" spans="1:10" x14ac:dyDescent="0.2">
      <c r="A1217" t="s">
        <v>4653</v>
      </c>
      <c r="E1217" t="str">
        <f>HYPERLINK("http://nlpdeep.cs.uic.edu:8080/proofing/gsii/37337-labs-imaging-5-0.pdf","gsii/37337-labs-imaging-5-0.pdf")</f>
        <v>gsii/37337-labs-imaging-5-0.pdf</v>
      </c>
      <c r="F1217">
        <v>110002</v>
      </c>
      <c r="G1217">
        <v>37337</v>
      </c>
      <c r="H1217" t="s">
        <v>745</v>
      </c>
      <c r="I1217" t="s">
        <v>147</v>
      </c>
      <c r="J1217" t="s">
        <v>4654</v>
      </c>
    </row>
    <row r="1218" spans="1:10" x14ac:dyDescent="0.2">
      <c r="A1218" t="s">
        <v>4655</v>
      </c>
      <c r="E1218" t="str">
        <f>HYPERLINK("http://nlpdeep.cs.uic.edu:8080/proofing/t5/37337-labs-imaging-5-1.pdf","t5/37337-labs-imaging-5-1.pdf")</f>
        <v>t5/37337-labs-imaging-5-1.pdf</v>
      </c>
      <c r="F1218">
        <v>110002</v>
      </c>
      <c r="G1218">
        <v>37337</v>
      </c>
      <c r="H1218" t="s">
        <v>745</v>
      </c>
      <c r="I1218" t="s">
        <v>147</v>
      </c>
      <c r="J1218" t="s">
        <v>4656</v>
      </c>
    </row>
    <row r="1219" spans="1:10" x14ac:dyDescent="0.2">
      <c r="A1219" t="s">
        <v>4655</v>
      </c>
      <c r="E1219" t="str">
        <f>HYPERLINK("http://nlpdeep.cs.uic.edu:8080/proofing/gsii/37337-labs-imaging-5-1.pdf","gsii/37337-labs-imaging-5-1.pdf")</f>
        <v>gsii/37337-labs-imaging-5-1.pdf</v>
      </c>
      <c r="F1219">
        <v>110002</v>
      </c>
      <c r="G1219">
        <v>37337</v>
      </c>
      <c r="H1219" t="s">
        <v>745</v>
      </c>
      <c r="I1219" t="s">
        <v>147</v>
      </c>
      <c r="J1219" t="s">
        <v>4656</v>
      </c>
    </row>
    <row r="1220" spans="1:10" x14ac:dyDescent="0.2">
      <c r="A1220" t="s">
        <v>4657</v>
      </c>
      <c r="E1220" t="str">
        <f>HYPERLINK("http://nlpdeep.cs.uic.edu:8080/proofing/t5/37337-labs-imaging-5-2.pdf","t5/37337-labs-imaging-5-2.pdf")</f>
        <v>t5/37337-labs-imaging-5-2.pdf</v>
      </c>
      <c r="F1220">
        <v>110002</v>
      </c>
      <c r="G1220">
        <v>37337</v>
      </c>
      <c r="H1220" t="s">
        <v>745</v>
      </c>
      <c r="I1220" t="s">
        <v>147</v>
      </c>
      <c r="J1220" t="s">
        <v>4658</v>
      </c>
    </row>
    <row r="1221" spans="1:10" x14ac:dyDescent="0.2">
      <c r="A1221" t="s">
        <v>4657</v>
      </c>
      <c r="E1221" t="str">
        <f>HYPERLINK("http://nlpdeep.cs.uic.edu:8080/proofing/gsii/37337-labs-imaging-5-2.pdf","gsii/37337-labs-imaging-5-2.pdf")</f>
        <v>gsii/37337-labs-imaging-5-2.pdf</v>
      </c>
      <c r="F1221">
        <v>110002</v>
      </c>
      <c r="G1221">
        <v>37337</v>
      </c>
      <c r="H1221" t="s">
        <v>745</v>
      </c>
      <c r="I1221" t="s">
        <v>147</v>
      </c>
      <c r="J1221" t="s">
        <v>4658</v>
      </c>
    </row>
    <row r="1222" spans="1:10" x14ac:dyDescent="0.2">
      <c r="A1222" t="s">
        <v>4659</v>
      </c>
      <c r="E1222" t="str">
        <f>HYPERLINK("http://nlpdeep.cs.uic.edu:8080/proofing/t5/37337-labs-imaging-5-3.pdf","t5/37337-labs-imaging-5-3.pdf")</f>
        <v>t5/37337-labs-imaging-5-3.pdf</v>
      </c>
      <c r="F1222">
        <v>110002</v>
      </c>
      <c r="G1222">
        <v>37337</v>
      </c>
      <c r="H1222" t="s">
        <v>745</v>
      </c>
      <c r="I1222" t="s">
        <v>147</v>
      </c>
      <c r="J1222" t="s">
        <v>4660</v>
      </c>
    </row>
    <row r="1223" spans="1:10" x14ac:dyDescent="0.2">
      <c r="A1223" t="s">
        <v>4659</v>
      </c>
      <c r="E1223" t="str">
        <f>HYPERLINK("http://nlpdeep.cs.uic.edu:8080/proofing/gsii/37337-labs-imaging-5-3.pdf","gsii/37337-labs-imaging-5-3.pdf")</f>
        <v>gsii/37337-labs-imaging-5-3.pdf</v>
      </c>
      <c r="F1223">
        <v>110002</v>
      </c>
      <c r="G1223">
        <v>37337</v>
      </c>
      <c r="H1223" t="s">
        <v>745</v>
      </c>
      <c r="I1223" t="s">
        <v>147</v>
      </c>
      <c r="J1223" t="s">
        <v>4660</v>
      </c>
    </row>
    <row r="1224" spans="1:10" x14ac:dyDescent="0.2">
      <c r="A1224" t="s">
        <v>4661</v>
      </c>
      <c r="E1224" t="str">
        <f>HYPERLINK("http://nlpdeep.cs.uic.edu:8080/proofing/t5/37337-labs-imaging-6-0.pdf","t5/37337-labs-imaging-6-0.pdf")</f>
        <v>t5/37337-labs-imaging-6-0.pdf</v>
      </c>
      <c r="F1224">
        <v>110002</v>
      </c>
      <c r="G1224">
        <v>37337</v>
      </c>
      <c r="H1224" t="s">
        <v>745</v>
      </c>
      <c r="I1224" t="s">
        <v>147</v>
      </c>
      <c r="J1224" t="s">
        <v>4662</v>
      </c>
    </row>
    <row r="1225" spans="1:10" x14ac:dyDescent="0.2">
      <c r="A1225" t="s">
        <v>4661</v>
      </c>
      <c r="E1225" t="str">
        <f>HYPERLINK("http://nlpdeep.cs.uic.edu:8080/proofing/gsii/37337-labs-imaging-6-0.pdf","gsii/37337-labs-imaging-6-0.pdf")</f>
        <v>gsii/37337-labs-imaging-6-0.pdf</v>
      </c>
      <c r="F1225">
        <v>110002</v>
      </c>
      <c r="G1225">
        <v>37337</v>
      </c>
      <c r="H1225" t="s">
        <v>745</v>
      </c>
      <c r="I1225" t="s">
        <v>147</v>
      </c>
      <c r="J1225" t="s">
        <v>4662</v>
      </c>
    </row>
    <row r="1226" spans="1:10" x14ac:dyDescent="0.2">
      <c r="A1226" t="s">
        <v>4663</v>
      </c>
      <c r="E1226" t="str">
        <f>HYPERLINK("http://nlpdeep.cs.uic.edu:8080/proofing/t5/37337-labs-imaging-7-0.pdf","t5/37337-labs-imaging-7-0.pdf")</f>
        <v>t5/37337-labs-imaging-7-0.pdf</v>
      </c>
      <c r="F1226">
        <v>110002</v>
      </c>
      <c r="G1226">
        <v>37337</v>
      </c>
      <c r="H1226" t="s">
        <v>745</v>
      </c>
      <c r="I1226" t="s">
        <v>147</v>
      </c>
      <c r="J1226" t="s">
        <v>4664</v>
      </c>
    </row>
    <row r="1227" spans="1:10" x14ac:dyDescent="0.2">
      <c r="A1227" t="s">
        <v>4663</v>
      </c>
      <c r="E1227" t="str">
        <f>HYPERLINK("http://nlpdeep.cs.uic.edu:8080/proofing/gsii/37337-labs-imaging-7-0.pdf","gsii/37337-labs-imaging-7-0.pdf")</f>
        <v>gsii/37337-labs-imaging-7-0.pdf</v>
      </c>
      <c r="F1227">
        <v>110002</v>
      </c>
      <c r="G1227">
        <v>37337</v>
      </c>
      <c r="H1227" t="s">
        <v>745</v>
      </c>
      <c r="I1227" t="s">
        <v>147</v>
      </c>
      <c r="J1227" t="s">
        <v>4664</v>
      </c>
    </row>
    <row r="1228" spans="1:10" x14ac:dyDescent="0.2">
      <c r="A1228" t="s">
        <v>4665</v>
      </c>
      <c r="E1228" t="str">
        <f>HYPERLINK("http://nlpdeep.cs.uic.edu:8080/proofing/t5/37337-labs-imaging-7-1.pdf","t5/37337-labs-imaging-7-1.pdf")</f>
        <v>t5/37337-labs-imaging-7-1.pdf</v>
      </c>
      <c r="F1228">
        <v>110002</v>
      </c>
      <c r="G1228">
        <v>37337</v>
      </c>
      <c r="H1228" t="s">
        <v>745</v>
      </c>
      <c r="I1228" t="s">
        <v>147</v>
      </c>
      <c r="J1228" t="s">
        <v>4666</v>
      </c>
    </row>
    <row r="1229" spans="1:10" x14ac:dyDescent="0.2">
      <c r="A1229" t="s">
        <v>4665</v>
      </c>
      <c r="E1229" t="str">
        <f>HYPERLINK("http://nlpdeep.cs.uic.edu:8080/proofing/gsii/37337-labs-imaging-7-1.pdf","gsii/37337-labs-imaging-7-1.pdf")</f>
        <v>gsii/37337-labs-imaging-7-1.pdf</v>
      </c>
      <c r="F1229">
        <v>110002</v>
      </c>
      <c r="G1229">
        <v>37337</v>
      </c>
      <c r="H1229" t="s">
        <v>745</v>
      </c>
      <c r="I1229" t="s">
        <v>147</v>
      </c>
      <c r="J1229" t="s">
        <v>4666</v>
      </c>
    </row>
    <row r="1230" spans="1:10" x14ac:dyDescent="0.2">
      <c r="A1230" t="s">
        <v>4667</v>
      </c>
      <c r="E1230" t="str">
        <f>HYPERLINK("http://nlpdeep.cs.uic.edu:8080/proofing/t5/37337-labs-imaging-7-2.pdf","t5/37337-labs-imaging-7-2.pdf")</f>
        <v>t5/37337-labs-imaging-7-2.pdf</v>
      </c>
      <c r="F1230">
        <v>110002</v>
      </c>
      <c r="G1230">
        <v>37337</v>
      </c>
      <c r="H1230" t="s">
        <v>745</v>
      </c>
      <c r="I1230" t="s">
        <v>147</v>
      </c>
      <c r="J1230" t="s">
        <v>4668</v>
      </c>
    </row>
    <row r="1231" spans="1:10" x14ac:dyDescent="0.2">
      <c r="A1231" t="s">
        <v>4667</v>
      </c>
      <c r="E1231" t="str">
        <f>HYPERLINK("http://nlpdeep.cs.uic.edu:8080/proofing/gsii/37337-labs-imaging-7-2.pdf","gsii/37337-labs-imaging-7-2.pdf")</f>
        <v>gsii/37337-labs-imaging-7-2.pdf</v>
      </c>
      <c r="F1231">
        <v>110002</v>
      </c>
      <c r="G1231">
        <v>37337</v>
      </c>
      <c r="H1231" t="s">
        <v>745</v>
      </c>
      <c r="I1231" t="s">
        <v>147</v>
      </c>
      <c r="J1231" t="s">
        <v>4668</v>
      </c>
    </row>
    <row r="1232" spans="1:10" x14ac:dyDescent="0.2">
      <c r="A1232" t="s">
        <v>4669</v>
      </c>
      <c r="E1232" t="str">
        <f>HYPERLINK("http://nlpdeep.cs.uic.edu:8080/proofing/t5/37337-labs-imaging-7-3.pdf","t5/37337-labs-imaging-7-3.pdf")</f>
        <v>t5/37337-labs-imaging-7-3.pdf</v>
      </c>
      <c r="F1232">
        <v>110002</v>
      </c>
      <c r="G1232">
        <v>37337</v>
      </c>
      <c r="H1232" t="s">
        <v>745</v>
      </c>
      <c r="I1232" t="s">
        <v>147</v>
      </c>
      <c r="J1232" t="s">
        <v>4670</v>
      </c>
    </row>
    <row r="1233" spans="1:10" x14ac:dyDescent="0.2">
      <c r="A1233" t="s">
        <v>4669</v>
      </c>
      <c r="E1233" t="str">
        <f>HYPERLINK("http://nlpdeep.cs.uic.edu:8080/proofing/gsii/37337-labs-imaging-7-3.pdf","gsii/37337-labs-imaging-7-3.pdf")</f>
        <v>gsii/37337-labs-imaging-7-3.pdf</v>
      </c>
      <c r="F1233">
        <v>110002</v>
      </c>
      <c r="G1233">
        <v>37337</v>
      </c>
      <c r="H1233" t="s">
        <v>745</v>
      </c>
      <c r="I1233" t="s">
        <v>147</v>
      </c>
      <c r="J1233" t="s">
        <v>4670</v>
      </c>
    </row>
    <row r="1234" spans="1:10" x14ac:dyDescent="0.2">
      <c r="A1234" t="s">
        <v>4671</v>
      </c>
      <c r="E1234" t="str">
        <f>HYPERLINK("http://nlpdeep.cs.uic.edu:8080/proofing/t5/37337-labs-imaging-7-4.pdf","t5/37337-labs-imaging-7-4.pdf")</f>
        <v>t5/37337-labs-imaging-7-4.pdf</v>
      </c>
      <c r="F1234">
        <v>110002</v>
      </c>
      <c r="G1234">
        <v>37337</v>
      </c>
      <c r="H1234" t="s">
        <v>745</v>
      </c>
      <c r="I1234" t="s">
        <v>147</v>
      </c>
      <c r="J1234" t="s">
        <v>4672</v>
      </c>
    </row>
    <row r="1235" spans="1:10" x14ac:dyDescent="0.2">
      <c r="A1235" t="s">
        <v>4671</v>
      </c>
      <c r="E1235" t="str">
        <f>HYPERLINK("http://nlpdeep.cs.uic.edu:8080/proofing/gsii/37337-labs-imaging-7-4.pdf","gsii/37337-labs-imaging-7-4.pdf")</f>
        <v>gsii/37337-labs-imaging-7-4.pdf</v>
      </c>
      <c r="F1235">
        <v>110002</v>
      </c>
      <c r="G1235">
        <v>37337</v>
      </c>
      <c r="H1235" t="s">
        <v>745</v>
      </c>
      <c r="I1235" t="s">
        <v>147</v>
      </c>
      <c r="J1235" t="s">
        <v>4672</v>
      </c>
    </row>
    <row r="1236" spans="1:10" x14ac:dyDescent="0.2">
      <c r="A1236" t="s">
        <v>4673</v>
      </c>
      <c r="E1236" t="str">
        <f>HYPERLINK("http://nlpdeep.cs.uic.edu:8080/proofing/t5/37337-labs-imaging-8-0.pdf","t5/37337-labs-imaging-8-0.pdf")</f>
        <v>t5/37337-labs-imaging-8-0.pdf</v>
      </c>
      <c r="F1236">
        <v>110002</v>
      </c>
      <c r="G1236">
        <v>37337</v>
      </c>
      <c r="H1236" t="s">
        <v>745</v>
      </c>
      <c r="I1236" t="s">
        <v>147</v>
      </c>
      <c r="J1236" t="s">
        <v>4674</v>
      </c>
    </row>
    <row r="1237" spans="1:10" x14ac:dyDescent="0.2">
      <c r="A1237" t="s">
        <v>4673</v>
      </c>
      <c r="E1237" t="str">
        <f>HYPERLINK("http://nlpdeep.cs.uic.edu:8080/proofing/gsii/37337-labs-imaging-8-0.pdf","gsii/37337-labs-imaging-8-0.pdf")</f>
        <v>gsii/37337-labs-imaging-8-0.pdf</v>
      </c>
      <c r="F1237">
        <v>110002</v>
      </c>
      <c r="G1237">
        <v>37337</v>
      </c>
      <c r="H1237" t="s">
        <v>745</v>
      </c>
      <c r="I1237" t="s">
        <v>147</v>
      </c>
      <c r="J1237" t="s">
        <v>4674</v>
      </c>
    </row>
    <row r="1238" spans="1:10" x14ac:dyDescent="0.2">
      <c r="A1238" t="s">
        <v>4675</v>
      </c>
      <c r="E1238" t="str">
        <f>HYPERLINK("http://nlpdeep.cs.uic.edu:8080/proofing/t5/37337-labs-imaging-8-1.pdf","t5/37337-labs-imaging-8-1.pdf")</f>
        <v>t5/37337-labs-imaging-8-1.pdf</v>
      </c>
      <c r="F1238">
        <v>110002</v>
      </c>
      <c r="G1238">
        <v>37337</v>
      </c>
      <c r="H1238" t="s">
        <v>745</v>
      </c>
      <c r="I1238" t="s">
        <v>147</v>
      </c>
      <c r="J1238" t="s">
        <v>4676</v>
      </c>
    </row>
    <row r="1239" spans="1:10" x14ac:dyDescent="0.2">
      <c r="A1239" t="s">
        <v>4675</v>
      </c>
      <c r="E1239" t="str">
        <f>HYPERLINK("http://nlpdeep.cs.uic.edu:8080/proofing/gsii/37337-labs-imaging-8-1.pdf","gsii/37337-labs-imaging-8-1.pdf")</f>
        <v>gsii/37337-labs-imaging-8-1.pdf</v>
      </c>
      <c r="F1239">
        <v>110002</v>
      </c>
      <c r="G1239">
        <v>37337</v>
      </c>
      <c r="H1239" t="s">
        <v>745</v>
      </c>
      <c r="I1239" t="s">
        <v>147</v>
      </c>
      <c r="J1239" t="s">
        <v>4676</v>
      </c>
    </row>
    <row r="1240" spans="1:10" x14ac:dyDescent="0.2">
      <c r="A1240" t="s">
        <v>4677</v>
      </c>
      <c r="E1240" t="str">
        <f>HYPERLINK("http://nlpdeep.cs.uic.edu:8080/proofing/t5/37337-labs-imaging-8-2.pdf","t5/37337-labs-imaging-8-2.pdf")</f>
        <v>t5/37337-labs-imaging-8-2.pdf</v>
      </c>
      <c r="F1240">
        <v>110002</v>
      </c>
      <c r="G1240">
        <v>37337</v>
      </c>
      <c r="H1240" t="s">
        <v>745</v>
      </c>
      <c r="I1240" t="s">
        <v>147</v>
      </c>
      <c r="J1240" t="s">
        <v>4678</v>
      </c>
    </row>
    <row r="1241" spans="1:10" x14ac:dyDescent="0.2">
      <c r="A1241" t="s">
        <v>4677</v>
      </c>
      <c r="E1241" t="str">
        <f>HYPERLINK("http://nlpdeep.cs.uic.edu:8080/proofing/gsii/37337-labs-imaging-8-2.pdf","gsii/37337-labs-imaging-8-2.pdf")</f>
        <v>gsii/37337-labs-imaging-8-2.pdf</v>
      </c>
      <c r="F1241">
        <v>110002</v>
      </c>
      <c r="G1241">
        <v>37337</v>
      </c>
      <c r="H1241" t="s">
        <v>745</v>
      </c>
      <c r="I1241" t="s">
        <v>147</v>
      </c>
      <c r="J1241" t="s">
        <v>4678</v>
      </c>
    </row>
    <row r="1242" spans="1:10" x14ac:dyDescent="0.2">
      <c r="A1242" t="s">
        <v>4679</v>
      </c>
      <c r="E1242" t="str">
        <f>HYPERLINK("http://nlpdeep.cs.uic.edu:8080/proofing/t5/37337-labs-imaging-8-3.pdf","t5/37337-labs-imaging-8-3.pdf")</f>
        <v>t5/37337-labs-imaging-8-3.pdf</v>
      </c>
      <c r="F1242">
        <v>110002</v>
      </c>
      <c r="G1242">
        <v>37337</v>
      </c>
      <c r="H1242" t="s">
        <v>745</v>
      </c>
      <c r="I1242" t="s">
        <v>147</v>
      </c>
      <c r="J1242" t="s">
        <v>4680</v>
      </c>
    </row>
    <row r="1243" spans="1:10" x14ac:dyDescent="0.2">
      <c r="A1243" t="s">
        <v>4679</v>
      </c>
      <c r="E1243" t="str">
        <f>HYPERLINK("http://nlpdeep.cs.uic.edu:8080/proofing/gsii/37337-labs-imaging-8-3.pdf","gsii/37337-labs-imaging-8-3.pdf")</f>
        <v>gsii/37337-labs-imaging-8-3.pdf</v>
      </c>
      <c r="F1243">
        <v>110002</v>
      </c>
      <c r="G1243">
        <v>37337</v>
      </c>
      <c r="H1243" t="s">
        <v>745</v>
      </c>
      <c r="I1243" t="s">
        <v>147</v>
      </c>
      <c r="J1243" t="s">
        <v>4680</v>
      </c>
    </row>
    <row r="1244" spans="1:10" x14ac:dyDescent="0.2">
      <c r="A1244" t="s">
        <v>4681</v>
      </c>
      <c r="E1244" t="str">
        <f>HYPERLINK("http://nlpdeep.cs.uic.edu:8080/proofing/t5/37337-labs-imaging-8-4.pdf","t5/37337-labs-imaging-8-4.pdf")</f>
        <v>t5/37337-labs-imaging-8-4.pdf</v>
      </c>
      <c r="F1244">
        <v>110002</v>
      </c>
      <c r="G1244">
        <v>37337</v>
      </c>
      <c r="H1244" t="s">
        <v>745</v>
      </c>
      <c r="I1244" t="s">
        <v>147</v>
      </c>
      <c r="J1244" t="s">
        <v>4682</v>
      </c>
    </row>
    <row r="1245" spans="1:10" x14ac:dyDescent="0.2">
      <c r="A1245" t="s">
        <v>4681</v>
      </c>
      <c r="E1245" t="str">
        <f>HYPERLINK("http://nlpdeep.cs.uic.edu:8080/proofing/gsii/37337-labs-imaging-8-4.pdf","gsii/37337-labs-imaging-8-4.pdf")</f>
        <v>gsii/37337-labs-imaging-8-4.pdf</v>
      </c>
      <c r="F1245">
        <v>110002</v>
      </c>
      <c r="G1245">
        <v>37337</v>
      </c>
      <c r="H1245" t="s">
        <v>745</v>
      </c>
      <c r="I1245" t="s">
        <v>147</v>
      </c>
      <c r="J1245" t="s">
        <v>4682</v>
      </c>
    </row>
    <row r="1246" spans="1:10" x14ac:dyDescent="0.2">
      <c r="A1246" t="s">
        <v>4683</v>
      </c>
      <c r="E1246" t="str">
        <f>HYPERLINK("http://nlpdeep.cs.uic.edu:8080/proofing/t5/37337-labs-imaging-8-5.pdf","t5/37337-labs-imaging-8-5.pdf")</f>
        <v>t5/37337-labs-imaging-8-5.pdf</v>
      </c>
      <c r="F1246">
        <v>110002</v>
      </c>
      <c r="G1246">
        <v>37337</v>
      </c>
      <c r="H1246" t="s">
        <v>745</v>
      </c>
      <c r="I1246" t="s">
        <v>147</v>
      </c>
      <c r="J1246" t="s">
        <v>4684</v>
      </c>
    </row>
    <row r="1247" spans="1:10" x14ac:dyDescent="0.2">
      <c r="A1247" t="s">
        <v>4683</v>
      </c>
      <c r="E1247" t="str">
        <f>HYPERLINK("http://nlpdeep.cs.uic.edu:8080/proofing/gsii/37337-labs-imaging-8-5.pdf","gsii/37337-labs-imaging-8-5.pdf")</f>
        <v>gsii/37337-labs-imaging-8-5.pdf</v>
      </c>
      <c r="F1247">
        <v>110002</v>
      </c>
      <c r="G1247">
        <v>37337</v>
      </c>
      <c r="H1247" t="s">
        <v>745</v>
      </c>
      <c r="I1247" t="s">
        <v>147</v>
      </c>
      <c r="J1247" t="s">
        <v>4684</v>
      </c>
    </row>
    <row r="1248" spans="1:10" x14ac:dyDescent="0.2">
      <c r="A1248" t="s">
        <v>4685</v>
      </c>
      <c r="E1248" t="str">
        <f>HYPERLINK("http://nlpdeep.cs.uic.edu:8080/proofing/t5/37337-labs-imaging-8-6.pdf","t5/37337-labs-imaging-8-6.pdf")</f>
        <v>t5/37337-labs-imaging-8-6.pdf</v>
      </c>
      <c r="F1248">
        <v>110002</v>
      </c>
      <c r="G1248">
        <v>37337</v>
      </c>
      <c r="H1248" t="s">
        <v>745</v>
      </c>
      <c r="I1248" t="s">
        <v>147</v>
      </c>
      <c r="J1248" t="s">
        <v>4686</v>
      </c>
    </row>
    <row r="1249" spans="1:10" x14ac:dyDescent="0.2">
      <c r="A1249" t="s">
        <v>4685</v>
      </c>
      <c r="E1249" t="str">
        <f>HYPERLINK("http://nlpdeep.cs.uic.edu:8080/proofing/gsii/37337-labs-imaging-8-6.pdf","gsii/37337-labs-imaging-8-6.pdf")</f>
        <v>gsii/37337-labs-imaging-8-6.pdf</v>
      </c>
      <c r="F1249">
        <v>110002</v>
      </c>
      <c r="G1249">
        <v>37337</v>
      </c>
      <c r="H1249" t="s">
        <v>745</v>
      </c>
      <c r="I1249" t="s">
        <v>147</v>
      </c>
      <c r="J1249" t="s">
        <v>4686</v>
      </c>
    </row>
    <row r="1250" spans="1:10" x14ac:dyDescent="0.2">
      <c r="A1250" t="s">
        <v>4687</v>
      </c>
      <c r="E1250" t="str">
        <f>HYPERLINK("http://nlpdeep.cs.uic.edu:8080/proofing/t5/37337-labs-imaging-8-7.pdf","t5/37337-labs-imaging-8-7.pdf")</f>
        <v>t5/37337-labs-imaging-8-7.pdf</v>
      </c>
      <c r="F1250">
        <v>110002</v>
      </c>
      <c r="G1250">
        <v>37337</v>
      </c>
      <c r="H1250" t="s">
        <v>745</v>
      </c>
      <c r="I1250" t="s">
        <v>147</v>
      </c>
      <c r="J1250" t="s">
        <v>4688</v>
      </c>
    </row>
    <row r="1251" spans="1:10" x14ac:dyDescent="0.2">
      <c r="A1251" t="s">
        <v>4687</v>
      </c>
      <c r="E1251" t="str">
        <f>HYPERLINK("http://nlpdeep.cs.uic.edu:8080/proofing/gsii/37337-labs-imaging-8-7.pdf","gsii/37337-labs-imaging-8-7.pdf")</f>
        <v>gsii/37337-labs-imaging-8-7.pdf</v>
      </c>
      <c r="F1251">
        <v>110002</v>
      </c>
      <c r="G1251">
        <v>37337</v>
      </c>
      <c r="H1251" t="s">
        <v>745</v>
      </c>
      <c r="I1251" t="s">
        <v>147</v>
      </c>
      <c r="J1251" t="s">
        <v>4688</v>
      </c>
    </row>
    <row r="1252" spans="1:10" x14ac:dyDescent="0.2">
      <c r="A1252" t="s">
        <v>4689</v>
      </c>
      <c r="E1252" t="str">
        <f>HYPERLINK("http://nlpdeep.cs.uic.edu:8080/proofing/t5/37337-labs-imaging-8-8.pdf","t5/37337-labs-imaging-8-8.pdf")</f>
        <v>t5/37337-labs-imaging-8-8.pdf</v>
      </c>
      <c r="F1252">
        <v>110002</v>
      </c>
      <c r="G1252">
        <v>37337</v>
      </c>
      <c r="H1252" t="s">
        <v>745</v>
      </c>
      <c r="I1252" t="s">
        <v>147</v>
      </c>
      <c r="J1252" t="s">
        <v>4690</v>
      </c>
    </row>
    <row r="1253" spans="1:10" x14ac:dyDescent="0.2">
      <c r="A1253" t="s">
        <v>4689</v>
      </c>
      <c r="E1253" t="str">
        <f>HYPERLINK("http://nlpdeep.cs.uic.edu:8080/proofing/gsii/37337-labs-imaging-8-8.pdf","gsii/37337-labs-imaging-8-8.pdf")</f>
        <v>gsii/37337-labs-imaging-8-8.pdf</v>
      </c>
      <c r="F1253">
        <v>110002</v>
      </c>
      <c r="G1253">
        <v>37337</v>
      </c>
      <c r="H1253" t="s">
        <v>745</v>
      </c>
      <c r="I1253" t="s">
        <v>147</v>
      </c>
      <c r="J1253" t="s">
        <v>4690</v>
      </c>
    </row>
    <row r="1254" spans="1:10" x14ac:dyDescent="0.2">
      <c r="A1254" t="s">
        <v>4691</v>
      </c>
      <c r="E1254" t="str">
        <f>HYPERLINK("http://nlpdeep.cs.uic.edu:8080/proofing/t5/37337-labs-imaging-8-9.pdf","t5/37337-labs-imaging-8-9.pdf")</f>
        <v>t5/37337-labs-imaging-8-9.pdf</v>
      </c>
      <c r="F1254">
        <v>110002</v>
      </c>
      <c r="G1254">
        <v>37337</v>
      </c>
      <c r="H1254" t="s">
        <v>745</v>
      </c>
      <c r="I1254" t="s">
        <v>147</v>
      </c>
      <c r="J1254" t="s">
        <v>3048</v>
      </c>
    </row>
    <row r="1255" spans="1:10" x14ac:dyDescent="0.2">
      <c r="A1255" t="s">
        <v>4691</v>
      </c>
      <c r="E1255" t="str">
        <f>HYPERLINK("http://nlpdeep.cs.uic.edu:8080/proofing/gsii/37337-labs-imaging-8-9.pdf","gsii/37337-labs-imaging-8-9.pdf")</f>
        <v>gsii/37337-labs-imaging-8-9.pdf</v>
      </c>
      <c r="F1255">
        <v>110002</v>
      </c>
      <c r="G1255">
        <v>37337</v>
      </c>
      <c r="H1255" t="s">
        <v>745</v>
      </c>
      <c r="I1255" t="s">
        <v>147</v>
      </c>
      <c r="J1255" t="s">
        <v>3048</v>
      </c>
    </row>
    <row r="1256" spans="1:10" x14ac:dyDescent="0.2">
      <c r="A1256" t="s">
        <v>4692</v>
      </c>
      <c r="E1256" t="str">
        <f>HYPERLINK("http://nlpdeep.cs.uic.edu:8080/proofing/t5/37337-labs-imaging-8-10.pdf","t5/37337-labs-imaging-8-10.pdf")</f>
        <v>t5/37337-labs-imaging-8-10.pdf</v>
      </c>
      <c r="F1256">
        <v>110002</v>
      </c>
      <c r="G1256">
        <v>37337</v>
      </c>
      <c r="H1256" t="s">
        <v>745</v>
      </c>
      <c r="I1256" t="s">
        <v>147</v>
      </c>
      <c r="J1256" t="s">
        <v>4693</v>
      </c>
    </row>
    <row r="1257" spans="1:10" x14ac:dyDescent="0.2">
      <c r="A1257" t="s">
        <v>4692</v>
      </c>
      <c r="E1257" t="str">
        <f>HYPERLINK("http://nlpdeep.cs.uic.edu:8080/proofing/gsii/37337-labs-imaging-8-10.pdf","gsii/37337-labs-imaging-8-10.pdf")</f>
        <v>gsii/37337-labs-imaging-8-10.pdf</v>
      </c>
      <c r="F1257">
        <v>110002</v>
      </c>
      <c r="G1257">
        <v>37337</v>
      </c>
      <c r="H1257" t="s">
        <v>745</v>
      </c>
      <c r="I1257" t="s">
        <v>147</v>
      </c>
      <c r="J1257" t="s">
        <v>4693</v>
      </c>
    </row>
    <row r="1258" spans="1:10" x14ac:dyDescent="0.2">
      <c r="A1258" t="s">
        <v>4694</v>
      </c>
      <c r="E1258" t="str">
        <f>HYPERLINK("http://nlpdeep.cs.uic.edu:8080/proofing/t5/37337-labs-imaging-8-11.pdf","t5/37337-labs-imaging-8-11.pdf")</f>
        <v>t5/37337-labs-imaging-8-11.pdf</v>
      </c>
      <c r="F1258">
        <v>110002</v>
      </c>
      <c r="G1258">
        <v>37337</v>
      </c>
      <c r="H1258" t="s">
        <v>745</v>
      </c>
      <c r="I1258" t="s">
        <v>147</v>
      </c>
      <c r="J1258" t="s">
        <v>4695</v>
      </c>
    </row>
    <row r="1259" spans="1:10" x14ac:dyDescent="0.2">
      <c r="A1259" t="s">
        <v>4694</v>
      </c>
      <c r="E1259" t="str">
        <f>HYPERLINK("http://nlpdeep.cs.uic.edu:8080/proofing/gsii/37337-labs-imaging-8-11.pdf","gsii/37337-labs-imaging-8-11.pdf")</f>
        <v>gsii/37337-labs-imaging-8-11.pdf</v>
      </c>
      <c r="F1259">
        <v>110002</v>
      </c>
      <c r="G1259">
        <v>37337</v>
      </c>
      <c r="H1259" t="s">
        <v>745</v>
      </c>
      <c r="I1259" t="s">
        <v>147</v>
      </c>
      <c r="J1259" t="s">
        <v>4695</v>
      </c>
    </row>
    <row r="1260" spans="1:10" x14ac:dyDescent="0.2">
      <c r="A1260" t="s">
        <v>4696</v>
      </c>
      <c r="E1260" t="str">
        <f>HYPERLINK("http://nlpdeep.cs.uic.edu:8080/proofing/t5/37337-labs-imaging-8-12.pdf","t5/37337-labs-imaging-8-12.pdf")</f>
        <v>t5/37337-labs-imaging-8-12.pdf</v>
      </c>
      <c r="F1260">
        <v>110002</v>
      </c>
      <c r="G1260">
        <v>37337</v>
      </c>
      <c r="H1260" t="s">
        <v>745</v>
      </c>
      <c r="I1260" t="s">
        <v>147</v>
      </c>
      <c r="J1260" t="s">
        <v>4697</v>
      </c>
    </row>
    <row r="1261" spans="1:10" x14ac:dyDescent="0.2">
      <c r="A1261" t="s">
        <v>4696</v>
      </c>
      <c r="E1261" t="str">
        <f>HYPERLINK("http://nlpdeep.cs.uic.edu:8080/proofing/gsii/37337-labs-imaging-8-12.pdf","gsii/37337-labs-imaging-8-12.pdf")</f>
        <v>gsii/37337-labs-imaging-8-12.pdf</v>
      </c>
      <c r="F1261">
        <v>110002</v>
      </c>
      <c r="G1261">
        <v>37337</v>
      </c>
      <c r="H1261" t="s">
        <v>745</v>
      </c>
      <c r="I1261" t="s">
        <v>147</v>
      </c>
      <c r="J1261" t="s">
        <v>4697</v>
      </c>
    </row>
    <row r="1262" spans="1:10" x14ac:dyDescent="0.2">
      <c r="A1262" t="s">
        <v>4698</v>
      </c>
      <c r="E1262" t="str">
        <f>HYPERLINK("http://nlpdeep.cs.uic.edu:8080/proofing/t5/37337-labs-imaging-8-13.pdf","t5/37337-labs-imaging-8-13.pdf")</f>
        <v>t5/37337-labs-imaging-8-13.pdf</v>
      </c>
      <c r="F1262">
        <v>110002</v>
      </c>
      <c r="G1262">
        <v>37337</v>
      </c>
      <c r="H1262" t="s">
        <v>745</v>
      </c>
      <c r="I1262" t="s">
        <v>147</v>
      </c>
      <c r="J1262" t="s">
        <v>2016</v>
      </c>
    </row>
    <row r="1263" spans="1:10" x14ac:dyDescent="0.2">
      <c r="A1263" t="s">
        <v>4698</v>
      </c>
      <c r="E1263" t="str">
        <f>HYPERLINK("http://nlpdeep.cs.uic.edu:8080/proofing/gsii/37337-labs-imaging-8-13.pdf","gsii/37337-labs-imaging-8-13.pdf")</f>
        <v>gsii/37337-labs-imaging-8-13.pdf</v>
      </c>
      <c r="F1263">
        <v>110002</v>
      </c>
      <c r="G1263">
        <v>37337</v>
      </c>
      <c r="H1263" t="s">
        <v>745</v>
      </c>
      <c r="I1263" t="s">
        <v>147</v>
      </c>
      <c r="J1263" t="s">
        <v>2016</v>
      </c>
    </row>
    <row r="1264" spans="1:10" x14ac:dyDescent="0.2">
      <c r="A1264" t="s">
        <v>4699</v>
      </c>
      <c r="E1264" t="str">
        <f>HYPERLINK("http://nlpdeep.cs.uic.edu:8080/proofing/t5/37337-labs-imaging-9-0.pdf","t5/37337-labs-imaging-9-0.pdf")</f>
        <v>t5/37337-labs-imaging-9-0.pdf</v>
      </c>
      <c r="F1264">
        <v>110002</v>
      </c>
      <c r="G1264">
        <v>37337</v>
      </c>
      <c r="H1264" t="s">
        <v>745</v>
      </c>
      <c r="I1264" t="s">
        <v>147</v>
      </c>
      <c r="J1264" t="s">
        <v>4700</v>
      </c>
    </row>
    <row r="1265" spans="1:10" x14ac:dyDescent="0.2">
      <c r="A1265" t="s">
        <v>4699</v>
      </c>
      <c r="E1265" t="str">
        <f>HYPERLINK("http://nlpdeep.cs.uic.edu:8080/proofing/gsii/37337-labs-imaging-9-0.pdf","gsii/37337-labs-imaging-9-0.pdf")</f>
        <v>gsii/37337-labs-imaging-9-0.pdf</v>
      </c>
      <c r="F1265">
        <v>110002</v>
      </c>
      <c r="G1265">
        <v>37337</v>
      </c>
      <c r="H1265" t="s">
        <v>745</v>
      </c>
      <c r="I1265" t="s">
        <v>147</v>
      </c>
      <c r="J1265" t="s">
        <v>4700</v>
      </c>
    </row>
    <row r="1266" spans="1:10" x14ac:dyDescent="0.2">
      <c r="A1266" t="s">
        <v>4701</v>
      </c>
      <c r="E1266" t="str">
        <f>HYPERLINK("http://nlpdeep.cs.uic.edu:8080/proofing/t5/37337-labs-imaging-9-1.pdf","t5/37337-labs-imaging-9-1.pdf")</f>
        <v>t5/37337-labs-imaging-9-1.pdf</v>
      </c>
      <c r="F1266">
        <v>110002</v>
      </c>
      <c r="G1266">
        <v>37337</v>
      </c>
      <c r="H1266" t="s">
        <v>745</v>
      </c>
      <c r="I1266" t="s">
        <v>147</v>
      </c>
      <c r="J1266" t="s">
        <v>4702</v>
      </c>
    </row>
    <row r="1267" spans="1:10" x14ac:dyDescent="0.2">
      <c r="A1267" t="s">
        <v>4701</v>
      </c>
      <c r="E1267" t="str">
        <f>HYPERLINK("http://nlpdeep.cs.uic.edu:8080/proofing/gsii/37337-labs-imaging-9-1.pdf","gsii/37337-labs-imaging-9-1.pdf")</f>
        <v>gsii/37337-labs-imaging-9-1.pdf</v>
      </c>
      <c r="F1267">
        <v>110002</v>
      </c>
      <c r="G1267">
        <v>37337</v>
      </c>
      <c r="H1267" t="s">
        <v>745</v>
      </c>
      <c r="I1267" t="s">
        <v>147</v>
      </c>
      <c r="J1267" t="s">
        <v>4702</v>
      </c>
    </row>
    <row r="1268" spans="1:10" x14ac:dyDescent="0.2">
      <c r="A1268" t="s">
        <v>4703</v>
      </c>
      <c r="E1268" t="str">
        <f>HYPERLINK("http://nlpdeep.cs.uic.edu:8080/proofing/t5/37337-labs-imaging-9-2.pdf","t5/37337-labs-imaging-9-2.pdf")</f>
        <v>t5/37337-labs-imaging-9-2.pdf</v>
      </c>
      <c r="F1268">
        <v>110002</v>
      </c>
      <c r="G1268">
        <v>37337</v>
      </c>
      <c r="H1268" t="s">
        <v>745</v>
      </c>
      <c r="I1268" t="s">
        <v>147</v>
      </c>
      <c r="J1268" t="s">
        <v>4704</v>
      </c>
    </row>
    <row r="1269" spans="1:10" x14ac:dyDescent="0.2">
      <c r="A1269" t="s">
        <v>4703</v>
      </c>
      <c r="E1269" t="str">
        <f>HYPERLINK("http://nlpdeep.cs.uic.edu:8080/proofing/gsii/37337-labs-imaging-9-2.pdf","gsii/37337-labs-imaging-9-2.pdf")</f>
        <v>gsii/37337-labs-imaging-9-2.pdf</v>
      </c>
      <c r="F1269">
        <v>110002</v>
      </c>
      <c r="G1269">
        <v>37337</v>
      </c>
      <c r="H1269" t="s">
        <v>745</v>
      </c>
      <c r="I1269" t="s">
        <v>147</v>
      </c>
      <c r="J1269" t="s">
        <v>4704</v>
      </c>
    </row>
    <row r="1270" spans="1:10" x14ac:dyDescent="0.2">
      <c r="A1270" t="s">
        <v>4705</v>
      </c>
      <c r="E1270" t="str">
        <f>HYPERLINK("http://nlpdeep.cs.uic.edu:8080/proofing/t5/37337-labs-imaging-10-0.pdf","t5/37337-labs-imaging-10-0.pdf")</f>
        <v>t5/37337-labs-imaging-10-0.pdf</v>
      </c>
      <c r="F1270">
        <v>110002</v>
      </c>
      <c r="G1270">
        <v>37337</v>
      </c>
      <c r="H1270" t="s">
        <v>745</v>
      </c>
      <c r="I1270" t="s">
        <v>147</v>
      </c>
      <c r="J1270" t="s">
        <v>4706</v>
      </c>
    </row>
    <row r="1271" spans="1:10" x14ac:dyDescent="0.2">
      <c r="A1271" t="s">
        <v>4705</v>
      </c>
      <c r="E1271" t="str">
        <f>HYPERLINK("http://nlpdeep.cs.uic.edu:8080/proofing/gsii/37337-labs-imaging-10-0.pdf","gsii/37337-labs-imaging-10-0.pdf")</f>
        <v>gsii/37337-labs-imaging-10-0.pdf</v>
      </c>
      <c r="F1271">
        <v>110002</v>
      </c>
      <c r="G1271">
        <v>37337</v>
      </c>
      <c r="H1271" t="s">
        <v>745</v>
      </c>
      <c r="I1271" t="s">
        <v>147</v>
      </c>
      <c r="J1271" t="s">
        <v>4706</v>
      </c>
    </row>
    <row r="1272" spans="1:10" x14ac:dyDescent="0.2">
      <c r="A1272" t="s">
        <v>4707</v>
      </c>
      <c r="E1272" t="str">
        <f>HYPERLINK("http://nlpdeep.cs.uic.edu:8080/proofing/t5/37337-labs-imaging-10-1.pdf","t5/37337-labs-imaging-10-1.pdf")</f>
        <v>t5/37337-labs-imaging-10-1.pdf</v>
      </c>
      <c r="F1272">
        <v>110002</v>
      </c>
      <c r="G1272">
        <v>37337</v>
      </c>
      <c r="H1272" t="s">
        <v>745</v>
      </c>
      <c r="I1272" t="s">
        <v>147</v>
      </c>
      <c r="J1272" t="s">
        <v>4708</v>
      </c>
    </row>
    <row r="1273" spans="1:10" x14ac:dyDescent="0.2">
      <c r="A1273" t="s">
        <v>4707</v>
      </c>
      <c r="E1273" t="str">
        <f>HYPERLINK("http://nlpdeep.cs.uic.edu:8080/proofing/gsii/37337-labs-imaging-10-1.pdf","gsii/37337-labs-imaging-10-1.pdf")</f>
        <v>gsii/37337-labs-imaging-10-1.pdf</v>
      </c>
      <c r="F1273">
        <v>110002</v>
      </c>
      <c r="G1273">
        <v>37337</v>
      </c>
      <c r="H1273" t="s">
        <v>745</v>
      </c>
      <c r="I1273" t="s">
        <v>147</v>
      </c>
      <c r="J1273" t="s">
        <v>4708</v>
      </c>
    </row>
    <row r="1274" spans="1:10" x14ac:dyDescent="0.2">
      <c r="A1274" t="s">
        <v>4709</v>
      </c>
      <c r="E1274" t="str">
        <f>HYPERLINK("http://nlpdeep.cs.uic.edu:8080/proofing/t5/37337-labs-imaging-10-2.pdf","t5/37337-labs-imaging-10-2.pdf")</f>
        <v>t5/37337-labs-imaging-10-2.pdf</v>
      </c>
      <c r="F1274">
        <v>110002</v>
      </c>
      <c r="G1274">
        <v>37337</v>
      </c>
      <c r="H1274" t="s">
        <v>745</v>
      </c>
      <c r="I1274" t="s">
        <v>147</v>
      </c>
      <c r="J1274" t="s">
        <v>4710</v>
      </c>
    </row>
    <row r="1275" spans="1:10" x14ac:dyDescent="0.2">
      <c r="A1275" t="s">
        <v>4709</v>
      </c>
      <c r="E1275" t="str">
        <f>HYPERLINK("http://nlpdeep.cs.uic.edu:8080/proofing/gsii/37337-labs-imaging-10-2.pdf","gsii/37337-labs-imaging-10-2.pdf")</f>
        <v>gsii/37337-labs-imaging-10-2.pdf</v>
      </c>
      <c r="F1275">
        <v>110002</v>
      </c>
      <c r="G1275">
        <v>37337</v>
      </c>
      <c r="H1275" t="s">
        <v>745</v>
      </c>
      <c r="I1275" t="s">
        <v>147</v>
      </c>
      <c r="J1275" t="s">
        <v>4710</v>
      </c>
    </row>
    <row r="1276" spans="1:10" x14ac:dyDescent="0.2">
      <c r="A1276" t="s">
        <v>4711</v>
      </c>
      <c r="E1276" t="str">
        <f>HYPERLINK("http://nlpdeep.cs.uic.edu:8080/proofing/t5/37337-labs-imaging-10-3.pdf","t5/37337-labs-imaging-10-3.pdf")</f>
        <v>t5/37337-labs-imaging-10-3.pdf</v>
      </c>
      <c r="F1276">
        <v>110002</v>
      </c>
      <c r="G1276">
        <v>37337</v>
      </c>
      <c r="H1276" t="s">
        <v>745</v>
      </c>
      <c r="I1276" t="s">
        <v>147</v>
      </c>
      <c r="J1276" t="s">
        <v>4712</v>
      </c>
    </row>
    <row r="1277" spans="1:10" x14ac:dyDescent="0.2">
      <c r="A1277" t="s">
        <v>4711</v>
      </c>
      <c r="E1277" t="str">
        <f>HYPERLINK("http://nlpdeep.cs.uic.edu:8080/proofing/gsii/37337-labs-imaging-10-3.pdf","gsii/37337-labs-imaging-10-3.pdf")</f>
        <v>gsii/37337-labs-imaging-10-3.pdf</v>
      </c>
      <c r="F1277">
        <v>110002</v>
      </c>
      <c r="G1277">
        <v>37337</v>
      </c>
      <c r="H1277" t="s">
        <v>745</v>
      </c>
      <c r="I1277" t="s">
        <v>147</v>
      </c>
      <c r="J1277" t="s">
        <v>4712</v>
      </c>
    </row>
    <row r="1278" spans="1:10" x14ac:dyDescent="0.2">
      <c r="A1278" t="s">
        <v>4713</v>
      </c>
      <c r="E1278" t="str">
        <f>HYPERLINK("http://nlpdeep.cs.uic.edu:8080/proofing/t5/37337-labs-imaging-10-4.pdf","t5/37337-labs-imaging-10-4.pdf")</f>
        <v>t5/37337-labs-imaging-10-4.pdf</v>
      </c>
      <c r="F1278">
        <v>110002</v>
      </c>
      <c r="G1278">
        <v>37337</v>
      </c>
      <c r="H1278" t="s">
        <v>745</v>
      </c>
      <c r="I1278" t="s">
        <v>147</v>
      </c>
      <c r="J1278" t="s">
        <v>4714</v>
      </c>
    </row>
    <row r="1279" spans="1:10" x14ac:dyDescent="0.2">
      <c r="A1279" t="s">
        <v>4713</v>
      </c>
      <c r="E1279" t="str">
        <f>HYPERLINK("http://nlpdeep.cs.uic.edu:8080/proofing/gsii/37337-labs-imaging-10-4.pdf","gsii/37337-labs-imaging-10-4.pdf")</f>
        <v>gsii/37337-labs-imaging-10-4.pdf</v>
      </c>
      <c r="F1279">
        <v>110002</v>
      </c>
      <c r="G1279">
        <v>37337</v>
      </c>
      <c r="H1279" t="s">
        <v>745</v>
      </c>
      <c r="I1279" t="s">
        <v>147</v>
      </c>
      <c r="J1279" t="s">
        <v>4714</v>
      </c>
    </row>
    <row r="1280" spans="1:10" x14ac:dyDescent="0.2">
      <c r="A1280" t="s">
        <v>4715</v>
      </c>
      <c r="E1280" t="str">
        <f>HYPERLINK("http://nlpdeep.cs.uic.edu:8080/proofing/t5/37337-labs-imaging-10-5.pdf","t5/37337-labs-imaging-10-5.pdf")</f>
        <v>t5/37337-labs-imaging-10-5.pdf</v>
      </c>
      <c r="F1280">
        <v>110002</v>
      </c>
      <c r="G1280">
        <v>37337</v>
      </c>
      <c r="H1280" t="s">
        <v>745</v>
      </c>
      <c r="I1280" t="s">
        <v>147</v>
      </c>
      <c r="J1280" t="s">
        <v>4716</v>
      </c>
    </row>
    <row r="1281" spans="1:10" x14ac:dyDescent="0.2">
      <c r="A1281" t="s">
        <v>4715</v>
      </c>
      <c r="E1281" t="str">
        <f>HYPERLINK("http://nlpdeep.cs.uic.edu:8080/proofing/gsii/37337-labs-imaging-10-5.pdf","gsii/37337-labs-imaging-10-5.pdf")</f>
        <v>gsii/37337-labs-imaging-10-5.pdf</v>
      </c>
      <c r="F1281">
        <v>110002</v>
      </c>
      <c r="G1281">
        <v>37337</v>
      </c>
      <c r="H1281" t="s">
        <v>745</v>
      </c>
      <c r="I1281" t="s">
        <v>147</v>
      </c>
      <c r="J1281" t="s">
        <v>4716</v>
      </c>
    </row>
    <row r="1282" spans="1:10" x14ac:dyDescent="0.2">
      <c r="A1282" t="s">
        <v>4717</v>
      </c>
      <c r="E1282" t="str">
        <f>HYPERLINK("http://nlpdeep.cs.uic.edu:8080/proofing/t5/37337-labs-imaging-11-0.pdf","t5/37337-labs-imaging-11-0.pdf")</f>
        <v>t5/37337-labs-imaging-11-0.pdf</v>
      </c>
      <c r="F1282">
        <v>110002</v>
      </c>
      <c r="G1282">
        <v>37337</v>
      </c>
      <c r="H1282" t="s">
        <v>745</v>
      </c>
      <c r="I1282" t="s">
        <v>147</v>
      </c>
      <c r="J1282" t="s">
        <v>4718</v>
      </c>
    </row>
    <row r="1283" spans="1:10" x14ac:dyDescent="0.2">
      <c r="A1283" t="s">
        <v>4717</v>
      </c>
      <c r="E1283" t="str">
        <f>HYPERLINK("http://nlpdeep.cs.uic.edu:8080/proofing/gsii/37337-labs-imaging-11-0.pdf","gsii/37337-labs-imaging-11-0.pdf")</f>
        <v>gsii/37337-labs-imaging-11-0.pdf</v>
      </c>
      <c r="F1283">
        <v>110002</v>
      </c>
      <c r="G1283">
        <v>37337</v>
      </c>
      <c r="H1283" t="s">
        <v>745</v>
      </c>
      <c r="I1283" t="s">
        <v>147</v>
      </c>
      <c r="J1283" t="s">
        <v>4718</v>
      </c>
    </row>
    <row r="1284" spans="1:10" x14ac:dyDescent="0.2">
      <c r="A1284" t="s">
        <v>4719</v>
      </c>
      <c r="E1284" t="str">
        <f>HYPERLINK("http://nlpdeep.cs.uic.edu:8080/proofing/t5/37337-labs-imaging-11-1.pdf","t5/37337-labs-imaging-11-1.pdf")</f>
        <v>t5/37337-labs-imaging-11-1.pdf</v>
      </c>
      <c r="F1284">
        <v>110002</v>
      </c>
      <c r="G1284">
        <v>37337</v>
      </c>
      <c r="H1284" t="s">
        <v>745</v>
      </c>
      <c r="I1284" t="s">
        <v>147</v>
      </c>
      <c r="J1284" t="s">
        <v>4720</v>
      </c>
    </row>
    <row r="1285" spans="1:10" x14ac:dyDescent="0.2">
      <c r="A1285" t="s">
        <v>4719</v>
      </c>
      <c r="E1285" t="str">
        <f>HYPERLINK("http://nlpdeep.cs.uic.edu:8080/proofing/gsii/37337-labs-imaging-11-1.pdf","gsii/37337-labs-imaging-11-1.pdf")</f>
        <v>gsii/37337-labs-imaging-11-1.pdf</v>
      </c>
      <c r="F1285">
        <v>110002</v>
      </c>
      <c r="G1285">
        <v>37337</v>
      </c>
      <c r="H1285" t="s">
        <v>745</v>
      </c>
      <c r="I1285" t="s">
        <v>147</v>
      </c>
      <c r="J1285" t="s">
        <v>4720</v>
      </c>
    </row>
    <row r="1286" spans="1:10" x14ac:dyDescent="0.2">
      <c r="A1286" t="s">
        <v>4721</v>
      </c>
      <c r="E1286" t="str">
        <f>HYPERLINK("http://nlpdeep.cs.uic.edu:8080/proofing/t5/37337-labs-imaging-11-2.pdf","t5/37337-labs-imaging-11-2.pdf")</f>
        <v>t5/37337-labs-imaging-11-2.pdf</v>
      </c>
      <c r="F1286">
        <v>110002</v>
      </c>
      <c r="G1286">
        <v>37337</v>
      </c>
      <c r="H1286" t="s">
        <v>745</v>
      </c>
      <c r="I1286" t="s">
        <v>147</v>
      </c>
      <c r="J1286" t="s">
        <v>4722</v>
      </c>
    </row>
    <row r="1287" spans="1:10" x14ac:dyDescent="0.2">
      <c r="A1287" t="s">
        <v>4721</v>
      </c>
      <c r="E1287" t="str">
        <f>HYPERLINK("http://nlpdeep.cs.uic.edu:8080/proofing/gsii/37337-labs-imaging-11-2.pdf","gsii/37337-labs-imaging-11-2.pdf")</f>
        <v>gsii/37337-labs-imaging-11-2.pdf</v>
      </c>
      <c r="F1287">
        <v>110002</v>
      </c>
      <c r="G1287">
        <v>37337</v>
      </c>
      <c r="H1287" t="s">
        <v>745</v>
      </c>
      <c r="I1287" t="s">
        <v>147</v>
      </c>
      <c r="J1287" t="s">
        <v>4722</v>
      </c>
    </row>
    <row r="1288" spans="1:10" x14ac:dyDescent="0.2">
      <c r="A1288" t="s">
        <v>4723</v>
      </c>
      <c r="E1288" t="str">
        <f>HYPERLINK("http://nlpdeep.cs.uic.edu:8080/proofing/t5/37337-labs-imaging-12-0.pdf","t5/37337-labs-imaging-12-0.pdf")</f>
        <v>t5/37337-labs-imaging-12-0.pdf</v>
      </c>
      <c r="F1288">
        <v>110002</v>
      </c>
      <c r="G1288">
        <v>37337</v>
      </c>
      <c r="H1288" t="s">
        <v>745</v>
      </c>
      <c r="I1288" t="s">
        <v>147</v>
      </c>
      <c r="J1288" t="s">
        <v>4724</v>
      </c>
    </row>
    <row r="1289" spans="1:10" x14ac:dyDescent="0.2">
      <c r="A1289" t="s">
        <v>4723</v>
      </c>
      <c r="E1289" t="str">
        <f>HYPERLINK("http://nlpdeep.cs.uic.edu:8080/proofing/gsii/37337-labs-imaging-12-0.pdf","gsii/37337-labs-imaging-12-0.pdf")</f>
        <v>gsii/37337-labs-imaging-12-0.pdf</v>
      </c>
      <c r="F1289">
        <v>110002</v>
      </c>
      <c r="G1289">
        <v>37337</v>
      </c>
      <c r="H1289" t="s">
        <v>745</v>
      </c>
      <c r="I1289" t="s">
        <v>147</v>
      </c>
      <c r="J1289" t="s">
        <v>4724</v>
      </c>
    </row>
    <row r="1290" spans="1:10" x14ac:dyDescent="0.2">
      <c r="A1290" t="s">
        <v>4725</v>
      </c>
      <c r="E1290" t="str">
        <f>HYPERLINK("http://nlpdeep.cs.uic.edu:8080/proofing/t5/37337-labs-imaging-12-1.pdf","t5/37337-labs-imaging-12-1.pdf")</f>
        <v>t5/37337-labs-imaging-12-1.pdf</v>
      </c>
      <c r="F1290">
        <v>110002</v>
      </c>
      <c r="G1290">
        <v>37337</v>
      </c>
      <c r="H1290" t="s">
        <v>745</v>
      </c>
      <c r="I1290" t="s">
        <v>147</v>
      </c>
      <c r="J1290" t="s">
        <v>4726</v>
      </c>
    </row>
    <row r="1291" spans="1:10" x14ac:dyDescent="0.2">
      <c r="A1291" t="s">
        <v>4725</v>
      </c>
      <c r="E1291" t="str">
        <f>HYPERLINK("http://nlpdeep.cs.uic.edu:8080/proofing/gsii/37337-labs-imaging-12-1.pdf","gsii/37337-labs-imaging-12-1.pdf")</f>
        <v>gsii/37337-labs-imaging-12-1.pdf</v>
      </c>
      <c r="F1291">
        <v>110002</v>
      </c>
      <c r="G1291">
        <v>37337</v>
      </c>
      <c r="H1291" t="s">
        <v>745</v>
      </c>
      <c r="I1291" t="s">
        <v>147</v>
      </c>
      <c r="J1291" t="s">
        <v>4726</v>
      </c>
    </row>
    <row r="1292" spans="1:10" x14ac:dyDescent="0.2">
      <c r="A1292" t="s">
        <v>4727</v>
      </c>
      <c r="E1292" t="str">
        <f>HYPERLINK("http://nlpdeep.cs.uic.edu:8080/proofing/t5/37337-labs-imaging-12-2.pdf","t5/37337-labs-imaging-12-2.pdf")</f>
        <v>t5/37337-labs-imaging-12-2.pdf</v>
      </c>
      <c r="F1292">
        <v>110002</v>
      </c>
      <c r="G1292">
        <v>37337</v>
      </c>
      <c r="H1292" t="s">
        <v>745</v>
      </c>
      <c r="I1292" t="s">
        <v>147</v>
      </c>
      <c r="J1292" t="s">
        <v>4728</v>
      </c>
    </row>
    <row r="1293" spans="1:10" x14ac:dyDescent="0.2">
      <c r="A1293" t="s">
        <v>4727</v>
      </c>
      <c r="E1293" t="str">
        <f>HYPERLINK("http://nlpdeep.cs.uic.edu:8080/proofing/gsii/37337-labs-imaging-12-2.pdf","gsii/37337-labs-imaging-12-2.pdf")</f>
        <v>gsii/37337-labs-imaging-12-2.pdf</v>
      </c>
      <c r="F1293">
        <v>110002</v>
      </c>
      <c r="G1293">
        <v>37337</v>
      </c>
      <c r="H1293" t="s">
        <v>745</v>
      </c>
      <c r="I1293" t="s">
        <v>147</v>
      </c>
      <c r="J1293" t="s">
        <v>4728</v>
      </c>
    </row>
    <row r="1294" spans="1:10" x14ac:dyDescent="0.2">
      <c r="A1294" t="s">
        <v>4729</v>
      </c>
      <c r="E1294" t="str">
        <f>HYPERLINK("http://nlpdeep.cs.uic.edu:8080/proofing/t5/37337-labs-imaging-12-3.pdf","t5/37337-labs-imaging-12-3.pdf")</f>
        <v>t5/37337-labs-imaging-12-3.pdf</v>
      </c>
      <c r="F1294">
        <v>110002</v>
      </c>
      <c r="G1294">
        <v>37337</v>
      </c>
      <c r="H1294" t="s">
        <v>745</v>
      </c>
      <c r="I1294" t="s">
        <v>147</v>
      </c>
      <c r="J1294" t="s">
        <v>4730</v>
      </c>
    </row>
    <row r="1295" spans="1:10" x14ac:dyDescent="0.2">
      <c r="A1295" t="s">
        <v>4729</v>
      </c>
      <c r="E1295" t="str">
        <f>HYPERLINK("http://nlpdeep.cs.uic.edu:8080/proofing/gsii/37337-labs-imaging-12-3.pdf","gsii/37337-labs-imaging-12-3.pdf")</f>
        <v>gsii/37337-labs-imaging-12-3.pdf</v>
      </c>
      <c r="F1295">
        <v>110002</v>
      </c>
      <c r="G1295">
        <v>37337</v>
      </c>
      <c r="H1295" t="s">
        <v>745</v>
      </c>
      <c r="I1295" t="s">
        <v>147</v>
      </c>
      <c r="J1295" t="s">
        <v>4730</v>
      </c>
    </row>
    <row r="1296" spans="1:10" x14ac:dyDescent="0.2">
      <c r="A1296" t="s">
        <v>4731</v>
      </c>
      <c r="E1296" t="str">
        <f>HYPERLINK("http://nlpdeep.cs.uic.edu:8080/proofing/t5/37337-labs-imaging-12-4.pdf","t5/37337-labs-imaging-12-4.pdf")</f>
        <v>t5/37337-labs-imaging-12-4.pdf</v>
      </c>
      <c r="F1296">
        <v>110002</v>
      </c>
      <c r="G1296">
        <v>37337</v>
      </c>
      <c r="H1296" t="s">
        <v>745</v>
      </c>
      <c r="I1296" t="s">
        <v>147</v>
      </c>
      <c r="J1296" t="s">
        <v>4732</v>
      </c>
    </row>
    <row r="1297" spans="1:10" x14ac:dyDescent="0.2">
      <c r="A1297" t="s">
        <v>4731</v>
      </c>
      <c r="E1297" t="str">
        <f>HYPERLINK("http://nlpdeep.cs.uic.edu:8080/proofing/gsii/37337-labs-imaging-12-4.pdf","gsii/37337-labs-imaging-12-4.pdf")</f>
        <v>gsii/37337-labs-imaging-12-4.pdf</v>
      </c>
      <c r="F1297">
        <v>110002</v>
      </c>
      <c r="G1297">
        <v>37337</v>
      </c>
      <c r="H1297" t="s">
        <v>745</v>
      </c>
      <c r="I1297" t="s">
        <v>147</v>
      </c>
      <c r="J1297" t="s">
        <v>4732</v>
      </c>
    </row>
    <row r="1298" spans="1:10" x14ac:dyDescent="0.2">
      <c r="A1298" t="s">
        <v>4733</v>
      </c>
      <c r="E1298" t="str">
        <f>HYPERLINK("http://nlpdeep.cs.uic.edu:8080/proofing/t5/37337-labs-imaging-13-0.pdf","t5/37337-labs-imaging-13-0.pdf")</f>
        <v>t5/37337-labs-imaging-13-0.pdf</v>
      </c>
      <c r="F1298">
        <v>110002</v>
      </c>
      <c r="G1298">
        <v>37337</v>
      </c>
      <c r="H1298" t="s">
        <v>745</v>
      </c>
      <c r="I1298" t="s">
        <v>147</v>
      </c>
    </row>
    <row r="1299" spans="1:10" x14ac:dyDescent="0.2">
      <c r="A1299" t="s">
        <v>4733</v>
      </c>
      <c r="E1299" t="str">
        <f>HYPERLINK("http://nlpdeep.cs.uic.edu:8080/proofing/gsii/37337-labs-imaging-13-0.pdf","gsii/37337-labs-imaging-13-0.pdf")</f>
        <v>gsii/37337-labs-imaging-13-0.pdf</v>
      </c>
      <c r="F1299">
        <v>110002</v>
      </c>
      <c r="G1299">
        <v>37337</v>
      </c>
      <c r="H1299" t="s">
        <v>745</v>
      </c>
      <c r="I1299" t="s">
        <v>147</v>
      </c>
    </row>
    <row r="1300" spans="1:10" x14ac:dyDescent="0.2">
      <c r="A1300" t="s">
        <v>4734</v>
      </c>
      <c r="E1300" t="str">
        <f>HYPERLINK("http://nlpdeep.cs.uic.edu:8080/proofing/t5/37337-labs-imaging-14-0.pdf","t5/37337-labs-imaging-14-0.pdf")</f>
        <v>t5/37337-labs-imaging-14-0.pdf</v>
      </c>
      <c r="F1300">
        <v>110002</v>
      </c>
      <c r="G1300">
        <v>37337</v>
      </c>
      <c r="H1300" t="s">
        <v>745</v>
      </c>
      <c r="I1300" t="s">
        <v>147</v>
      </c>
      <c r="J1300" t="s">
        <v>4735</v>
      </c>
    </row>
    <row r="1301" spans="1:10" x14ac:dyDescent="0.2">
      <c r="A1301" t="s">
        <v>4734</v>
      </c>
      <c r="E1301" t="str">
        <f>HYPERLINK("http://nlpdeep.cs.uic.edu:8080/proofing/gsii/37337-labs-imaging-14-0.pdf","gsii/37337-labs-imaging-14-0.pdf")</f>
        <v>gsii/37337-labs-imaging-14-0.pdf</v>
      </c>
      <c r="F1301">
        <v>110002</v>
      </c>
      <c r="G1301">
        <v>37337</v>
      </c>
      <c r="H1301" t="s">
        <v>745</v>
      </c>
      <c r="I1301" t="s">
        <v>147</v>
      </c>
      <c r="J1301" t="s">
        <v>4735</v>
      </c>
    </row>
    <row r="1302" spans="1:10" x14ac:dyDescent="0.2">
      <c r="A1302" t="s">
        <v>4736</v>
      </c>
      <c r="E1302" t="str">
        <f>HYPERLINK("http://nlpdeep.cs.uic.edu:8080/proofing/t5/37337-labs-imaging-15-0.pdf","t5/37337-labs-imaging-15-0.pdf")</f>
        <v>t5/37337-labs-imaging-15-0.pdf</v>
      </c>
      <c r="F1302">
        <v>110002</v>
      </c>
      <c r="G1302">
        <v>37337</v>
      </c>
      <c r="H1302" t="s">
        <v>745</v>
      </c>
      <c r="I1302" t="s">
        <v>147</v>
      </c>
      <c r="J1302" t="s">
        <v>4737</v>
      </c>
    </row>
    <row r="1303" spans="1:10" x14ac:dyDescent="0.2">
      <c r="A1303" t="s">
        <v>4736</v>
      </c>
      <c r="E1303" t="str">
        <f>HYPERLINK("http://nlpdeep.cs.uic.edu:8080/proofing/gsii/37337-labs-imaging-15-0.pdf","gsii/37337-labs-imaging-15-0.pdf")</f>
        <v>gsii/37337-labs-imaging-15-0.pdf</v>
      </c>
      <c r="F1303">
        <v>110002</v>
      </c>
      <c r="G1303">
        <v>37337</v>
      </c>
      <c r="H1303" t="s">
        <v>745</v>
      </c>
      <c r="I1303" t="s">
        <v>147</v>
      </c>
      <c r="J1303" t="s">
        <v>4737</v>
      </c>
    </row>
    <row r="1304" spans="1:10" x14ac:dyDescent="0.2">
      <c r="A1304" t="s">
        <v>4738</v>
      </c>
      <c r="E1304" t="str">
        <f>HYPERLINK("http://nlpdeep.cs.uic.edu:8080/proofing/t5/37337-labs-imaging-16-0.pdf","t5/37337-labs-imaging-16-0.pdf")</f>
        <v>t5/37337-labs-imaging-16-0.pdf</v>
      </c>
      <c r="F1304">
        <v>110002</v>
      </c>
      <c r="G1304">
        <v>37337</v>
      </c>
      <c r="H1304" t="s">
        <v>745</v>
      </c>
      <c r="I1304" t="s">
        <v>147</v>
      </c>
    </row>
    <row r="1305" spans="1:10" x14ac:dyDescent="0.2">
      <c r="A1305" t="s">
        <v>4738</v>
      </c>
      <c r="E1305" t="str">
        <f>HYPERLINK("http://nlpdeep.cs.uic.edu:8080/proofing/gsii/37337-labs-imaging-16-0.pdf","gsii/37337-labs-imaging-16-0.pdf")</f>
        <v>gsii/37337-labs-imaging-16-0.pdf</v>
      </c>
      <c r="F1305">
        <v>110002</v>
      </c>
      <c r="G1305">
        <v>37337</v>
      </c>
      <c r="H1305" t="s">
        <v>745</v>
      </c>
      <c r="I1305" t="s">
        <v>147</v>
      </c>
    </row>
    <row r="1306" spans="1:10" x14ac:dyDescent="0.2">
      <c r="A1306" t="s">
        <v>4739</v>
      </c>
      <c r="E1306" t="str">
        <f>HYPERLINK("http://nlpdeep.cs.uic.edu:8080/proofing/t5/37337-labs-imaging-16-1.pdf","t5/37337-labs-imaging-16-1.pdf")</f>
        <v>t5/37337-labs-imaging-16-1.pdf</v>
      </c>
      <c r="F1306">
        <v>110002</v>
      </c>
      <c r="G1306">
        <v>37337</v>
      </c>
      <c r="H1306" t="s">
        <v>745</v>
      </c>
      <c r="I1306" t="s">
        <v>147</v>
      </c>
      <c r="J1306" t="s">
        <v>4740</v>
      </c>
    </row>
    <row r="1307" spans="1:10" x14ac:dyDescent="0.2">
      <c r="A1307" t="s">
        <v>4739</v>
      </c>
      <c r="E1307" t="str">
        <f>HYPERLINK("http://nlpdeep.cs.uic.edu:8080/proofing/gsii/37337-labs-imaging-16-1.pdf","gsii/37337-labs-imaging-16-1.pdf")</f>
        <v>gsii/37337-labs-imaging-16-1.pdf</v>
      </c>
      <c r="F1307">
        <v>110002</v>
      </c>
      <c r="G1307">
        <v>37337</v>
      </c>
      <c r="H1307" t="s">
        <v>745</v>
      </c>
      <c r="I1307" t="s">
        <v>147</v>
      </c>
      <c r="J1307" t="s">
        <v>4740</v>
      </c>
    </row>
    <row r="1308" spans="1:10" x14ac:dyDescent="0.2">
      <c r="A1308" t="s">
        <v>4741</v>
      </c>
      <c r="E1308" t="str">
        <f>HYPERLINK("http://nlpdeep.cs.uic.edu:8080/proofing/t5/37337-labs-imaging-16-2.pdf","t5/37337-labs-imaging-16-2.pdf")</f>
        <v>t5/37337-labs-imaging-16-2.pdf</v>
      </c>
      <c r="F1308">
        <v>110002</v>
      </c>
      <c r="G1308">
        <v>37337</v>
      </c>
      <c r="H1308" t="s">
        <v>745</v>
      </c>
      <c r="I1308" t="s">
        <v>147</v>
      </c>
      <c r="J1308" t="s">
        <v>4742</v>
      </c>
    </row>
    <row r="1309" spans="1:10" x14ac:dyDescent="0.2">
      <c r="A1309" t="s">
        <v>4741</v>
      </c>
      <c r="E1309" t="str">
        <f>HYPERLINK("http://nlpdeep.cs.uic.edu:8080/proofing/gsii/37337-labs-imaging-16-2.pdf","gsii/37337-labs-imaging-16-2.pdf")</f>
        <v>gsii/37337-labs-imaging-16-2.pdf</v>
      </c>
      <c r="F1309">
        <v>110002</v>
      </c>
      <c r="G1309">
        <v>37337</v>
      </c>
      <c r="H1309" t="s">
        <v>745</v>
      </c>
      <c r="I1309" t="s">
        <v>147</v>
      </c>
      <c r="J1309" t="s">
        <v>4742</v>
      </c>
    </row>
    <row r="1310" spans="1:10" x14ac:dyDescent="0.2">
      <c r="A1310" t="s">
        <v>4743</v>
      </c>
      <c r="E1310" t="str">
        <f>HYPERLINK("http://nlpdeep.cs.uic.edu:8080/proofing/t5/37337-labs-imaging-16-3.pdf","t5/37337-labs-imaging-16-3.pdf")</f>
        <v>t5/37337-labs-imaging-16-3.pdf</v>
      </c>
      <c r="F1310">
        <v>110002</v>
      </c>
      <c r="G1310">
        <v>37337</v>
      </c>
      <c r="H1310" t="s">
        <v>745</v>
      </c>
      <c r="I1310" t="s">
        <v>147</v>
      </c>
      <c r="J1310" t="s">
        <v>4744</v>
      </c>
    </row>
    <row r="1311" spans="1:10" x14ac:dyDescent="0.2">
      <c r="A1311" t="s">
        <v>4743</v>
      </c>
      <c r="E1311" t="str">
        <f>HYPERLINK("http://nlpdeep.cs.uic.edu:8080/proofing/gsii/37337-labs-imaging-16-3.pdf","gsii/37337-labs-imaging-16-3.pdf")</f>
        <v>gsii/37337-labs-imaging-16-3.pdf</v>
      </c>
      <c r="F1311">
        <v>110002</v>
      </c>
      <c r="G1311">
        <v>37337</v>
      </c>
      <c r="H1311" t="s">
        <v>745</v>
      </c>
      <c r="I1311" t="s">
        <v>147</v>
      </c>
      <c r="J1311" t="s">
        <v>4744</v>
      </c>
    </row>
    <row r="1312" spans="1:10" x14ac:dyDescent="0.2">
      <c r="A1312" t="s">
        <v>4745</v>
      </c>
      <c r="E1312" t="str">
        <f>HYPERLINK("http://nlpdeep.cs.uic.edu:8080/proofing/t5/37337-labs-imaging-16-4.pdf","t5/37337-labs-imaging-16-4.pdf")</f>
        <v>t5/37337-labs-imaging-16-4.pdf</v>
      </c>
      <c r="F1312">
        <v>110002</v>
      </c>
      <c r="G1312">
        <v>37337</v>
      </c>
      <c r="H1312" t="s">
        <v>745</v>
      </c>
      <c r="I1312" t="s">
        <v>147</v>
      </c>
      <c r="J1312" t="s">
        <v>4746</v>
      </c>
    </row>
    <row r="1313" spans="1:10" x14ac:dyDescent="0.2">
      <c r="A1313" t="s">
        <v>4745</v>
      </c>
      <c r="E1313" t="str">
        <f>HYPERLINK("http://nlpdeep.cs.uic.edu:8080/proofing/gsii/37337-labs-imaging-16-4.pdf","gsii/37337-labs-imaging-16-4.pdf")</f>
        <v>gsii/37337-labs-imaging-16-4.pdf</v>
      </c>
      <c r="F1313">
        <v>110002</v>
      </c>
      <c r="G1313">
        <v>37337</v>
      </c>
      <c r="H1313" t="s">
        <v>745</v>
      </c>
      <c r="I1313" t="s">
        <v>147</v>
      </c>
      <c r="J1313" t="s">
        <v>4746</v>
      </c>
    </row>
    <row r="1314" spans="1:10" x14ac:dyDescent="0.2">
      <c r="A1314" t="s">
        <v>4747</v>
      </c>
      <c r="E1314" t="str">
        <f>HYPERLINK("http://nlpdeep.cs.uic.edu:8080/proofing/t5/37337-labs-imaging-16-5.pdf","t5/37337-labs-imaging-16-5.pdf")</f>
        <v>t5/37337-labs-imaging-16-5.pdf</v>
      </c>
      <c r="F1314">
        <v>110002</v>
      </c>
      <c r="G1314">
        <v>37337</v>
      </c>
      <c r="H1314" t="s">
        <v>745</v>
      </c>
      <c r="I1314" t="s">
        <v>147</v>
      </c>
      <c r="J1314" t="s">
        <v>4748</v>
      </c>
    </row>
    <row r="1315" spans="1:10" x14ac:dyDescent="0.2">
      <c r="A1315" t="s">
        <v>4747</v>
      </c>
      <c r="E1315" t="str">
        <f>HYPERLINK("http://nlpdeep.cs.uic.edu:8080/proofing/gsii/37337-labs-imaging-16-5.pdf","gsii/37337-labs-imaging-16-5.pdf")</f>
        <v>gsii/37337-labs-imaging-16-5.pdf</v>
      </c>
      <c r="F1315">
        <v>110002</v>
      </c>
      <c r="G1315">
        <v>37337</v>
      </c>
      <c r="H1315" t="s">
        <v>745</v>
      </c>
      <c r="I1315" t="s">
        <v>147</v>
      </c>
      <c r="J1315" t="s">
        <v>4748</v>
      </c>
    </row>
    <row r="1316" spans="1:10" x14ac:dyDescent="0.2">
      <c r="A1316" t="s">
        <v>4749</v>
      </c>
      <c r="E1316" t="str">
        <f>HYPERLINK("http://nlpdeep.cs.uic.edu:8080/proofing/t5/37337-labs-imaging-16-6.pdf","t5/37337-labs-imaging-16-6.pdf")</f>
        <v>t5/37337-labs-imaging-16-6.pdf</v>
      </c>
      <c r="F1316">
        <v>110002</v>
      </c>
      <c r="G1316">
        <v>37337</v>
      </c>
      <c r="H1316" t="s">
        <v>745</v>
      </c>
      <c r="I1316" t="s">
        <v>147</v>
      </c>
      <c r="J1316" t="s">
        <v>4750</v>
      </c>
    </row>
    <row r="1317" spans="1:10" x14ac:dyDescent="0.2">
      <c r="A1317" t="s">
        <v>4749</v>
      </c>
      <c r="E1317" t="str">
        <f>HYPERLINK("http://nlpdeep.cs.uic.edu:8080/proofing/gsii/37337-labs-imaging-16-6.pdf","gsii/37337-labs-imaging-16-6.pdf")</f>
        <v>gsii/37337-labs-imaging-16-6.pdf</v>
      </c>
      <c r="F1317">
        <v>110002</v>
      </c>
      <c r="G1317">
        <v>37337</v>
      </c>
      <c r="H1317" t="s">
        <v>745</v>
      </c>
      <c r="I1317" t="s">
        <v>147</v>
      </c>
      <c r="J1317" t="s">
        <v>4750</v>
      </c>
    </row>
    <row r="1318" spans="1:10" x14ac:dyDescent="0.2">
      <c r="A1318" t="s">
        <v>4751</v>
      </c>
      <c r="E1318" t="str">
        <f>HYPERLINK("http://nlpdeep.cs.uic.edu:8080/proofing/t5/37337-labs-imaging-16-7.pdf","t5/37337-labs-imaging-16-7.pdf")</f>
        <v>t5/37337-labs-imaging-16-7.pdf</v>
      </c>
      <c r="F1318">
        <v>110002</v>
      </c>
      <c r="G1318">
        <v>37337</v>
      </c>
      <c r="H1318" t="s">
        <v>745</v>
      </c>
      <c r="I1318" t="s">
        <v>147</v>
      </c>
      <c r="J1318" t="s">
        <v>4752</v>
      </c>
    </row>
    <row r="1319" spans="1:10" x14ac:dyDescent="0.2">
      <c r="A1319" t="s">
        <v>4751</v>
      </c>
      <c r="E1319" t="str">
        <f>HYPERLINK("http://nlpdeep.cs.uic.edu:8080/proofing/gsii/37337-labs-imaging-16-7.pdf","gsii/37337-labs-imaging-16-7.pdf")</f>
        <v>gsii/37337-labs-imaging-16-7.pdf</v>
      </c>
      <c r="F1319">
        <v>110002</v>
      </c>
      <c r="G1319">
        <v>37337</v>
      </c>
      <c r="H1319" t="s">
        <v>745</v>
      </c>
      <c r="I1319" t="s">
        <v>147</v>
      </c>
      <c r="J1319" t="s">
        <v>4752</v>
      </c>
    </row>
    <row r="1320" spans="1:10" x14ac:dyDescent="0.2">
      <c r="A1320" t="s">
        <v>4753</v>
      </c>
      <c r="E1320" t="str">
        <f>HYPERLINK("http://nlpdeep.cs.uic.edu:8080/proofing/t5/37337-labs-imaging-17-0.pdf","t5/37337-labs-imaging-17-0.pdf")</f>
        <v>t5/37337-labs-imaging-17-0.pdf</v>
      </c>
      <c r="F1320">
        <v>110002</v>
      </c>
      <c r="G1320">
        <v>37337</v>
      </c>
      <c r="H1320" t="s">
        <v>745</v>
      </c>
      <c r="I1320" t="s">
        <v>147</v>
      </c>
    </row>
    <row r="1321" spans="1:10" x14ac:dyDescent="0.2">
      <c r="A1321" t="s">
        <v>4753</v>
      </c>
      <c r="E1321" t="str">
        <f>HYPERLINK("http://nlpdeep.cs.uic.edu:8080/proofing/gsii/37337-labs-imaging-17-0.pdf","gsii/37337-labs-imaging-17-0.pdf")</f>
        <v>gsii/37337-labs-imaging-17-0.pdf</v>
      </c>
      <c r="F1321">
        <v>110002</v>
      </c>
      <c r="G1321">
        <v>37337</v>
      </c>
      <c r="H1321" t="s">
        <v>745</v>
      </c>
      <c r="I1321" t="s">
        <v>147</v>
      </c>
    </row>
    <row r="1322" spans="1:10" x14ac:dyDescent="0.2">
      <c r="A1322" t="s">
        <v>4754</v>
      </c>
      <c r="E1322" t="str">
        <f>HYPERLINK("http://nlpdeep.cs.uic.edu:8080/proofing/t5/37337-labs-imaging-18-0.pdf","t5/37337-labs-imaging-18-0.pdf")</f>
        <v>t5/37337-labs-imaging-18-0.pdf</v>
      </c>
      <c r="F1322">
        <v>110002</v>
      </c>
      <c r="G1322">
        <v>37337</v>
      </c>
      <c r="H1322" t="s">
        <v>745</v>
      </c>
      <c r="I1322" t="s">
        <v>147</v>
      </c>
    </row>
    <row r="1323" spans="1:10" x14ac:dyDescent="0.2">
      <c r="A1323" t="s">
        <v>4754</v>
      </c>
      <c r="E1323" t="str">
        <f>HYPERLINK("http://nlpdeep.cs.uic.edu:8080/proofing/gsii/37337-labs-imaging-18-0.pdf","gsii/37337-labs-imaging-18-0.pdf")</f>
        <v>gsii/37337-labs-imaging-18-0.pdf</v>
      </c>
      <c r="F1323">
        <v>110002</v>
      </c>
      <c r="G1323">
        <v>37337</v>
      </c>
      <c r="H1323" t="s">
        <v>745</v>
      </c>
      <c r="I1323" t="s">
        <v>147</v>
      </c>
    </row>
    <row r="1324" spans="1:10" x14ac:dyDescent="0.2">
      <c r="A1324" t="s">
        <v>4755</v>
      </c>
      <c r="E1324" t="str">
        <f>HYPERLINK("http://nlpdeep.cs.uic.edu:8080/proofing/t5/37337-labs-imaging-19-0.pdf","t5/37337-labs-imaging-19-0.pdf")</f>
        <v>t5/37337-labs-imaging-19-0.pdf</v>
      </c>
      <c r="F1324">
        <v>110002</v>
      </c>
      <c r="G1324">
        <v>37337</v>
      </c>
      <c r="H1324" t="s">
        <v>745</v>
      </c>
      <c r="I1324" t="s">
        <v>147</v>
      </c>
    </row>
    <row r="1325" spans="1:10" x14ac:dyDescent="0.2">
      <c r="A1325" t="s">
        <v>4755</v>
      </c>
      <c r="E1325" t="str">
        <f>HYPERLINK("http://nlpdeep.cs.uic.edu:8080/proofing/gsii/37337-labs-imaging-19-0.pdf","gsii/37337-labs-imaging-19-0.pdf")</f>
        <v>gsii/37337-labs-imaging-19-0.pdf</v>
      </c>
      <c r="F1325">
        <v>110002</v>
      </c>
      <c r="G1325">
        <v>37337</v>
      </c>
      <c r="H1325" t="s">
        <v>745</v>
      </c>
      <c r="I1325" t="s">
        <v>147</v>
      </c>
    </row>
    <row r="1326" spans="1:10" x14ac:dyDescent="0.2">
      <c r="A1326" t="s">
        <v>4756</v>
      </c>
      <c r="E1326" t="str">
        <f>HYPERLINK("http://nlpdeep.cs.uic.edu:8080/proofing/t5/37337-labs-imaging-19-1.pdf","t5/37337-labs-imaging-19-1.pdf")</f>
        <v>t5/37337-labs-imaging-19-1.pdf</v>
      </c>
      <c r="F1326">
        <v>110002</v>
      </c>
      <c r="G1326">
        <v>37337</v>
      </c>
      <c r="H1326" t="s">
        <v>745</v>
      </c>
      <c r="I1326" t="s">
        <v>147</v>
      </c>
      <c r="J1326" t="s">
        <v>4757</v>
      </c>
    </row>
    <row r="1327" spans="1:10" x14ac:dyDescent="0.2">
      <c r="A1327" t="s">
        <v>4756</v>
      </c>
      <c r="E1327" t="str">
        <f>HYPERLINK("http://nlpdeep.cs.uic.edu:8080/proofing/gsii/37337-labs-imaging-19-1.pdf","gsii/37337-labs-imaging-19-1.pdf")</f>
        <v>gsii/37337-labs-imaging-19-1.pdf</v>
      </c>
      <c r="F1327">
        <v>110002</v>
      </c>
      <c r="G1327">
        <v>37337</v>
      </c>
      <c r="H1327" t="s">
        <v>745</v>
      </c>
      <c r="I1327" t="s">
        <v>147</v>
      </c>
      <c r="J1327" t="s">
        <v>4757</v>
      </c>
    </row>
    <row r="1328" spans="1:10" x14ac:dyDescent="0.2">
      <c r="A1328" t="s">
        <v>4758</v>
      </c>
      <c r="E1328" t="str">
        <f>HYPERLINK("http://nlpdeep.cs.uic.edu:8080/proofing/t5/37337-labs-imaging-20-0.pdf","t5/37337-labs-imaging-20-0.pdf")</f>
        <v>t5/37337-labs-imaging-20-0.pdf</v>
      </c>
      <c r="F1328">
        <v>110002</v>
      </c>
      <c r="G1328">
        <v>37337</v>
      </c>
      <c r="H1328" t="s">
        <v>745</v>
      </c>
      <c r="I1328" t="s">
        <v>147</v>
      </c>
      <c r="J1328" t="s">
        <v>4759</v>
      </c>
    </row>
    <row r="1329" spans="1:10" x14ac:dyDescent="0.2">
      <c r="A1329" t="s">
        <v>4758</v>
      </c>
      <c r="E1329" t="str">
        <f>HYPERLINK("http://nlpdeep.cs.uic.edu:8080/proofing/gsii/37337-labs-imaging-20-0.pdf","gsii/37337-labs-imaging-20-0.pdf")</f>
        <v>gsii/37337-labs-imaging-20-0.pdf</v>
      </c>
      <c r="F1329">
        <v>110002</v>
      </c>
      <c r="G1329">
        <v>37337</v>
      </c>
      <c r="H1329" t="s">
        <v>745</v>
      </c>
      <c r="I1329" t="s">
        <v>147</v>
      </c>
      <c r="J1329" t="s">
        <v>4759</v>
      </c>
    </row>
    <row r="1330" spans="1:10" x14ac:dyDescent="0.2">
      <c r="A1330" t="s">
        <v>4760</v>
      </c>
      <c r="E1330" t="str">
        <f>HYPERLINK("http://nlpdeep.cs.uic.edu:8080/proofing/t5/37337-labs-imaging-21-0.pdf","t5/37337-labs-imaging-21-0.pdf")</f>
        <v>t5/37337-labs-imaging-21-0.pdf</v>
      </c>
      <c r="F1330">
        <v>110002</v>
      </c>
      <c r="G1330">
        <v>37337</v>
      </c>
      <c r="H1330" t="s">
        <v>745</v>
      </c>
      <c r="I1330" t="s">
        <v>147</v>
      </c>
    </row>
    <row r="1331" spans="1:10" x14ac:dyDescent="0.2">
      <c r="A1331" t="s">
        <v>4760</v>
      </c>
      <c r="E1331" t="str">
        <f>HYPERLINK("http://nlpdeep.cs.uic.edu:8080/proofing/gsii/37337-labs-imaging-21-0.pdf","gsii/37337-labs-imaging-21-0.pdf")</f>
        <v>gsii/37337-labs-imaging-21-0.pdf</v>
      </c>
      <c r="F1331">
        <v>110002</v>
      </c>
      <c r="G1331">
        <v>37337</v>
      </c>
      <c r="H1331" t="s">
        <v>745</v>
      </c>
      <c r="I1331" t="s">
        <v>147</v>
      </c>
    </row>
    <row r="1332" spans="1:10" x14ac:dyDescent="0.2">
      <c r="A1332" t="s">
        <v>4761</v>
      </c>
      <c r="E1332" t="str">
        <f>HYPERLINK("http://nlpdeep.cs.uic.edu:8080/proofing/t5/37337-labs-imaging-22-0.pdf","t5/37337-labs-imaging-22-0.pdf")</f>
        <v>t5/37337-labs-imaging-22-0.pdf</v>
      </c>
      <c r="F1332">
        <v>110002</v>
      </c>
      <c r="G1332">
        <v>37337</v>
      </c>
      <c r="H1332" t="s">
        <v>745</v>
      </c>
      <c r="I1332" t="s">
        <v>147</v>
      </c>
    </row>
    <row r="1333" spans="1:10" x14ac:dyDescent="0.2">
      <c r="A1333" t="s">
        <v>4761</v>
      </c>
      <c r="E1333" t="str">
        <f>HYPERLINK("http://nlpdeep.cs.uic.edu:8080/proofing/gsii/37337-labs-imaging-22-0.pdf","gsii/37337-labs-imaging-22-0.pdf")</f>
        <v>gsii/37337-labs-imaging-22-0.pdf</v>
      </c>
      <c r="F1333">
        <v>110002</v>
      </c>
      <c r="G1333">
        <v>37337</v>
      </c>
      <c r="H1333" t="s">
        <v>745</v>
      </c>
      <c r="I1333" t="s">
        <v>147</v>
      </c>
    </row>
    <row r="1334" spans="1:10" x14ac:dyDescent="0.2">
      <c r="A1334" t="s">
        <v>4762</v>
      </c>
      <c r="E1334" t="str">
        <f>HYPERLINK("http://nlpdeep.cs.uic.edu:8080/proofing/t5/37337-labs-imaging-23-0.pdf","t5/37337-labs-imaging-23-0.pdf")</f>
        <v>t5/37337-labs-imaging-23-0.pdf</v>
      </c>
      <c r="F1334">
        <v>110002</v>
      </c>
      <c r="G1334">
        <v>37337</v>
      </c>
      <c r="H1334" t="s">
        <v>745</v>
      </c>
      <c r="I1334" t="s">
        <v>147</v>
      </c>
    </row>
    <row r="1335" spans="1:10" x14ac:dyDescent="0.2">
      <c r="A1335" t="s">
        <v>4762</v>
      </c>
      <c r="E1335" t="str">
        <f>HYPERLINK("http://nlpdeep.cs.uic.edu:8080/proofing/gsii/37337-labs-imaging-23-0.pdf","gsii/37337-labs-imaging-23-0.pdf")</f>
        <v>gsii/37337-labs-imaging-23-0.pdf</v>
      </c>
      <c r="F1335">
        <v>110002</v>
      </c>
      <c r="G1335">
        <v>37337</v>
      </c>
      <c r="H1335" t="s">
        <v>745</v>
      </c>
      <c r="I1335" t="s">
        <v>147</v>
      </c>
    </row>
    <row r="1336" spans="1:10" x14ac:dyDescent="0.2">
      <c r="A1336" t="s">
        <v>4763</v>
      </c>
      <c r="E1336" t="str">
        <f>HYPERLINK("http://nlpdeep.cs.uic.edu:8080/proofing/t5/37337-labs-imaging-24-0.pdf","t5/37337-labs-imaging-24-0.pdf")</f>
        <v>t5/37337-labs-imaging-24-0.pdf</v>
      </c>
      <c r="F1336">
        <v>110002</v>
      </c>
      <c r="G1336">
        <v>37337</v>
      </c>
      <c r="H1336" t="s">
        <v>745</v>
      </c>
      <c r="I1336" t="s">
        <v>147</v>
      </c>
    </row>
    <row r="1337" spans="1:10" x14ac:dyDescent="0.2">
      <c r="A1337" t="s">
        <v>4763</v>
      </c>
      <c r="E1337" t="str">
        <f>HYPERLINK("http://nlpdeep.cs.uic.edu:8080/proofing/gsii/37337-labs-imaging-24-0.pdf","gsii/37337-labs-imaging-24-0.pdf")</f>
        <v>gsii/37337-labs-imaging-24-0.pdf</v>
      </c>
      <c r="F1337">
        <v>110002</v>
      </c>
      <c r="G1337">
        <v>37337</v>
      </c>
      <c r="H1337" t="s">
        <v>745</v>
      </c>
      <c r="I1337" t="s">
        <v>147</v>
      </c>
    </row>
    <row r="1338" spans="1:10" x14ac:dyDescent="0.2">
      <c r="A1338" t="s">
        <v>4764</v>
      </c>
      <c r="E1338" t="str">
        <f>HYPERLINK("http://nlpdeep.cs.uic.edu:8080/proofing/t5/37337-labs-imaging-24-1.pdf","t5/37337-labs-imaging-24-1.pdf")</f>
        <v>t5/37337-labs-imaging-24-1.pdf</v>
      </c>
      <c r="F1338">
        <v>110002</v>
      </c>
      <c r="G1338">
        <v>37337</v>
      </c>
      <c r="H1338" t="s">
        <v>745</v>
      </c>
      <c r="I1338" t="s">
        <v>147</v>
      </c>
      <c r="J1338" t="s">
        <v>4765</v>
      </c>
    </row>
    <row r="1339" spans="1:10" x14ac:dyDescent="0.2">
      <c r="A1339" t="s">
        <v>4764</v>
      </c>
      <c r="E1339" t="str">
        <f>HYPERLINK("http://nlpdeep.cs.uic.edu:8080/proofing/gsii/37337-labs-imaging-24-1.pdf","gsii/37337-labs-imaging-24-1.pdf")</f>
        <v>gsii/37337-labs-imaging-24-1.pdf</v>
      </c>
      <c r="F1339">
        <v>110002</v>
      </c>
      <c r="G1339">
        <v>37337</v>
      </c>
      <c r="H1339" t="s">
        <v>745</v>
      </c>
      <c r="I1339" t="s">
        <v>147</v>
      </c>
      <c r="J1339" t="s">
        <v>4765</v>
      </c>
    </row>
    <row r="1340" spans="1:10" x14ac:dyDescent="0.2">
      <c r="A1340" t="s">
        <v>4766</v>
      </c>
      <c r="E1340" t="str">
        <f>HYPERLINK("http://nlpdeep.cs.uic.edu:8080/proofing/t5/37337-labs-imaging-25-0.pdf","t5/37337-labs-imaging-25-0.pdf")</f>
        <v>t5/37337-labs-imaging-25-0.pdf</v>
      </c>
      <c r="F1340">
        <v>110002</v>
      </c>
      <c r="G1340">
        <v>37337</v>
      </c>
      <c r="H1340" t="s">
        <v>745</v>
      </c>
      <c r="I1340" t="s">
        <v>147</v>
      </c>
      <c r="J1340" t="s">
        <v>4767</v>
      </c>
    </row>
    <row r="1341" spans="1:10" x14ac:dyDescent="0.2">
      <c r="A1341" t="s">
        <v>4766</v>
      </c>
      <c r="E1341" t="str">
        <f>HYPERLINK("http://nlpdeep.cs.uic.edu:8080/proofing/gsii/37337-labs-imaging-25-0.pdf","gsii/37337-labs-imaging-25-0.pdf")</f>
        <v>gsii/37337-labs-imaging-25-0.pdf</v>
      </c>
      <c r="F1341">
        <v>110002</v>
      </c>
      <c r="G1341">
        <v>37337</v>
      </c>
      <c r="H1341" t="s">
        <v>745</v>
      </c>
      <c r="I1341" t="s">
        <v>147</v>
      </c>
      <c r="J1341" t="s">
        <v>4767</v>
      </c>
    </row>
    <row r="1342" spans="1:10" x14ac:dyDescent="0.2">
      <c r="A1342" t="s">
        <v>4768</v>
      </c>
      <c r="E1342" t="str">
        <f>HYPERLINK("http://nlpdeep.cs.uic.edu:8080/proofing/t5/37337-labs-imaging-25-1.pdf","t5/37337-labs-imaging-25-1.pdf")</f>
        <v>t5/37337-labs-imaging-25-1.pdf</v>
      </c>
      <c r="F1342">
        <v>110002</v>
      </c>
      <c r="G1342">
        <v>37337</v>
      </c>
      <c r="H1342" t="s">
        <v>745</v>
      </c>
      <c r="I1342" t="s">
        <v>147</v>
      </c>
      <c r="J1342" t="s">
        <v>4769</v>
      </c>
    </row>
    <row r="1343" spans="1:10" x14ac:dyDescent="0.2">
      <c r="A1343" t="s">
        <v>4768</v>
      </c>
      <c r="E1343" t="str">
        <f>HYPERLINK("http://nlpdeep.cs.uic.edu:8080/proofing/gsii/37337-labs-imaging-25-1.pdf","gsii/37337-labs-imaging-25-1.pdf")</f>
        <v>gsii/37337-labs-imaging-25-1.pdf</v>
      </c>
      <c r="F1343">
        <v>110002</v>
      </c>
      <c r="G1343">
        <v>37337</v>
      </c>
      <c r="H1343" t="s">
        <v>745</v>
      </c>
      <c r="I1343" t="s">
        <v>147</v>
      </c>
      <c r="J1343" t="s">
        <v>4769</v>
      </c>
    </row>
    <row r="1344" spans="1:10" x14ac:dyDescent="0.2">
      <c r="A1344" t="s">
        <v>4770</v>
      </c>
      <c r="E1344" t="str">
        <f>HYPERLINK("http://nlpdeep.cs.uic.edu:8080/proofing/t5/37337-labs-imaging-25-2.pdf","t5/37337-labs-imaging-25-2.pdf")</f>
        <v>t5/37337-labs-imaging-25-2.pdf</v>
      </c>
      <c r="F1344">
        <v>110002</v>
      </c>
      <c r="G1344">
        <v>37337</v>
      </c>
      <c r="H1344" t="s">
        <v>745</v>
      </c>
      <c r="I1344" t="s">
        <v>147</v>
      </c>
      <c r="J1344" t="s">
        <v>4771</v>
      </c>
    </row>
    <row r="1345" spans="1:10" x14ac:dyDescent="0.2">
      <c r="A1345" t="s">
        <v>4770</v>
      </c>
      <c r="E1345" t="str">
        <f>HYPERLINK("http://nlpdeep.cs.uic.edu:8080/proofing/gsii/37337-labs-imaging-25-2.pdf","gsii/37337-labs-imaging-25-2.pdf")</f>
        <v>gsii/37337-labs-imaging-25-2.pdf</v>
      </c>
      <c r="F1345">
        <v>110002</v>
      </c>
      <c r="G1345">
        <v>37337</v>
      </c>
      <c r="H1345" t="s">
        <v>745</v>
      </c>
      <c r="I1345" t="s">
        <v>147</v>
      </c>
      <c r="J1345" t="s">
        <v>4771</v>
      </c>
    </row>
    <row r="1346" spans="1:10" x14ac:dyDescent="0.2">
      <c r="A1346" t="s">
        <v>4772</v>
      </c>
      <c r="E1346" t="str">
        <f>HYPERLINK("http://nlpdeep.cs.uic.edu:8080/proofing/t5/37337-labs-imaging-25-3.pdf","t5/37337-labs-imaging-25-3.pdf")</f>
        <v>t5/37337-labs-imaging-25-3.pdf</v>
      </c>
      <c r="F1346">
        <v>110002</v>
      </c>
      <c r="G1346">
        <v>37337</v>
      </c>
      <c r="H1346" t="s">
        <v>745</v>
      </c>
      <c r="I1346" t="s">
        <v>147</v>
      </c>
      <c r="J1346" t="s">
        <v>4773</v>
      </c>
    </row>
    <row r="1347" spans="1:10" x14ac:dyDescent="0.2">
      <c r="A1347" t="s">
        <v>4772</v>
      </c>
      <c r="E1347" t="str">
        <f>HYPERLINK("http://nlpdeep.cs.uic.edu:8080/proofing/gsii/37337-labs-imaging-25-3.pdf","gsii/37337-labs-imaging-25-3.pdf")</f>
        <v>gsii/37337-labs-imaging-25-3.pdf</v>
      </c>
      <c r="F1347">
        <v>110002</v>
      </c>
      <c r="G1347">
        <v>37337</v>
      </c>
      <c r="H1347" t="s">
        <v>745</v>
      </c>
      <c r="I1347" t="s">
        <v>147</v>
      </c>
      <c r="J1347" t="s">
        <v>4773</v>
      </c>
    </row>
    <row r="1348" spans="1:10" x14ac:dyDescent="0.2">
      <c r="A1348" t="s">
        <v>4774</v>
      </c>
      <c r="E1348" t="str">
        <f>HYPERLINK("http://nlpdeep.cs.uic.edu:8080/proofing/t5/37337-labs-imaging-25-4.pdf","t5/37337-labs-imaging-25-4.pdf")</f>
        <v>t5/37337-labs-imaging-25-4.pdf</v>
      </c>
      <c r="F1348">
        <v>110002</v>
      </c>
      <c r="G1348">
        <v>37337</v>
      </c>
      <c r="H1348" t="s">
        <v>745</v>
      </c>
      <c r="I1348" t="s">
        <v>147</v>
      </c>
      <c r="J1348" t="s">
        <v>4775</v>
      </c>
    </row>
    <row r="1349" spans="1:10" x14ac:dyDescent="0.2">
      <c r="A1349" t="s">
        <v>4774</v>
      </c>
      <c r="E1349" t="str">
        <f>HYPERLINK("http://nlpdeep.cs.uic.edu:8080/proofing/gsii/37337-labs-imaging-25-4.pdf","gsii/37337-labs-imaging-25-4.pdf")</f>
        <v>gsii/37337-labs-imaging-25-4.pdf</v>
      </c>
      <c r="F1349">
        <v>110002</v>
      </c>
      <c r="G1349">
        <v>37337</v>
      </c>
      <c r="H1349" t="s">
        <v>745</v>
      </c>
      <c r="I1349" t="s">
        <v>147</v>
      </c>
      <c r="J1349" t="s">
        <v>4775</v>
      </c>
    </row>
    <row r="1350" spans="1:10" x14ac:dyDescent="0.2">
      <c r="A1350" t="s">
        <v>4776</v>
      </c>
      <c r="E1350" t="str">
        <f>HYPERLINK("http://nlpdeep.cs.uic.edu:8080/proofing/t5/37337-labs-imaging-25-5.pdf","t5/37337-labs-imaging-25-5.pdf")</f>
        <v>t5/37337-labs-imaging-25-5.pdf</v>
      </c>
      <c r="F1350">
        <v>110002</v>
      </c>
      <c r="G1350">
        <v>37337</v>
      </c>
      <c r="H1350" t="s">
        <v>745</v>
      </c>
      <c r="I1350" t="s">
        <v>147</v>
      </c>
      <c r="J1350" t="s">
        <v>4777</v>
      </c>
    </row>
    <row r="1351" spans="1:10" x14ac:dyDescent="0.2">
      <c r="A1351" t="s">
        <v>4776</v>
      </c>
      <c r="E1351" t="str">
        <f>HYPERLINK("http://nlpdeep.cs.uic.edu:8080/proofing/gsii/37337-labs-imaging-25-5.pdf","gsii/37337-labs-imaging-25-5.pdf")</f>
        <v>gsii/37337-labs-imaging-25-5.pdf</v>
      </c>
      <c r="F1351">
        <v>110002</v>
      </c>
      <c r="G1351">
        <v>37337</v>
      </c>
      <c r="H1351" t="s">
        <v>745</v>
      </c>
      <c r="I1351" t="s">
        <v>147</v>
      </c>
      <c r="J1351" t="s">
        <v>4777</v>
      </c>
    </row>
    <row r="1352" spans="1:10" x14ac:dyDescent="0.2">
      <c r="A1352" t="s">
        <v>4778</v>
      </c>
      <c r="E1352" t="str">
        <f>HYPERLINK("http://nlpdeep.cs.uic.edu:8080/proofing/t5/37337-labs-imaging-26-0.pdf","t5/37337-labs-imaging-26-0.pdf")</f>
        <v>t5/37337-labs-imaging-26-0.pdf</v>
      </c>
      <c r="F1352">
        <v>110002</v>
      </c>
      <c r="G1352">
        <v>37337</v>
      </c>
      <c r="H1352" t="s">
        <v>745</v>
      </c>
      <c r="I1352" t="s">
        <v>147</v>
      </c>
    </row>
    <row r="1353" spans="1:10" x14ac:dyDescent="0.2">
      <c r="A1353" t="s">
        <v>4778</v>
      </c>
      <c r="E1353" t="str">
        <f>HYPERLINK("http://nlpdeep.cs.uic.edu:8080/proofing/gsii/37337-labs-imaging-26-0.pdf","gsii/37337-labs-imaging-26-0.pdf")</f>
        <v>gsii/37337-labs-imaging-26-0.pdf</v>
      </c>
      <c r="F1353">
        <v>110002</v>
      </c>
      <c r="G1353">
        <v>37337</v>
      </c>
      <c r="H1353" t="s">
        <v>745</v>
      </c>
      <c r="I1353" t="s">
        <v>147</v>
      </c>
    </row>
    <row r="1354" spans="1:10" x14ac:dyDescent="0.2">
      <c r="A1354" t="s">
        <v>4779</v>
      </c>
      <c r="E1354" t="str">
        <f>HYPERLINK("http://nlpdeep.cs.uic.edu:8080/proofing/t5/37337-labs-imaging-27-0.pdf","t5/37337-labs-imaging-27-0.pdf")</f>
        <v>t5/37337-labs-imaging-27-0.pdf</v>
      </c>
      <c r="F1354">
        <v>110002</v>
      </c>
      <c r="G1354">
        <v>37337</v>
      </c>
      <c r="H1354" t="s">
        <v>745</v>
      </c>
      <c r="I1354" t="s">
        <v>147</v>
      </c>
    </row>
    <row r="1355" spans="1:10" x14ac:dyDescent="0.2">
      <c r="A1355" t="s">
        <v>4779</v>
      </c>
      <c r="E1355" t="str">
        <f>HYPERLINK("http://nlpdeep.cs.uic.edu:8080/proofing/gsii/37337-labs-imaging-27-0.pdf","gsii/37337-labs-imaging-27-0.pdf")</f>
        <v>gsii/37337-labs-imaging-27-0.pdf</v>
      </c>
      <c r="F1355">
        <v>110002</v>
      </c>
      <c r="G1355">
        <v>37337</v>
      </c>
      <c r="H1355" t="s">
        <v>745</v>
      </c>
      <c r="I1355" t="s">
        <v>147</v>
      </c>
    </row>
    <row r="1356" spans="1:10" x14ac:dyDescent="0.2">
      <c r="A1356" t="s">
        <v>4780</v>
      </c>
      <c r="E1356" t="str">
        <f>HYPERLINK("http://nlpdeep.cs.uic.edu:8080/proofing/t5/37337-hospital-course-0-0.pdf","t5/37337-hospital-course-0-0.pdf")</f>
        <v>t5/37337-hospital-course-0-0.pdf</v>
      </c>
      <c r="F1356">
        <v>110002</v>
      </c>
      <c r="G1356">
        <v>37337</v>
      </c>
      <c r="H1356" t="s">
        <v>745</v>
      </c>
      <c r="I1356" t="s">
        <v>999</v>
      </c>
      <c r="J1356" t="s">
        <v>4781</v>
      </c>
    </row>
    <row r="1357" spans="1:10" x14ac:dyDescent="0.2">
      <c r="A1357" t="s">
        <v>4780</v>
      </c>
      <c r="E1357" t="str">
        <f>HYPERLINK("http://nlpdeep.cs.uic.edu:8080/proofing/gsii/37337-hospital-course-0-0.pdf","gsii/37337-hospital-course-0-0.pdf")</f>
        <v>gsii/37337-hospital-course-0-0.pdf</v>
      </c>
      <c r="F1357">
        <v>110002</v>
      </c>
      <c r="G1357">
        <v>37337</v>
      </c>
      <c r="H1357" t="s">
        <v>745</v>
      </c>
      <c r="I1357" t="s">
        <v>999</v>
      </c>
      <c r="J1357" t="s">
        <v>4781</v>
      </c>
    </row>
    <row r="1358" spans="1:10" x14ac:dyDescent="0.2">
      <c r="A1358" t="s">
        <v>4782</v>
      </c>
      <c r="E1358" t="str">
        <f>HYPERLINK("http://nlpdeep.cs.uic.edu:8080/proofing/t5/37337-hospital-course-0-1.pdf","t5/37337-hospital-course-0-1.pdf")</f>
        <v>t5/37337-hospital-course-0-1.pdf</v>
      </c>
      <c r="F1358">
        <v>110002</v>
      </c>
      <c r="G1358">
        <v>37337</v>
      </c>
      <c r="H1358" t="s">
        <v>745</v>
      </c>
      <c r="I1358" t="s">
        <v>999</v>
      </c>
      <c r="J1358" t="s">
        <v>4783</v>
      </c>
    </row>
    <row r="1359" spans="1:10" x14ac:dyDescent="0.2">
      <c r="A1359" t="s">
        <v>4782</v>
      </c>
      <c r="E1359" t="str">
        <f>HYPERLINK("http://nlpdeep.cs.uic.edu:8080/proofing/gsii/37337-hospital-course-0-1.pdf","gsii/37337-hospital-course-0-1.pdf")</f>
        <v>gsii/37337-hospital-course-0-1.pdf</v>
      </c>
      <c r="F1359">
        <v>110002</v>
      </c>
      <c r="G1359">
        <v>37337</v>
      </c>
      <c r="H1359" t="s">
        <v>745</v>
      </c>
      <c r="I1359" t="s">
        <v>999</v>
      </c>
      <c r="J1359" t="s">
        <v>4783</v>
      </c>
    </row>
    <row r="1360" spans="1:10" x14ac:dyDescent="0.2">
      <c r="A1360" t="s">
        <v>4784</v>
      </c>
      <c r="E1360" t="str">
        <f>HYPERLINK("http://nlpdeep.cs.uic.edu:8080/proofing/t5/37337-hospital-course-1-0.pdf","t5/37337-hospital-course-1-0.pdf")</f>
        <v>t5/37337-hospital-course-1-0.pdf</v>
      </c>
      <c r="F1360">
        <v>110002</v>
      </c>
      <c r="G1360">
        <v>37337</v>
      </c>
      <c r="H1360" t="s">
        <v>745</v>
      </c>
      <c r="I1360" t="s">
        <v>999</v>
      </c>
      <c r="J1360" t="s">
        <v>4785</v>
      </c>
    </row>
    <row r="1361" spans="1:10" x14ac:dyDescent="0.2">
      <c r="A1361" t="s">
        <v>4784</v>
      </c>
      <c r="E1361" t="str">
        <f>HYPERLINK("http://nlpdeep.cs.uic.edu:8080/proofing/gsii/37337-hospital-course-1-0.pdf","gsii/37337-hospital-course-1-0.pdf")</f>
        <v>gsii/37337-hospital-course-1-0.pdf</v>
      </c>
      <c r="F1361">
        <v>110002</v>
      </c>
      <c r="G1361">
        <v>37337</v>
      </c>
      <c r="H1361" t="s">
        <v>745</v>
      </c>
      <c r="I1361" t="s">
        <v>999</v>
      </c>
      <c r="J1361" t="s">
        <v>4785</v>
      </c>
    </row>
    <row r="1362" spans="1:10" x14ac:dyDescent="0.2">
      <c r="A1362" t="s">
        <v>4786</v>
      </c>
      <c r="E1362" t="str">
        <f>HYPERLINK("http://nlpdeep.cs.uic.edu:8080/proofing/t5/37337-hospital-course-1-1.pdf","t5/37337-hospital-course-1-1.pdf")</f>
        <v>t5/37337-hospital-course-1-1.pdf</v>
      </c>
      <c r="F1362">
        <v>110002</v>
      </c>
      <c r="G1362">
        <v>37337</v>
      </c>
      <c r="H1362" t="s">
        <v>745</v>
      </c>
      <c r="I1362" t="s">
        <v>999</v>
      </c>
      <c r="J1362" t="s">
        <v>4787</v>
      </c>
    </row>
    <row r="1363" spans="1:10" x14ac:dyDescent="0.2">
      <c r="A1363" t="s">
        <v>4786</v>
      </c>
      <c r="E1363" t="str">
        <f>HYPERLINK("http://nlpdeep.cs.uic.edu:8080/proofing/gsii/37337-hospital-course-1-1.pdf","gsii/37337-hospital-course-1-1.pdf")</f>
        <v>gsii/37337-hospital-course-1-1.pdf</v>
      </c>
      <c r="F1363">
        <v>110002</v>
      </c>
      <c r="G1363">
        <v>37337</v>
      </c>
      <c r="H1363" t="s">
        <v>745</v>
      </c>
      <c r="I1363" t="s">
        <v>999</v>
      </c>
      <c r="J1363" t="s">
        <v>4787</v>
      </c>
    </row>
    <row r="1364" spans="1:10" x14ac:dyDescent="0.2">
      <c r="A1364" t="s">
        <v>4788</v>
      </c>
      <c r="E1364" t="str">
        <f>HYPERLINK("http://nlpdeep.cs.uic.edu:8080/proofing/t5/37337-hospital-course-1-2.pdf","t5/37337-hospital-course-1-2.pdf")</f>
        <v>t5/37337-hospital-course-1-2.pdf</v>
      </c>
      <c r="F1364">
        <v>110002</v>
      </c>
      <c r="G1364">
        <v>37337</v>
      </c>
      <c r="H1364" t="s">
        <v>745</v>
      </c>
      <c r="I1364" t="s">
        <v>999</v>
      </c>
      <c r="J1364" t="s">
        <v>4789</v>
      </c>
    </row>
    <row r="1365" spans="1:10" x14ac:dyDescent="0.2">
      <c r="A1365" t="s">
        <v>4788</v>
      </c>
      <c r="E1365" t="str">
        <f>HYPERLINK("http://nlpdeep.cs.uic.edu:8080/proofing/gsii/37337-hospital-course-1-2.pdf","gsii/37337-hospital-course-1-2.pdf")</f>
        <v>gsii/37337-hospital-course-1-2.pdf</v>
      </c>
      <c r="F1365">
        <v>110002</v>
      </c>
      <c r="G1365">
        <v>37337</v>
      </c>
      <c r="H1365" t="s">
        <v>745</v>
      </c>
      <c r="I1365" t="s">
        <v>999</v>
      </c>
      <c r="J1365" t="s">
        <v>4789</v>
      </c>
    </row>
    <row r="1366" spans="1:10" x14ac:dyDescent="0.2">
      <c r="A1366" t="s">
        <v>4790</v>
      </c>
      <c r="E1366" t="str">
        <f>HYPERLINK("http://nlpdeep.cs.uic.edu:8080/proofing/t5/37337-hospital-course-2-0.pdf","t5/37337-hospital-course-2-0.pdf")</f>
        <v>t5/37337-hospital-course-2-0.pdf</v>
      </c>
      <c r="F1366">
        <v>110002</v>
      </c>
      <c r="G1366">
        <v>37337</v>
      </c>
      <c r="H1366" t="s">
        <v>745</v>
      </c>
      <c r="I1366" t="s">
        <v>999</v>
      </c>
      <c r="J1366" t="s">
        <v>4791</v>
      </c>
    </row>
    <row r="1367" spans="1:10" x14ac:dyDescent="0.2">
      <c r="A1367" t="s">
        <v>4790</v>
      </c>
      <c r="E1367" t="str">
        <f>HYPERLINK("http://nlpdeep.cs.uic.edu:8080/proofing/gsii/37337-hospital-course-2-0.pdf","gsii/37337-hospital-course-2-0.pdf")</f>
        <v>gsii/37337-hospital-course-2-0.pdf</v>
      </c>
      <c r="F1367">
        <v>110002</v>
      </c>
      <c r="G1367">
        <v>37337</v>
      </c>
      <c r="H1367" t="s">
        <v>745</v>
      </c>
      <c r="I1367" t="s">
        <v>999</v>
      </c>
      <c r="J1367" t="s">
        <v>4791</v>
      </c>
    </row>
    <row r="1368" spans="1:10" x14ac:dyDescent="0.2">
      <c r="A1368" t="s">
        <v>4792</v>
      </c>
      <c r="E1368" t="str">
        <f>HYPERLINK("http://nlpdeep.cs.uic.edu:8080/proofing/t5/37337-hospital-course-2-1.pdf","t5/37337-hospital-course-2-1.pdf")</f>
        <v>t5/37337-hospital-course-2-1.pdf</v>
      </c>
      <c r="F1368">
        <v>110002</v>
      </c>
      <c r="G1368">
        <v>37337</v>
      </c>
      <c r="H1368" t="s">
        <v>745</v>
      </c>
      <c r="I1368" t="s">
        <v>999</v>
      </c>
      <c r="J1368" t="s">
        <v>4793</v>
      </c>
    </row>
    <row r="1369" spans="1:10" x14ac:dyDescent="0.2">
      <c r="A1369" t="s">
        <v>4792</v>
      </c>
      <c r="E1369" t="str">
        <f>HYPERLINK("http://nlpdeep.cs.uic.edu:8080/proofing/gsii/37337-hospital-course-2-1.pdf","gsii/37337-hospital-course-2-1.pdf")</f>
        <v>gsii/37337-hospital-course-2-1.pdf</v>
      </c>
      <c r="F1369">
        <v>110002</v>
      </c>
      <c r="G1369">
        <v>37337</v>
      </c>
      <c r="H1369" t="s">
        <v>745</v>
      </c>
      <c r="I1369" t="s">
        <v>999</v>
      </c>
      <c r="J1369" t="s">
        <v>4793</v>
      </c>
    </row>
    <row r="1370" spans="1:10" x14ac:dyDescent="0.2">
      <c r="A1370" t="s">
        <v>4794</v>
      </c>
      <c r="E1370" t="str">
        <f>HYPERLINK("http://nlpdeep.cs.uic.edu:8080/proofing/t5/37337-hospital-course-2-2.pdf","t5/37337-hospital-course-2-2.pdf")</f>
        <v>t5/37337-hospital-course-2-2.pdf</v>
      </c>
      <c r="F1370">
        <v>110002</v>
      </c>
      <c r="G1370">
        <v>37337</v>
      </c>
      <c r="H1370" t="s">
        <v>745</v>
      </c>
      <c r="I1370" t="s">
        <v>999</v>
      </c>
      <c r="J1370" t="s">
        <v>4795</v>
      </c>
    </row>
    <row r="1371" spans="1:10" x14ac:dyDescent="0.2">
      <c r="A1371" t="s">
        <v>4794</v>
      </c>
      <c r="E1371" t="str">
        <f>HYPERLINK("http://nlpdeep.cs.uic.edu:8080/proofing/gsii/37337-hospital-course-2-2.pdf","gsii/37337-hospital-course-2-2.pdf")</f>
        <v>gsii/37337-hospital-course-2-2.pdf</v>
      </c>
      <c r="F1371">
        <v>110002</v>
      </c>
      <c r="G1371">
        <v>37337</v>
      </c>
      <c r="H1371" t="s">
        <v>745</v>
      </c>
      <c r="I1371" t="s">
        <v>999</v>
      </c>
      <c r="J1371" t="s">
        <v>4795</v>
      </c>
    </row>
    <row r="1372" spans="1:10" x14ac:dyDescent="0.2">
      <c r="A1372" t="s">
        <v>4796</v>
      </c>
      <c r="E1372" t="str">
        <f>HYPERLINK("http://nlpdeep.cs.uic.edu:8080/proofing/t5/37337-hospital-course-2-3.pdf","t5/37337-hospital-course-2-3.pdf")</f>
        <v>t5/37337-hospital-course-2-3.pdf</v>
      </c>
      <c r="F1372">
        <v>110002</v>
      </c>
      <c r="G1372">
        <v>37337</v>
      </c>
      <c r="H1372" t="s">
        <v>745</v>
      </c>
      <c r="I1372" t="s">
        <v>999</v>
      </c>
      <c r="J1372" t="s">
        <v>4797</v>
      </c>
    </row>
    <row r="1373" spans="1:10" x14ac:dyDescent="0.2">
      <c r="A1373" t="s">
        <v>4796</v>
      </c>
      <c r="E1373" t="str">
        <f>HYPERLINK("http://nlpdeep.cs.uic.edu:8080/proofing/gsii/37337-hospital-course-2-3.pdf","gsii/37337-hospital-course-2-3.pdf")</f>
        <v>gsii/37337-hospital-course-2-3.pdf</v>
      </c>
      <c r="F1373">
        <v>110002</v>
      </c>
      <c r="G1373">
        <v>37337</v>
      </c>
      <c r="H1373" t="s">
        <v>745</v>
      </c>
      <c r="I1373" t="s">
        <v>999</v>
      </c>
      <c r="J1373" t="s">
        <v>4797</v>
      </c>
    </row>
    <row r="1374" spans="1:10" x14ac:dyDescent="0.2">
      <c r="A1374" t="s">
        <v>4798</v>
      </c>
      <c r="E1374" t="str">
        <f>HYPERLINK("http://nlpdeep.cs.uic.edu:8080/proofing/t5/37337-hospital-course-2-4.pdf","t5/37337-hospital-course-2-4.pdf")</f>
        <v>t5/37337-hospital-course-2-4.pdf</v>
      </c>
      <c r="F1374">
        <v>110002</v>
      </c>
      <c r="G1374">
        <v>37337</v>
      </c>
      <c r="H1374" t="s">
        <v>745</v>
      </c>
      <c r="I1374" t="s">
        <v>999</v>
      </c>
      <c r="J1374" t="s">
        <v>4799</v>
      </c>
    </row>
    <row r="1375" spans="1:10" x14ac:dyDescent="0.2">
      <c r="A1375" t="s">
        <v>4798</v>
      </c>
      <c r="E1375" t="str">
        <f>HYPERLINK("http://nlpdeep.cs.uic.edu:8080/proofing/gsii/37337-hospital-course-2-4.pdf","gsii/37337-hospital-course-2-4.pdf")</f>
        <v>gsii/37337-hospital-course-2-4.pdf</v>
      </c>
      <c r="F1375">
        <v>110002</v>
      </c>
      <c r="G1375">
        <v>37337</v>
      </c>
      <c r="H1375" t="s">
        <v>745</v>
      </c>
      <c r="I1375" t="s">
        <v>999</v>
      </c>
      <c r="J1375" t="s">
        <v>4799</v>
      </c>
    </row>
    <row r="1376" spans="1:10" x14ac:dyDescent="0.2">
      <c r="A1376" t="s">
        <v>4800</v>
      </c>
      <c r="E1376" t="str">
        <f>HYPERLINK("http://nlpdeep.cs.uic.edu:8080/proofing/t5/37337-hospital-course-2-5.pdf","t5/37337-hospital-course-2-5.pdf")</f>
        <v>t5/37337-hospital-course-2-5.pdf</v>
      </c>
      <c r="F1376">
        <v>110002</v>
      </c>
      <c r="G1376">
        <v>37337</v>
      </c>
      <c r="H1376" t="s">
        <v>745</v>
      </c>
      <c r="I1376" t="s">
        <v>999</v>
      </c>
      <c r="J1376" t="s">
        <v>4801</v>
      </c>
    </row>
    <row r="1377" spans="1:10" x14ac:dyDescent="0.2">
      <c r="A1377" t="s">
        <v>4800</v>
      </c>
      <c r="E1377" t="str">
        <f>HYPERLINK("http://nlpdeep.cs.uic.edu:8080/proofing/gsii/37337-hospital-course-2-5.pdf","gsii/37337-hospital-course-2-5.pdf")</f>
        <v>gsii/37337-hospital-course-2-5.pdf</v>
      </c>
      <c r="F1377">
        <v>110002</v>
      </c>
      <c r="G1377">
        <v>37337</v>
      </c>
      <c r="H1377" t="s">
        <v>745</v>
      </c>
      <c r="I1377" t="s">
        <v>999</v>
      </c>
      <c r="J1377" t="s">
        <v>4801</v>
      </c>
    </row>
    <row r="1378" spans="1:10" x14ac:dyDescent="0.2">
      <c r="A1378" t="s">
        <v>4802</v>
      </c>
      <c r="E1378" t="str">
        <f>HYPERLINK("http://nlpdeep.cs.uic.edu:8080/proofing/t5/37337-hospital-course-3-0.pdf","t5/37337-hospital-course-3-0.pdf")</f>
        <v>t5/37337-hospital-course-3-0.pdf</v>
      </c>
      <c r="F1378">
        <v>110002</v>
      </c>
      <c r="G1378">
        <v>37337</v>
      </c>
      <c r="H1378" t="s">
        <v>745</v>
      </c>
      <c r="I1378" t="s">
        <v>999</v>
      </c>
      <c r="J1378" t="s">
        <v>4803</v>
      </c>
    </row>
    <row r="1379" spans="1:10" x14ac:dyDescent="0.2">
      <c r="A1379" t="s">
        <v>4802</v>
      </c>
      <c r="E1379" t="str">
        <f>HYPERLINK("http://nlpdeep.cs.uic.edu:8080/proofing/gsii/37337-hospital-course-3-0.pdf","gsii/37337-hospital-course-3-0.pdf")</f>
        <v>gsii/37337-hospital-course-3-0.pdf</v>
      </c>
      <c r="F1379">
        <v>110002</v>
      </c>
      <c r="G1379">
        <v>37337</v>
      </c>
      <c r="H1379" t="s">
        <v>745</v>
      </c>
      <c r="I1379" t="s">
        <v>999</v>
      </c>
      <c r="J1379" t="s">
        <v>4803</v>
      </c>
    </row>
    <row r="1380" spans="1:10" x14ac:dyDescent="0.2">
      <c r="A1380" t="s">
        <v>4804</v>
      </c>
      <c r="E1380" t="str">
        <f>HYPERLINK("http://nlpdeep.cs.uic.edu:8080/proofing/t5/37337-hospital-course-3-1.pdf","t5/37337-hospital-course-3-1.pdf")</f>
        <v>t5/37337-hospital-course-3-1.pdf</v>
      </c>
      <c r="F1380">
        <v>110002</v>
      </c>
      <c r="G1380">
        <v>37337</v>
      </c>
      <c r="H1380" t="s">
        <v>745</v>
      </c>
      <c r="I1380" t="s">
        <v>999</v>
      </c>
      <c r="J1380" t="s">
        <v>4805</v>
      </c>
    </row>
    <row r="1381" spans="1:10" x14ac:dyDescent="0.2">
      <c r="A1381" t="s">
        <v>4804</v>
      </c>
      <c r="E1381" t="str">
        <f>HYPERLINK("http://nlpdeep.cs.uic.edu:8080/proofing/gsii/37337-hospital-course-3-1.pdf","gsii/37337-hospital-course-3-1.pdf")</f>
        <v>gsii/37337-hospital-course-3-1.pdf</v>
      </c>
      <c r="F1381">
        <v>110002</v>
      </c>
      <c r="G1381">
        <v>37337</v>
      </c>
      <c r="H1381" t="s">
        <v>745</v>
      </c>
      <c r="I1381" t="s">
        <v>999</v>
      </c>
      <c r="J1381" t="s">
        <v>4805</v>
      </c>
    </row>
    <row r="1382" spans="1:10" x14ac:dyDescent="0.2">
      <c r="A1382" t="s">
        <v>4806</v>
      </c>
      <c r="E1382" t="str">
        <f>HYPERLINK("http://nlpdeep.cs.uic.edu:8080/proofing/t5/37337-hospital-course-4-0.pdf","t5/37337-hospital-course-4-0.pdf")</f>
        <v>t5/37337-hospital-course-4-0.pdf</v>
      </c>
      <c r="F1382">
        <v>110002</v>
      </c>
      <c r="G1382">
        <v>37337</v>
      </c>
      <c r="H1382" t="s">
        <v>745</v>
      </c>
      <c r="I1382" t="s">
        <v>999</v>
      </c>
      <c r="J1382" t="s">
        <v>4807</v>
      </c>
    </row>
    <row r="1383" spans="1:10" x14ac:dyDescent="0.2">
      <c r="A1383" t="s">
        <v>4806</v>
      </c>
      <c r="E1383" t="str">
        <f>HYPERLINK("http://nlpdeep.cs.uic.edu:8080/proofing/gsii/37337-hospital-course-4-0.pdf","gsii/37337-hospital-course-4-0.pdf")</f>
        <v>gsii/37337-hospital-course-4-0.pdf</v>
      </c>
      <c r="F1383">
        <v>110002</v>
      </c>
      <c r="G1383">
        <v>37337</v>
      </c>
      <c r="H1383" t="s">
        <v>745</v>
      </c>
      <c r="I1383" t="s">
        <v>999</v>
      </c>
      <c r="J1383" t="s">
        <v>4807</v>
      </c>
    </row>
    <row r="1384" spans="1:10" x14ac:dyDescent="0.2">
      <c r="A1384" t="s">
        <v>4808</v>
      </c>
      <c r="E1384" t="str">
        <f>HYPERLINK("http://nlpdeep.cs.uic.edu:8080/proofing/t5/37337-hospital-course-5-0.pdf","t5/37337-hospital-course-5-0.pdf")</f>
        <v>t5/37337-hospital-course-5-0.pdf</v>
      </c>
      <c r="F1384">
        <v>110002</v>
      </c>
      <c r="G1384">
        <v>37337</v>
      </c>
      <c r="H1384" t="s">
        <v>745</v>
      </c>
      <c r="I1384" t="s">
        <v>999</v>
      </c>
      <c r="J1384" t="s">
        <v>4809</v>
      </c>
    </row>
    <row r="1385" spans="1:10" x14ac:dyDescent="0.2">
      <c r="A1385" t="s">
        <v>4808</v>
      </c>
      <c r="E1385" t="str">
        <f>HYPERLINK("http://nlpdeep.cs.uic.edu:8080/proofing/gsii/37337-hospital-course-5-0.pdf","gsii/37337-hospital-course-5-0.pdf")</f>
        <v>gsii/37337-hospital-course-5-0.pdf</v>
      </c>
      <c r="F1385">
        <v>110002</v>
      </c>
      <c r="G1385">
        <v>37337</v>
      </c>
      <c r="H1385" t="s">
        <v>745</v>
      </c>
      <c r="I1385" t="s">
        <v>999</v>
      </c>
      <c r="J1385" t="s">
        <v>4809</v>
      </c>
    </row>
    <row r="1386" spans="1:10" x14ac:dyDescent="0.2">
      <c r="A1386" t="s">
        <v>4810</v>
      </c>
      <c r="E1386" t="str">
        <f>HYPERLINK("http://nlpdeep.cs.uic.edu:8080/proofing/t5/37337-hospital-course-5-1.pdf","t5/37337-hospital-course-5-1.pdf")</f>
        <v>t5/37337-hospital-course-5-1.pdf</v>
      </c>
      <c r="F1386">
        <v>110002</v>
      </c>
      <c r="G1386">
        <v>37337</v>
      </c>
      <c r="H1386" t="s">
        <v>745</v>
      </c>
      <c r="I1386" t="s">
        <v>999</v>
      </c>
      <c r="J1386" t="s">
        <v>4811</v>
      </c>
    </row>
    <row r="1387" spans="1:10" x14ac:dyDescent="0.2">
      <c r="A1387" t="s">
        <v>4810</v>
      </c>
      <c r="E1387" t="str">
        <f>HYPERLINK("http://nlpdeep.cs.uic.edu:8080/proofing/gsii/37337-hospital-course-5-1.pdf","gsii/37337-hospital-course-5-1.pdf")</f>
        <v>gsii/37337-hospital-course-5-1.pdf</v>
      </c>
      <c r="F1387">
        <v>110002</v>
      </c>
      <c r="G1387">
        <v>37337</v>
      </c>
      <c r="H1387" t="s">
        <v>745</v>
      </c>
      <c r="I1387" t="s">
        <v>999</v>
      </c>
      <c r="J1387" t="s">
        <v>4811</v>
      </c>
    </row>
    <row r="1388" spans="1:10" x14ac:dyDescent="0.2">
      <c r="A1388" t="s">
        <v>4812</v>
      </c>
      <c r="E1388" t="str">
        <f>HYPERLINK("http://nlpdeep.cs.uic.edu:8080/proofing/t5/37337-hospital-course-6-0.pdf","t5/37337-hospital-course-6-0.pdf")</f>
        <v>t5/37337-hospital-course-6-0.pdf</v>
      </c>
      <c r="F1388">
        <v>110002</v>
      </c>
      <c r="G1388">
        <v>37337</v>
      </c>
      <c r="H1388" t="s">
        <v>745</v>
      </c>
      <c r="I1388" t="s">
        <v>999</v>
      </c>
      <c r="J1388" t="s">
        <v>4813</v>
      </c>
    </row>
    <row r="1389" spans="1:10" x14ac:dyDescent="0.2">
      <c r="A1389" t="s">
        <v>4812</v>
      </c>
      <c r="E1389" t="str">
        <f>HYPERLINK("http://nlpdeep.cs.uic.edu:8080/proofing/gsii/37337-hospital-course-6-0.pdf","gsii/37337-hospital-course-6-0.pdf")</f>
        <v>gsii/37337-hospital-course-6-0.pdf</v>
      </c>
      <c r="F1389">
        <v>110002</v>
      </c>
      <c r="G1389">
        <v>37337</v>
      </c>
      <c r="H1389" t="s">
        <v>745</v>
      </c>
      <c r="I1389" t="s">
        <v>999</v>
      </c>
      <c r="J1389" t="s">
        <v>4813</v>
      </c>
    </row>
    <row r="1390" spans="1:10" x14ac:dyDescent="0.2">
      <c r="A1390" t="s">
        <v>4814</v>
      </c>
      <c r="E1390" t="str">
        <f>HYPERLINK("http://nlpdeep.cs.uic.edu:8080/proofing/t5/37337-hospital-course-6-1.pdf","t5/37337-hospital-course-6-1.pdf")</f>
        <v>t5/37337-hospital-course-6-1.pdf</v>
      </c>
      <c r="F1390">
        <v>110002</v>
      </c>
      <c r="G1390">
        <v>37337</v>
      </c>
      <c r="H1390" t="s">
        <v>745</v>
      </c>
      <c r="I1390" t="s">
        <v>999</v>
      </c>
      <c r="J1390" t="s">
        <v>4815</v>
      </c>
    </row>
    <row r="1391" spans="1:10" x14ac:dyDescent="0.2">
      <c r="A1391" t="s">
        <v>4814</v>
      </c>
      <c r="E1391" t="str">
        <f>HYPERLINK("http://nlpdeep.cs.uic.edu:8080/proofing/gsii/37337-hospital-course-6-1.pdf","gsii/37337-hospital-course-6-1.pdf")</f>
        <v>gsii/37337-hospital-course-6-1.pdf</v>
      </c>
      <c r="F1391">
        <v>110002</v>
      </c>
      <c r="G1391">
        <v>37337</v>
      </c>
      <c r="H1391" t="s">
        <v>745</v>
      </c>
      <c r="I1391" t="s">
        <v>999</v>
      </c>
      <c r="J1391" t="s">
        <v>4815</v>
      </c>
    </row>
    <row r="1392" spans="1:10" x14ac:dyDescent="0.2">
      <c r="A1392" t="s">
        <v>4816</v>
      </c>
      <c r="E1392" t="str">
        <f>HYPERLINK("http://nlpdeep.cs.uic.edu:8080/proofing/t5/37337-hospital-course-6-2.pdf","t5/37337-hospital-course-6-2.pdf")</f>
        <v>t5/37337-hospital-course-6-2.pdf</v>
      </c>
      <c r="F1392">
        <v>110002</v>
      </c>
      <c r="G1392">
        <v>37337</v>
      </c>
      <c r="H1392" t="s">
        <v>745</v>
      </c>
      <c r="I1392" t="s">
        <v>999</v>
      </c>
      <c r="J1392" t="s">
        <v>4817</v>
      </c>
    </row>
    <row r="1393" spans="1:10" x14ac:dyDescent="0.2">
      <c r="A1393" t="s">
        <v>4816</v>
      </c>
      <c r="E1393" t="str">
        <f>HYPERLINK("http://nlpdeep.cs.uic.edu:8080/proofing/gsii/37337-hospital-course-6-2.pdf","gsii/37337-hospital-course-6-2.pdf")</f>
        <v>gsii/37337-hospital-course-6-2.pdf</v>
      </c>
      <c r="F1393">
        <v>110002</v>
      </c>
      <c r="G1393">
        <v>37337</v>
      </c>
      <c r="H1393" t="s">
        <v>745</v>
      </c>
      <c r="I1393" t="s">
        <v>999</v>
      </c>
      <c r="J1393" t="s">
        <v>4817</v>
      </c>
    </row>
    <row r="1394" spans="1:10" x14ac:dyDescent="0.2">
      <c r="A1394" t="s">
        <v>4818</v>
      </c>
      <c r="E1394" t="str">
        <f>HYPERLINK("http://nlpdeep.cs.uic.edu:8080/proofing/t5/37337-hospital-course-7-0.pdf","t5/37337-hospital-course-7-0.pdf")</f>
        <v>t5/37337-hospital-course-7-0.pdf</v>
      </c>
      <c r="F1394">
        <v>110002</v>
      </c>
      <c r="G1394">
        <v>37337</v>
      </c>
      <c r="H1394" t="s">
        <v>745</v>
      </c>
      <c r="I1394" t="s">
        <v>999</v>
      </c>
      <c r="J1394" t="s">
        <v>4819</v>
      </c>
    </row>
    <row r="1395" spans="1:10" x14ac:dyDescent="0.2">
      <c r="A1395" t="s">
        <v>4818</v>
      </c>
      <c r="E1395" t="str">
        <f>HYPERLINK("http://nlpdeep.cs.uic.edu:8080/proofing/gsii/37337-hospital-course-7-0.pdf","gsii/37337-hospital-course-7-0.pdf")</f>
        <v>gsii/37337-hospital-course-7-0.pdf</v>
      </c>
      <c r="F1395">
        <v>110002</v>
      </c>
      <c r="G1395">
        <v>37337</v>
      </c>
      <c r="H1395" t="s">
        <v>745</v>
      </c>
      <c r="I1395" t="s">
        <v>999</v>
      </c>
      <c r="J1395" t="s">
        <v>4819</v>
      </c>
    </row>
    <row r="1396" spans="1:10" x14ac:dyDescent="0.2">
      <c r="A1396" t="s">
        <v>4820</v>
      </c>
      <c r="E1396" t="str">
        <f>HYPERLINK("http://nlpdeep.cs.uic.edu:8080/proofing/t5/37337-hospital-course-7-1.pdf","t5/37337-hospital-course-7-1.pdf")</f>
        <v>t5/37337-hospital-course-7-1.pdf</v>
      </c>
      <c r="F1396">
        <v>110002</v>
      </c>
      <c r="G1396">
        <v>37337</v>
      </c>
      <c r="H1396" t="s">
        <v>745</v>
      </c>
      <c r="I1396" t="s">
        <v>999</v>
      </c>
      <c r="J1396" t="s">
        <v>4821</v>
      </c>
    </row>
    <row r="1397" spans="1:10" x14ac:dyDescent="0.2">
      <c r="A1397" t="s">
        <v>4820</v>
      </c>
      <c r="E1397" t="str">
        <f>HYPERLINK("http://nlpdeep.cs.uic.edu:8080/proofing/gsii/37337-hospital-course-7-1.pdf","gsii/37337-hospital-course-7-1.pdf")</f>
        <v>gsii/37337-hospital-course-7-1.pdf</v>
      </c>
      <c r="F1397">
        <v>110002</v>
      </c>
      <c r="G1397">
        <v>37337</v>
      </c>
      <c r="H1397" t="s">
        <v>745</v>
      </c>
      <c r="I1397" t="s">
        <v>999</v>
      </c>
      <c r="J1397" t="s">
        <v>4821</v>
      </c>
    </row>
    <row r="1398" spans="1:10" x14ac:dyDescent="0.2">
      <c r="A1398" t="s">
        <v>4822</v>
      </c>
      <c r="E1398" t="str">
        <f>HYPERLINK("http://nlpdeep.cs.uic.edu:8080/proofing/t5/37337-hospital-course-7-2.pdf","t5/37337-hospital-course-7-2.pdf")</f>
        <v>t5/37337-hospital-course-7-2.pdf</v>
      </c>
      <c r="F1398">
        <v>110002</v>
      </c>
      <c r="G1398">
        <v>37337</v>
      </c>
      <c r="H1398" t="s">
        <v>745</v>
      </c>
      <c r="I1398" t="s">
        <v>999</v>
      </c>
      <c r="J1398" t="s">
        <v>4823</v>
      </c>
    </row>
    <row r="1399" spans="1:10" x14ac:dyDescent="0.2">
      <c r="A1399" t="s">
        <v>4822</v>
      </c>
      <c r="E1399" t="str">
        <f>HYPERLINK("http://nlpdeep.cs.uic.edu:8080/proofing/gsii/37337-hospital-course-7-2.pdf","gsii/37337-hospital-course-7-2.pdf")</f>
        <v>gsii/37337-hospital-course-7-2.pdf</v>
      </c>
      <c r="F1399">
        <v>110002</v>
      </c>
      <c r="G1399">
        <v>37337</v>
      </c>
      <c r="H1399" t="s">
        <v>745</v>
      </c>
      <c r="I1399" t="s">
        <v>999</v>
      </c>
      <c r="J1399" t="s">
        <v>4823</v>
      </c>
    </row>
    <row r="1400" spans="1:10" x14ac:dyDescent="0.2">
      <c r="A1400" t="s">
        <v>4824</v>
      </c>
      <c r="E1400" t="str">
        <f>HYPERLINK("http://nlpdeep.cs.uic.edu:8080/proofing/t5/37337-hospital-course-7-3.pdf","t5/37337-hospital-course-7-3.pdf")</f>
        <v>t5/37337-hospital-course-7-3.pdf</v>
      </c>
      <c r="F1400">
        <v>110002</v>
      </c>
      <c r="G1400">
        <v>37337</v>
      </c>
      <c r="H1400" t="s">
        <v>745</v>
      </c>
      <c r="I1400" t="s">
        <v>999</v>
      </c>
      <c r="J1400" t="s">
        <v>4825</v>
      </c>
    </row>
    <row r="1401" spans="1:10" x14ac:dyDescent="0.2">
      <c r="A1401" t="s">
        <v>4824</v>
      </c>
      <c r="E1401" t="str">
        <f>HYPERLINK("http://nlpdeep.cs.uic.edu:8080/proofing/gsii/37337-hospital-course-7-3.pdf","gsii/37337-hospital-course-7-3.pdf")</f>
        <v>gsii/37337-hospital-course-7-3.pdf</v>
      </c>
      <c r="F1401">
        <v>110002</v>
      </c>
      <c r="G1401">
        <v>37337</v>
      </c>
      <c r="H1401" t="s">
        <v>745</v>
      </c>
      <c r="I1401" t="s">
        <v>999</v>
      </c>
      <c r="J1401" t="s">
        <v>4825</v>
      </c>
    </row>
    <row r="1402" spans="1:10" x14ac:dyDescent="0.2">
      <c r="A1402" t="s">
        <v>4826</v>
      </c>
      <c r="E1402" t="str">
        <f>HYPERLINK("http://nlpdeep.cs.uic.edu:8080/proofing/t5/37337-hospital-course-8-0.pdf","t5/37337-hospital-course-8-0.pdf")</f>
        <v>t5/37337-hospital-course-8-0.pdf</v>
      </c>
      <c r="F1402">
        <v>110002</v>
      </c>
      <c r="G1402">
        <v>37337</v>
      </c>
      <c r="H1402" t="s">
        <v>745</v>
      </c>
      <c r="I1402" t="s">
        <v>999</v>
      </c>
      <c r="J1402" t="s">
        <v>4827</v>
      </c>
    </row>
    <row r="1403" spans="1:10" x14ac:dyDescent="0.2">
      <c r="A1403" t="s">
        <v>4826</v>
      </c>
      <c r="E1403" t="str">
        <f>HYPERLINK("http://nlpdeep.cs.uic.edu:8080/proofing/gsii/37337-hospital-course-8-0.pdf","gsii/37337-hospital-course-8-0.pdf")</f>
        <v>gsii/37337-hospital-course-8-0.pdf</v>
      </c>
      <c r="F1403">
        <v>110002</v>
      </c>
      <c r="G1403">
        <v>37337</v>
      </c>
      <c r="H1403" t="s">
        <v>745</v>
      </c>
      <c r="I1403" t="s">
        <v>999</v>
      </c>
      <c r="J1403" t="s">
        <v>4827</v>
      </c>
    </row>
    <row r="1404" spans="1:10" x14ac:dyDescent="0.2">
      <c r="A1404" t="s">
        <v>4828</v>
      </c>
      <c r="E1404" t="str">
        <f>HYPERLINK("http://nlpdeep.cs.uic.edu:8080/proofing/t5/37337-hospital-course-8-1.pdf","t5/37337-hospital-course-8-1.pdf")</f>
        <v>t5/37337-hospital-course-8-1.pdf</v>
      </c>
      <c r="F1404">
        <v>110002</v>
      </c>
      <c r="G1404">
        <v>37337</v>
      </c>
      <c r="H1404" t="s">
        <v>745</v>
      </c>
      <c r="I1404" t="s">
        <v>999</v>
      </c>
      <c r="J1404" t="s">
        <v>4829</v>
      </c>
    </row>
    <row r="1405" spans="1:10" x14ac:dyDescent="0.2">
      <c r="A1405" t="s">
        <v>4828</v>
      </c>
      <c r="E1405" t="str">
        <f>HYPERLINK("http://nlpdeep.cs.uic.edu:8080/proofing/gsii/37337-hospital-course-8-1.pdf","gsii/37337-hospital-course-8-1.pdf")</f>
        <v>gsii/37337-hospital-course-8-1.pdf</v>
      </c>
      <c r="F1405">
        <v>110002</v>
      </c>
      <c r="G1405">
        <v>37337</v>
      </c>
      <c r="H1405" t="s">
        <v>745</v>
      </c>
      <c r="I1405" t="s">
        <v>999</v>
      </c>
      <c r="J1405" t="s">
        <v>4829</v>
      </c>
    </row>
    <row r="1406" spans="1:10" x14ac:dyDescent="0.2">
      <c r="A1406" t="s">
        <v>4830</v>
      </c>
      <c r="E1406" t="str">
        <f>HYPERLINK("http://nlpdeep.cs.uic.edu:8080/proofing/t5/37337-hospital-course-8-2.pdf","t5/37337-hospital-course-8-2.pdf")</f>
        <v>t5/37337-hospital-course-8-2.pdf</v>
      </c>
      <c r="F1406">
        <v>110002</v>
      </c>
      <c r="G1406">
        <v>37337</v>
      </c>
      <c r="H1406" t="s">
        <v>745</v>
      </c>
      <c r="I1406" t="s">
        <v>999</v>
      </c>
      <c r="J1406" t="s">
        <v>4831</v>
      </c>
    </row>
    <row r="1407" spans="1:10" x14ac:dyDescent="0.2">
      <c r="A1407" t="s">
        <v>4830</v>
      </c>
      <c r="E1407" t="str">
        <f>HYPERLINK("http://nlpdeep.cs.uic.edu:8080/proofing/gsii/37337-hospital-course-8-2.pdf","gsii/37337-hospital-course-8-2.pdf")</f>
        <v>gsii/37337-hospital-course-8-2.pdf</v>
      </c>
      <c r="F1407">
        <v>110002</v>
      </c>
      <c r="G1407">
        <v>37337</v>
      </c>
      <c r="H1407" t="s">
        <v>745</v>
      </c>
      <c r="I1407" t="s">
        <v>999</v>
      </c>
      <c r="J1407" t="s">
        <v>4831</v>
      </c>
    </row>
    <row r="1408" spans="1:10" x14ac:dyDescent="0.2">
      <c r="A1408" t="s">
        <v>4832</v>
      </c>
      <c r="E1408" t="str">
        <f>HYPERLINK("http://nlpdeep.cs.uic.edu:8080/proofing/t5/37337-hospital-course-8-3.pdf","t5/37337-hospital-course-8-3.pdf")</f>
        <v>t5/37337-hospital-course-8-3.pdf</v>
      </c>
      <c r="F1408">
        <v>110002</v>
      </c>
      <c r="G1408">
        <v>37337</v>
      </c>
      <c r="H1408" t="s">
        <v>745</v>
      </c>
      <c r="I1408" t="s">
        <v>999</v>
      </c>
      <c r="J1408" t="s">
        <v>4833</v>
      </c>
    </row>
    <row r="1409" spans="1:10" x14ac:dyDescent="0.2">
      <c r="A1409" t="s">
        <v>4832</v>
      </c>
      <c r="E1409" t="str">
        <f>HYPERLINK("http://nlpdeep.cs.uic.edu:8080/proofing/gsii/37337-hospital-course-8-3.pdf","gsii/37337-hospital-course-8-3.pdf")</f>
        <v>gsii/37337-hospital-course-8-3.pdf</v>
      </c>
      <c r="F1409">
        <v>110002</v>
      </c>
      <c r="G1409">
        <v>37337</v>
      </c>
      <c r="H1409" t="s">
        <v>745</v>
      </c>
      <c r="I1409" t="s">
        <v>999</v>
      </c>
      <c r="J1409" t="s">
        <v>4833</v>
      </c>
    </row>
    <row r="1410" spans="1:10" x14ac:dyDescent="0.2">
      <c r="A1410" t="s">
        <v>4834</v>
      </c>
      <c r="E1410" t="str">
        <f>HYPERLINK("http://nlpdeep.cs.uic.edu:8080/proofing/t5/37337-hospital-course-8-4.pdf","t5/37337-hospital-course-8-4.pdf")</f>
        <v>t5/37337-hospital-course-8-4.pdf</v>
      </c>
      <c r="F1410">
        <v>110002</v>
      </c>
      <c r="G1410">
        <v>37337</v>
      </c>
      <c r="H1410" t="s">
        <v>745</v>
      </c>
      <c r="I1410" t="s">
        <v>999</v>
      </c>
      <c r="J1410" t="s">
        <v>4835</v>
      </c>
    </row>
    <row r="1411" spans="1:10" x14ac:dyDescent="0.2">
      <c r="A1411" t="s">
        <v>4834</v>
      </c>
      <c r="E1411" t="str">
        <f>HYPERLINK("http://nlpdeep.cs.uic.edu:8080/proofing/gsii/37337-hospital-course-8-4.pdf","gsii/37337-hospital-course-8-4.pdf")</f>
        <v>gsii/37337-hospital-course-8-4.pdf</v>
      </c>
      <c r="F1411">
        <v>110002</v>
      </c>
      <c r="G1411">
        <v>37337</v>
      </c>
      <c r="H1411" t="s">
        <v>745</v>
      </c>
      <c r="I1411" t="s">
        <v>999</v>
      </c>
      <c r="J1411" t="s">
        <v>4835</v>
      </c>
    </row>
    <row r="1412" spans="1:10" x14ac:dyDescent="0.2">
      <c r="A1412" t="s">
        <v>4836</v>
      </c>
      <c r="E1412" t="str">
        <f>HYPERLINK("http://nlpdeep.cs.uic.edu:8080/proofing/t5/37337-hospital-course-8-5.pdf","t5/37337-hospital-course-8-5.pdf")</f>
        <v>t5/37337-hospital-course-8-5.pdf</v>
      </c>
      <c r="F1412">
        <v>110002</v>
      </c>
      <c r="G1412">
        <v>37337</v>
      </c>
      <c r="H1412" t="s">
        <v>745</v>
      </c>
      <c r="I1412" t="s">
        <v>999</v>
      </c>
      <c r="J1412" t="s">
        <v>4837</v>
      </c>
    </row>
    <row r="1413" spans="1:10" x14ac:dyDescent="0.2">
      <c r="A1413" t="s">
        <v>4836</v>
      </c>
      <c r="E1413" t="str">
        <f>HYPERLINK("http://nlpdeep.cs.uic.edu:8080/proofing/gsii/37337-hospital-course-8-5.pdf","gsii/37337-hospital-course-8-5.pdf")</f>
        <v>gsii/37337-hospital-course-8-5.pdf</v>
      </c>
      <c r="F1413">
        <v>110002</v>
      </c>
      <c r="G1413">
        <v>37337</v>
      </c>
      <c r="H1413" t="s">
        <v>745</v>
      </c>
      <c r="I1413" t="s">
        <v>999</v>
      </c>
      <c r="J1413" t="s">
        <v>4837</v>
      </c>
    </row>
    <row r="1414" spans="1:10" x14ac:dyDescent="0.2">
      <c r="A1414" t="s">
        <v>4838</v>
      </c>
      <c r="E1414" t="str">
        <f>HYPERLINK("http://nlpdeep.cs.uic.edu:8080/proofing/t5/37337-hospital-course-8-6.pdf","t5/37337-hospital-course-8-6.pdf")</f>
        <v>t5/37337-hospital-course-8-6.pdf</v>
      </c>
      <c r="F1414">
        <v>110002</v>
      </c>
      <c r="G1414">
        <v>37337</v>
      </c>
      <c r="H1414" t="s">
        <v>745</v>
      </c>
      <c r="I1414" t="s">
        <v>999</v>
      </c>
      <c r="J1414" t="s">
        <v>4839</v>
      </c>
    </row>
    <row r="1415" spans="1:10" x14ac:dyDescent="0.2">
      <c r="A1415" t="s">
        <v>4838</v>
      </c>
      <c r="E1415" t="str">
        <f>HYPERLINK("http://nlpdeep.cs.uic.edu:8080/proofing/gsii/37337-hospital-course-8-6.pdf","gsii/37337-hospital-course-8-6.pdf")</f>
        <v>gsii/37337-hospital-course-8-6.pdf</v>
      </c>
      <c r="F1415">
        <v>110002</v>
      </c>
      <c r="G1415">
        <v>37337</v>
      </c>
      <c r="H1415" t="s">
        <v>745</v>
      </c>
      <c r="I1415" t="s">
        <v>999</v>
      </c>
      <c r="J1415" t="s">
        <v>4839</v>
      </c>
    </row>
    <row r="1416" spans="1:10" x14ac:dyDescent="0.2">
      <c r="A1416" t="s">
        <v>4840</v>
      </c>
      <c r="E1416" t="str">
        <f>HYPERLINK("http://nlpdeep.cs.uic.edu:8080/proofing/t5/37337-hospital-course-8-7.pdf","t5/37337-hospital-course-8-7.pdf")</f>
        <v>t5/37337-hospital-course-8-7.pdf</v>
      </c>
      <c r="F1416">
        <v>110002</v>
      </c>
      <c r="G1416">
        <v>37337</v>
      </c>
      <c r="H1416" t="s">
        <v>745</v>
      </c>
      <c r="I1416" t="s">
        <v>999</v>
      </c>
      <c r="J1416" t="s">
        <v>4841</v>
      </c>
    </row>
    <row r="1417" spans="1:10" x14ac:dyDescent="0.2">
      <c r="A1417" t="s">
        <v>4840</v>
      </c>
      <c r="E1417" t="str">
        <f>HYPERLINK("http://nlpdeep.cs.uic.edu:8080/proofing/gsii/37337-hospital-course-8-7.pdf","gsii/37337-hospital-course-8-7.pdf")</f>
        <v>gsii/37337-hospital-course-8-7.pdf</v>
      </c>
      <c r="F1417">
        <v>110002</v>
      </c>
      <c r="G1417">
        <v>37337</v>
      </c>
      <c r="H1417" t="s">
        <v>745</v>
      </c>
      <c r="I1417" t="s">
        <v>999</v>
      </c>
      <c r="J1417" t="s">
        <v>4841</v>
      </c>
    </row>
    <row r="1418" spans="1:10" x14ac:dyDescent="0.2">
      <c r="A1418" t="s">
        <v>4842</v>
      </c>
      <c r="E1418" t="str">
        <f>HYPERLINK("http://nlpdeep.cs.uic.edu:8080/proofing/t5/37337-hospital-course-8-8.pdf","t5/37337-hospital-course-8-8.pdf")</f>
        <v>t5/37337-hospital-course-8-8.pdf</v>
      </c>
      <c r="F1418">
        <v>110002</v>
      </c>
      <c r="G1418">
        <v>37337</v>
      </c>
      <c r="H1418" t="s">
        <v>745</v>
      </c>
      <c r="I1418" t="s">
        <v>999</v>
      </c>
      <c r="J1418" t="s">
        <v>4843</v>
      </c>
    </row>
    <row r="1419" spans="1:10" x14ac:dyDescent="0.2">
      <c r="A1419" t="s">
        <v>4842</v>
      </c>
      <c r="E1419" t="str">
        <f>HYPERLINK("http://nlpdeep.cs.uic.edu:8080/proofing/gsii/37337-hospital-course-8-8.pdf","gsii/37337-hospital-course-8-8.pdf")</f>
        <v>gsii/37337-hospital-course-8-8.pdf</v>
      </c>
      <c r="F1419">
        <v>110002</v>
      </c>
      <c r="G1419">
        <v>37337</v>
      </c>
      <c r="H1419" t="s">
        <v>745</v>
      </c>
      <c r="I1419" t="s">
        <v>999</v>
      </c>
      <c r="J1419" t="s">
        <v>4843</v>
      </c>
    </row>
    <row r="1420" spans="1:10" x14ac:dyDescent="0.2">
      <c r="A1420" t="s">
        <v>4844</v>
      </c>
      <c r="E1420" t="str">
        <f>HYPERLINK("http://nlpdeep.cs.uic.edu:8080/proofing/t5/37337-hospital-course-9-0.pdf","t5/37337-hospital-course-9-0.pdf")</f>
        <v>t5/37337-hospital-course-9-0.pdf</v>
      </c>
      <c r="F1420">
        <v>110002</v>
      </c>
      <c r="G1420">
        <v>37337</v>
      </c>
      <c r="H1420" t="s">
        <v>745</v>
      </c>
      <c r="I1420" t="s">
        <v>999</v>
      </c>
      <c r="J1420" t="s">
        <v>4845</v>
      </c>
    </row>
    <row r="1421" spans="1:10" x14ac:dyDescent="0.2">
      <c r="A1421" t="s">
        <v>4844</v>
      </c>
      <c r="E1421" t="str">
        <f>HYPERLINK("http://nlpdeep.cs.uic.edu:8080/proofing/gsii/37337-hospital-course-9-0.pdf","gsii/37337-hospital-course-9-0.pdf")</f>
        <v>gsii/37337-hospital-course-9-0.pdf</v>
      </c>
      <c r="F1421">
        <v>110002</v>
      </c>
      <c r="G1421">
        <v>37337</v>
      </c>
      <c r="H1421" t="s">
        <v>745</v>
      </c>
      <c r="I1421" t="s">
        <v>999</v>
      </c>
      <c r="J1421" t="s">
        <v>4845</v>
      </c>
    </row>
    <row r="1422" spans="1:10" x14ac:dyDescent="0.2">
      <c r="A1422" t="s">
        <v>4846</v>
      </c>
      <c r="E1422" t="str">
        <f>HYPERLINK("http://nlpdeep.cs.uic.edu:8080/proofing/t5/37337-hospital-course-9-1.pdf","t5/37337-hospital-course-9-1.pdf")</f>
        <v>t5/37337-hospital-course-9-1.pdf</v>
      </c>
      <c r="F1422">
        <v>110002</v>
      </c>
      <c r="G1422">
        <v>37337</v>
      </c>
      <c r="H1422" t="s">
        <v>745</v>
      </c>
      <c r="I1422" t="s">
        <v>999</v>
      </c>
      <c r="J1422" t="s">
        <v>4847</v>
      </c>
    </row>
    <row r="1423" spans="1:10" x14ac:dyDescent="0.2">
      <c r="A1423" t="s">
        <v>4846</v>
      </c>
      <c r="E1423" t="str">
        <f>HYPERLINK("http://nlpdeep.cs.uic.edu:8080/proofing/gsii/37337-hospital-course-9-1.pdf","gsii/37337-hospital-course-9-1.pdf")</f>
        <v>gsii/37337-hospital-course-9-1.pdf</v>
      </c>
      <c r="F1423">
        <v>110002</v>
      </c>
      <c r="G1423">
        <v>37337</v>
      </c>
      <c r="H1423" t="s">
        <v>745</v>
      </c>
      <c r="I1423" t="s">
        <v>999</v>
      </c>
      <c r="J1423" t="s">
        <v>4847</v>
      </c>
    </row>
    <row r="1424" spans="1:10" x14ac:dyDescent="0.2">
      <c r="A1424" t="s">
        <v>4848</v>
      </c>
      <c r="E1424" t="str">
        <f>HYPERLINK("http://nlpdeep.cs.uic.edu:8080/proofing/t5/37337-hospital-course-9-2.pdf","t5/37337-hospital-course-9-2.pdf")</f>
        <v>t5/37337-hospital-course-9-2.pdf</v>
      </c>
      <c r="F1424">
        <v>110002</v>
      </c>
      <c r="G1424">
        <v>37337</v>
      </c>
      <c r="H1424" t="s">
        <v>745</v>
      </c>
      <c r="I1424" t="s">
        <v>999</v>
      </c>
      <c r="J1424" t="s">
        <v>4849</v>
      </c>
    </row>
    <row r="1425" spans="1:10" x14ac:dyDescent="0.2">
      <c r="A1425" t="s">
        <v>4848</v>
      </c>
      <c r="E1425" t="str">
        <f>HYPERLINK("http://nlpdeep.cs.uic.edu:8080/proofing/gsii/37337-hospital-course-9-2.pdf","gsii/37337-hospital-course-9-2.pdf")</f>
        <v>gsii/37337-hospital-course-9-2.pdf</v>
      </c>
      <c r="F1425">
        <v>110002</v>
      </c>
      <c r="G1425">
        <v>37337</v>
      </c>
      <c r="H1425" t="s">
        <v>745</v>
      </c>
      <c r="I1425" t="s">
        <v>999</v>
      </c>
      <c r="J1425" t="s">
        <v>4849</v>
      </c>
    </row>
    <row r="1426" spans="1:10" x14ac:dyDescent="0.2">
      <c r="A1426" t="s">
        <v>4850</v>
      </c>
      <c r="E1426" t="str">
        <f>HYPERLINK("http://nlpdeep.cs.uic.edu:8080/proofing/t5/37337-hospital-course-9-3.pdf","t5/37337-hospital-course-9-3.pdf")</f>
        <v>t5/37337-hospital-course-9-3.pdf</v>
      </c>
      <c r="F1426">
        <v>110002</v>
      </c>
      <c r="G1426">
        <v>37337</v>
      </c>
      <c r="H1426" t="s">
        <v>745</v>
      </c>
      <c r="I1426" t="s">
        <v>999</v>
      </c>
      <c r="J1426" t="s">
        <v>4851</v>
      </c>
    </row>
    <row r="1427" spans="1:10" x14ac:dyDescent="0.2">
      <c r="A1427" t="s">
        <v>4850</v>
      </c>
      <c r="E1427" t="str">
        <f>HYPERLINK("http://nlpdeep.cs.uic.edu:8080/proofing/gsii/37337-hospital-course-9-3.pdf","gsii/37337-hospital-course-9-3.pdf")</f>
        <v>gsii/37337-hospital-course-9-3.pdf</v>
      </c>
      <c r="F1427">
        <v>110002</v>
      </c>
      <c r="G1427">
        <v>37337</v>
      </c>
      <c r="H1427" t="s">
        <v>745</v>
      </c>
      <c r="I1427" t="s">
        <v>999</v>
      </c>
      <c r="J1427" t="s">
        <v>4851</v>
      </c>
    </row>
    <row r="1428" spans="1:10" x14ac:dyDescent="0.2">
      <c r="A1428" t="s">
        <v>4852</v>
      </c>
      <c r="E1428" t="str">
        <f>HYPERLINK("http://nlpdeep.cs.uic.edu:8080/proofing/t5/37337-hospital-course-9-4.pdf","t5/37337-hospital-course-9-4.pdf")</f>
        <v>t5/37337-hospital-course-9-4.pdf</v>
      </c>
      <c r="F1428">
        <v>110002</v>
      </c>
      <c r="G1428">
        <v>37337</v>
      </c>
      <c r="H1428" t="s">
        <v>745</v>
      </c>
      <c r="I1428" t="s">
        <v>999</v>
      </c>
      <c r="J1428" t="s">
        <v>4853</v>
      </c>
    </row>
    <row r="1429" spans="1:10" x14ac:dyDescent="0.2">
      <c r="A1429" t="s">
        <v>4852</v>
      </c>
      <c r="E1429" t="str">
        <f>HYPERLINK("http://nlpdeep.cs.uic.edu:8080/proofing/gsii/37337-hospital-course-9-4.pdf","gsii/37337-hospital-course-9-4.pdf")</f>
        <v>gsii/37337-hospital-course-9-4.pdf</v>
      </c>
      <c r="F1429">
        <v>110002</v>
      </c>
      <c r="G1429">
        <v>37337</v>
      </c>
      <c r="H1429" t="s">
        <v>745</v>
      </c>
      <c r="I1429" t="s">
        <v>999</v>
      </c>
      <c r="J1429" t="s">
        <v>4853</v>
      </c>
    </row>
    <row r="1430" spans="1:10" x14ac:dyDescent="0.2">
      <c r="A1430" t="s">
        <v>4854</v>
      </c>
      <c r="E1430" t="str">
        <f>HYPERLINK("http://nlpdeep.cs.uic.edu:8080/proofing/t5/37337-hospital-course-9-5.pdf","t5/37337-hospital-course-9-5.pdf")</f>
        <v>t5/37337-hospital-course-9-5.pdf</v>
      </c>
      <c r="F1430">
        <v>110002</v>
      </c>
      <c r="G1430">
        <v>37337</v>
      </c>
      <c r="H1430" t="s">
        <v>745</v>
      </c>
      <c r="I1430" t="s">
        <v>999</v>
      </c>
      <c r="J1430" t="s">
        <v>4855</v>
      </c>
    </row>
    <row r="1431" spans="1:10" x14ac:dyDescent="0.2">
      <c r="A1431" t="s">
        <v>4854</v>
      </c>
      <c r="E1431" t="str">
        <f>HYPERLINK("http://nlpdeep.cs.uic.edu:8080/proofing/gsii/37337-hospital-course-9-5.pdf","gsii/37337-hospital-course-9-5.pdf")</f>
        <v>gsii/37337-hospital-course-9-5.pdf</v>
      </c>
      <c r="F1431">
        <v>110002</v>
      </c>
      <c r="G1431">
        <v>37337</v>
      </c>
      <c r="H1431" t="s">
        <v>745</v>
      </c>
      <c r="I1431" t="s">
        <v>999</v>
      </c>
      <c r="J1431" t="s">
        <v>4855</v>
      </c>
    </row>
    <row r="1432" spans="1:10" x14ac:dyDescent="0.2">
      <c r="A1432" t="s">
        <v>4856</v>
      </c>
      <c r="E1432" t="str">
        <f>HYPERLINK("http://nlpdeep.cs.uic.edu:8080/proofing/t5/37337-hospital-course-10-0.pdf","t5/37337-hospital-course-10-0.pdf")</f>
        <v>t5/37337-hospital-course-10-0.pdf</v>
      </c>
      <c r="F1432">
        <v>110002</v>
      </c>
      <c r="G1432">
        <v>37337</v>
      </c>
      <c r="H1432" t="s">
        <v>745</v>
      </c>
      <c r="I1432" t="s">
        <v>999</v>
      </c>
      <c r="J1432" t="s">
        <v>4857</v>
      </c>
    </row>
    <row r="1433" spans="1:10" x14ac:dyDescent="0.2">
      <c r="A1433" t="s">
        <v>4856</v>
      </c>
      <c r="E1433" t="str">
        <f>HYPERLINK("http://nlpdeep.cs.uic.edu:8080/proofing/gsii/37337-hospital-course-10-0.pdf","gsii/37337-hospital-course-10-0.pdf")</f>
        <v>gsii/37337-hospital-course-10-0.pdf</v>
      </c>
      <c r="F1433">
        <v>110002</v>
      </c>
      <c r="G1433">
        <v>37337</v>
      </c>
      <c r="H1433" t="s">
        <v>745</v>
      </c>
      <c r="I1433" t="s">
        <v>999</v>
      </c>
      <c r="J1433" t="s">
        <v>4857</v>
      </c>
    </row>
    <row r="1434" spans="1:10" x14ac:dyDescent="0.2">
      <c r="A1434" t="s">
        <v>4858</v>
      </c>
      <c r="E1434" t="str">
        <f>HYPERLINK("http://nlpdeep.cs.uic.edu:8080/proofing/t5/37337-hospital-course-10-1.pdf","t5/37337-hospital-course-10-1.pdf")</f>
        <v>t5/37337-hospital-course-10-1.pdf</v>
      </c>
      <c r="F1434">
        <v>110002</v>
      </c>
      <c r="G1434">
        <v>37337</v>
      </c>
      <c r="H1434" t="s">
        <v>745</v>
      </c>
      <c r="I1434" t="s">
        <v>999</v>
      </c>
      <c r="J1434" t="s">
        <v>4859</v>
      </c>
    </row>
    <row r="1435" spans="1:10" x14ac:dyDescent="0.2">
      <c r="A1435" t="s">
        <v>4858</v>
      </c>
      <c r="E1435" t="str">
        <f>HYPERLINK("http://nlpdeep.cs.uic.edu:8080/proofing/gsii/37337-hospital-course-10-1.pdf","gsii/37337-hospital-course-10-1.pdf")</f>
        <v>gsii/37337-hospital-course-10-1.pdf</v>
      </c>
      <c r="F1435">
        <v>110002</v>
      </c>
      <c r="G1435">
        <v>37337</v>
      </c>
      <c r="H1435" t="s">
        <v>745</v>
      </c>
      <c r="I1435" t="s">
        <v>999</v>
      </c>
      <c r="J1435" t="s">
        <v>4859</v>
      </c>
    </row>
    <row r="1436" spans="1:10" x14ac:dyDescent="0.2">
      <c r="A1436" t="s">
        <v>4860</v>
      </c>
      <c r="E1436" t="str">
        <f>HYPERLINK("http://nlpdeep.cs.uic.edu:8080/proofing/t5/37337-hospital-course-10-2.pdf","t5/37337-hospital-course-10-2.pdf")</f>
        <v>t5/37337-hospital-course-10-2.pdf</v>
      </c>
      <c r="F1436">
        <v>110002</v>
      </c>
      <c r="G1436">
        <v>37337</v>
      </c>
      <c r="H1436" t="s">
        <v>745</v>
      </c>
      <c r="I1436" t="s">
        <v>999</v>
      </c>
      <c r="J1436" t="s">
        <v>4861</v>
      </c>
    </row>
    <row r="1437" spans="1:10" x14ac:dyDescent="0.2">
      <c r="A1437" t="s">
        <v>4860</v>
      </c>
      <c r="E1437" t="str">
        <f>HYPERLINK("http://nlpdeep.cs.uic.edu:8080/proofing/gsii/37337-hospital-course-10-2.pdf","gsii/37337-hospital-course-10-2.pdf")</f>
        <v>gsii/37337-hospital-course-10-2.pdf</v>
      </c>
      <c r="F1437">
        <v>110002</v>
      </c>
      <c r="G1437">
        <v>37337</v>
      </c>
      <c r="H1437" t="s">
        <v>745</v>
      </c>
      <c r="I1437" t="s">
        <v>999</v>
      </c>
      <c r="J1437" t="s">
        <v>4861</v>
      </c>
    </row>
    <row r="1438" spans="1:10" x14ac:dyDescent="0.2">
      <c r="A1438" t="s">
        <v>4862</v>
      </c>
      <c r="E1438" t="str">
        <f>HYPERLINK("http://nlpdeep.cs.uic.edu:8080/proofing/t5/37337-hospital-course-10-3.pdf","t5/37337-hospital-course-10-3.pdf")</f>
        <v>t5/37337-hospital-course-10-3.pdf</v>
      </c>
      <c r="F1438">
        <v>110002</v>
      </c>
      <c r="G1438">
        <v>37337</v>
      </c>
      <c r="H1438" t="s">
        <v>745</v>
      </c>
      <c r="I1438" t="s">
        <v>999</v>
      </c>
      <c r="J1438" t="s">
        <v>4863</v>
      </c>
    </row>
    <row r="1439" spans="1:10" x14ac:dyDescent="0.2">
      <c r="A1439" t="s">
        <v>4862</v>
      </c>
      <c r="E1439" t="str">
        <f>HYPERLINK("http://nlpdeep.cs.uic.edu:8080/proofing/gsii/37337-hospital-course-10-3.pdf","gsii/37337-hospital-course-10-3.pdf")</f>
        <v>gsii/37337-hospital-course-10-3.pdf</v>
      </c>
      <c r="F1439">
        <v>110002</v>
      </c>
      <c r="G1439">
        <v>37337</v>
      </c>
      <c r="H1439" t="s">
        <v>745</v>
      </c>
      <c r="I1439" t="s">
        <v>999</v>
      </c>
      <c r="J1439" t="s">
        <v>4863</v>
      </c>
    </row>
    <row r="1440" spans="1:10" x14ac:dyDescent="0.2">
      <c r="A1440" t="s">
        <v>4864</v>
      </c>
      <c r="E1440" t="str">
        <f>HYPERLINK("http://nlpdeep.cs.uic.edu:8080/proofing/t5/37337-hospital-course-10-4.pdf","t5/37337-hospital-course-10-4.pdf")</f>
        <v>t5/37337-hospital-course-10-4.pdf</v>
      </c>
      <c r="F1440">
        <v>110002</v>
      </c>
      <c r="G1440">
        <v>37337</v>
      </c>
      <c r="H1440" t="s">
        <v>745</v>
      </c>
      <c r="I1440" t="s">
        <v>999</v>
      </c>
      <c r="J1440" t="s">
        <v>4865</v>
      </c>
    </row>
    <row r="1441" spans="1:10" x14ac:dyDescent="0.2">
      <c r="A1441" t="s">
        <v>4864</v>
      </c>
      <c r="E1441" t="str">
        <f>HYPERLINK("http://nlpdeep.cs.uic.edu:8080/proofing/gsii/37337-hospital-course-10-4.pdf","gsii/37337-hospital-course-10-4.pdf")</f>
        <v>gsii/37337-hospital-course-10-4.pdf</v>
      </c>
      <c r="F1441">
        <v>110002</v>
      </c>
      <c r="G1441">
        <v>37337</v>
      </c>
      <c r="H1441" t="s">
        <v>745</v>
      </c>
      <c r="I1441" t="s">
        <v>999</v>
      </c>
      <c r="J1441" t="s">
        <v>4865</v>
      </c>
    </row>
    <row r="1442" spans="1:10" x14ac:dyDescent="0.2">
      <c r="A1442" t="s">
        <v>4866</v>
      </c>
      <c r="E1442" t="str">
        <f>HYPERLINK("http://nlpdeep.cs.uic.edu:8080/proofing/t5/37337-hospital-course-11-0.pdf","t5/37337-hospital-course-11-0.pdf")</f>
        <v>t5/37337-hospital-course-11-0.pdf</v>
      </c>
      <c r="F1442">
        <v>110002</v>
      </c>
      <c r="G1442">
        <v>37337</v>
      </c>
      <c r="H1442" t="s">
        <v>745</v>
      </c>
      <c r="I1442" t="s">
        <v>999</v>
      </c>
      <c r="J1442" t="s">
        <v>4867</v>
      </c>
    </row>
    <row r="1443" spans="1:10" x14ac:dyDescent="0.2">
      <c r="A1443" t="s">
        <v>4866</v>
      </c>
      <c r="E1443" t="str">
        <f>HYPERLINK("http://nlpdeep.cs.uic.edu:8080/proofing/gsii/37337-hospital-course-11-0.pdf","gsii/37337-hospital-course-11-0.pdf")</f>
        <v>gsii/37337-hospital-course-11-0.pdf</v>
      </c>
      <c r="F1443">
        <v>110002</v>
      </c>
      <c r="G1443">
        <v>37337</v>
      </c>
      <c r="H1443" t="s">
        <v>745</v>
      </c>
      <c r="I1443" t="s">
        <v>999</v>
      </c>
      <c r="J1443" t="s">
        <v>4867</v>
      </c>
    </row>
    <row r="1444" spans="1:10" x14ac:dyDescent="0.2">
      <c r="A1444" t="s">
        <v>4868</v>
      </c>
      <c r="E1444" t="str">
        <f>HYPERLINK("http://nlpdeep.cs.uic.edu:8080/proofing/t5/37337-hospital-course-11-1.pdf","t5/37337-hospital-course-11-1.pdf")</f>
        <v>t5/37337-hospital-course-11-1.pdf</v>
      </c>
      <c r="F1444">
        <v>110002</v>
      </c>
      <c r="G1444">
        <v>37337</v>
      </c>
      <c r="H1444" t="s">
        <v>745</v>
      </c>
      <c r="I1444" t="s">
        <v>999</v>
      </c>
      <c r="J1444" t="s">
        <v>4869</v>
      </c>
    </row>
    <row r="1445" spans="1:10" x14ac:dyDescent="0.2">
      <c r="A1445" t="s">
        <v>4868</v>
      </c>
      <c r="E1445" t="str">
        <f>HYPERLINK("http://nlpdeep.cs.uic.edu:8080/proofing/gsii/37337-hospital-course-11-1.pdf","gsii/37337-hospital-course-11-1.pdf")</f>
        <v>gsii/37337-hospital-course-11-1.pdf</v>
      </c>
      <c r="F1445">
        <v>110002</v>
      </c>
      <c r="G1445">
        <v>37337</v>
      </c>
      <c r="H1445" t="s">
        <v>745</v>
      </c>
      <c r="I1445" t="s">
        <v>999</v>
      </c>
      <c r="J1445" t="s">
        <v>4869</v>
      </c>
    </row>
    <row r="1446" spans="1:10" x14ac:dyDescent="0.2">
      <c r="A1446" t="s">
        <v>4870</v>
      </c>
      <c r="E1446" t="str">
        <f>HYPERLINK("http://nlpdeep.cs.uic.edu:8080/proofing/t5/37337-hospital-course-11-2.pdf","t5/37337-hospital-course-11-2.pdf")</f>
        <v>t5/37337-hospital-course-11-2.pdf</v>
      </c>
      <c r="F1446">
        <v>110002</v>
      </c>
      <c r="G1446">
        <v>37337</v>
      </c>
      <c r="H1446" t="s">
        <v>745</v>
      </c>
      <c r="I1446" t="s">
        <v>999</v>
      </c>
      <c r="J1446" t="s">
        <v>4871</v>
      </c>
    </row>
    <row r="1447" spans="1:10" x14ac:dyDescent="0.2">
      <c r="A1447" t="s">
        <v>4870</v>
      </c>
      <c r="E1447" t="str">
        <f>HYPERLINK("http://nlpdeep.cs.uic.edu:8080/proofing/gsii/37337-hospital-course-11-2.pdf","gsii/37337-hospital-course-11-2.pdf")</f>
        <v>gsii/37337-hospital-course-11-2.pdf</v>
      </c>
      <c r="F1447">
        <v>110002</v>
      </c>
      <c r="G1447">
        <v>37337</v>
      </c>
      <c r="H1447" t="s">
        <v>745</v>
      </c>
      <c r="I1447" t="s">
        <v>999</v>
      </c>
      <c r="J1447" t="s">
        <v>4871</v>
      </c>
    </row>
    <row r="1448" spans="1:10" x14ac:dyDescent="0.2">
      <c r="A1448" t="s">
        <v>4872</v>
      </c>
      <c r="E1448" t="str">
        <f>HYPERLINK("http://nlpdeep.cs.uic.edu:8080/proofing/t5/37337-hospital-course-11-3.pdf","t5/37337-hospital-course-11-3.pdf")</f>
        <v>t5/37337-hospital-course-11-3.pdf</v>
      </c>
      <c r="F1448">
        <v>110002</v>
      </c>
      <c r="G1448">
        <v>37337</v>
      </c>
      <c r="H1448" t="s">
        <v>745</v>
      </c>
      <c r="I1448" t="s">
        <v>999</v>
      </c>
      <c r="J1448" t="s">
        <v>4873</v>
      </c>
    </row>
    <row r="1449" spans="1:10" x14ac:dyDescent="0.2">
      <c r="A1449" t="s">
        <v>4872</v>
      </c>
      <c r="E1449" t="str">
        <f>HYPERLINK("http://nlpdeep.cs.uic.edu:8080/proofing/gsii/37337-hospital-course-11-3.pdf","gsii/37337-hospital-course-11-3.pdf")</f>
        <v>gsii/37337-hospital-course-11-3.pdf</v>
      </c>
      <c r="F1449">
        <v>110002</v>
      </c>
      <c r="G1449">
        <v>37337</v>
      </c>
      <c r="H1449" t="s">
        <v>745</v>
      </c>
      <c r="I1449" t="s">
        <v>999</v>
      </c>
      <c r="J1449" t="s">
        <v>4873</v>
      </c>
    </row>
    <row r="1450" spans="1:10" x14ac:dyDescent="0.2">
      <c r="A1450" t="s">
        <v>4874</v>
      </c>
      <c r="E1450" t="str">
        <f>HYPERLINK("http://nlpdeep.cs.uic.edu:8080/proofing/t5/37337-hospital-course-11-4.pdf","t5/37337-hospital-course-11-4.pdf")</f>
        <v>t5/37337-hospital-course-11-4.pdf</v>
      </c>
      <c r="F1450">
        <v>110002</v>
      </c>
      <c r="G1450">
        <v>37337</v>
      </c>
      <c r="H1450" t="s">
        <v>745</v>
      </c>
      <c r="I1450" t="s">
        <v>999</v>
      </c>
      <c r="J1450" t="s">
        <v>4875</v>
      </c>
    </row>
    <row r="1451" spans="1:10" x14ac:dyDescent="0.2">
      <c r="A1451" t="s">
        <v>4874</v>
      </c>
      <c r="E1451" t="str">
        <f>HYPERLINK("http://nlpdeep.cs.uic.edu:8080/proofing/gsii/37337-hospital-course-11-4.pdf","gsii/37337-hospital-course-11-4.pdf")</f>
        <v>gsii/37337-hospital-course-11-4.pdf</v>
      </c>
      <c r="F1451">
        <v>110002</v>
      </c>
      <c r="G1451">
        <v>37337</v>
      </c>
      <c r="H1451" t="s">
        <v>745</v>
      </c>
      <c r="I1451" t="s">
        <v>999</v>
      </c>
      <c r="J1451" t="s">
        <v>4875</v>
      </c>
    </row>
    <row r="1452" spans="1:10" x14ac:dyDescent="0.2">
      <c r="A1452" t="s">
        <v>4876</v>
      </c>
      <c r="E1452" t="str">
        <f>HYPERLINK("http://nlpdeep.cs.uic.edu:8080/proofing/t5/37337-hospital-course-11-5.pdf","t5/37337-hospital-course-11-5.pdf")</f>
        <v>t5/37337-hospital-course-11-5.pdf</v>
      </c>
      <c r="F1452">
        <v>110002</v>
      </c>
      <c r="G1452">
        <v>37337</v>
      </c>
      <c r="H1452" t="s">
        <v>745</v>
      </c>
      <c r="I1452" t="s">
        <v>999</v>
      </c>
      <c r="J1452" t="s">
        <v>4877</v>
      </c>
    </row>
    <row r="1453" spans="1:10" x14ac:dyDescent="0.2">
      <c r="A1453" t="s">
        <v>4876</v>
      </c>
      <c r="E1453" t="str">
        <f>HYPERLINK("http://nlpdeep.cs.uic.edu:8080/proofing/gsii/37337-hospital-course-11-5.pdf","gsii/37337-hospital-course-11-5.pdf")</f>
        <v>gsii/37337-hospital-course-11-5.pdf</v>
      </c>
      <c r="F1453">
        <v>110002</v>
      </c>
      <c r="G1453">
        <v>37337</v>
      </c>
      <c r="H1453" t="s">
        <v>745</v>
      </c>
      <c r="I1453" t="s">
        <v>999</v>
      </c>
      <c r="J1453" t="s">
        <v>4877</v>
      </c>
    </row>
    <row r="1454" spans="1:10" x14ac:dyDescent="0.2">
      <c r="A1454" t="s">
        <v>4878</v>
      </c>
      <c r="E1454" t="str">
        <f>HYPERLINK("http://nlpdeep.cs.uic.edu:8080/proofing/t5/37337-hospital-course-11-6.pdf","t5/37337-hospital-course-11-6.pdf")</f>
        <v>t5/37337-hospital-course-11-6.pdf</v>
      </c>
      <c r="F1454">
        <v>110002</v>
      </c>
      <c r="G1454">
        <v>37337</v>
      </c>
      <c r="H1454" t="s">
        <v>745</v>
      </c>
      <c r="I1454" t="s">
        <v>999</v>
      </c>
      <c r="J1454" t="s">
        <v>4879</v>
      </c>
    </row>
    <row r="1455" spans="1:10" x14ac:dyDescent="0.2">
      <c r="A1455" t="s">
        <v>4878</v>
      </c>
      <c r="E1455" t="str">
        <f>HYPERLINK("http://nlpdeep.cs.uic.edu:8080/proofing/gsii/37337-hospital-course-11-6.pdf","gsii/37337-hospital-course-11-6.pdf")</f>
        <v>gsii/37337-hospital-course-11-6.pdf</v>
      </c>
      <c r="F1455">
        <v>110002</v>
      </c>
      <c r="G1455">
        <v>37337</v>
      </c>
      <c r="H1455" t="s">
        <v>745</v>
      </c>
      <c r="I1455" t="s">
        <v>999</v>
      </c>
      <c r="J1455" t="s">
        <v>4879</v>
      </c>
    </row>
    <row r="1456" spans="1:10" x14ac:dyDescent="0.2">
      <c r="A1456" t="s">
        <v>4880</v>
      </c>
      <c r="E1456" t="str">
        <f>HYPERLINK("http://nlpdeep.cs.uic.edu:8080/proofing/t5/37337-hospital-course-11-7.pdf","t5/37337-hospital-course-11-7.pdf")</f>
        <v>t5/37337-hospital-course-11-7.pdf</v>
      </c>
      <c r="F1456">
        <v>110002</v>
      </c>
      <c r="G1456">
        <v>37337</v>
      </c>
      <c r="H1456" t="s">
        <v>745</v>
      </c>
      <c r="I1456" t="s">
        <v>999</v>
      </c>
      <c r="J1456" t="s">
        <v>4881</v>
      </c>
    </row>
    <row r="1457" spans="1:10" x14ac:dyDescent="0.2">
      <c r="A1457" t="s">
        <v>4880</v>
      </c>
      <c r="E1457" t="str">
        <f>HYPERLINK("http://nlpdeep.cs.uic.edu:8080/proofing/gsii/37337-hospital-course-11-7.pdf","gsii/37337-hospital-course-11-7.pdf")</f>
        <v>gsii/37337-hospital-course-11-7.pdf</v>
      </c>
      <c r="F1457">
        <v>110002</v>
      </c>
      <c r="G1457">
        <v>37337</v>
      </c>
      <c r="H1457" t="s">
        <v>745</v>
      </c>
      <c r="I1457" t="s">
        <v>999</v>
      </c>
      <c r="J1457" t="s">
        <v>4881</v>
      </c>
    </row>
    <row r="1458" spans="1:10" x14ac:dyDescent="0.2">
      <c r="A1458" t="s">
        <v>4882</v>
      </c>
      <c r="E1458" t="str">
        <f>HYPERLINK("http://nlpdeep.cs.uic.edu:8080/proofing/t5/37337-hospital-course-11-8.pdf","t5/37337-hospital-course-11-8.pdf")</f>
        <v>t5/37337-hospital-course-11-8.pdf</v>
      </c>
      <c r="F1458">
        <v>110002</v>
      </c>
      <c r="G1458">
        <v>37337</v>
      </c>
      <c r="H1458" t="s">
        <v>745</v>
      </c>
      <c r="I1458" t="s">
        <v>999</v>
      </c>
      <c r="J1458" t="s">
        <v>4883</v>
      </c>
    </row>
    <row r="1459" spans="1:10" x14ac:dyDescent="0.2">
      <c r="A1459" t="s">
        <v>4882</v>
      </c>
      <c r="E1459" t="str">
        <f>HYPERLINK("http://nlpdeep.cs.uic.edu:8080/proofing/gsii/37337-hospital-course-11-8.pdf","gsii/37337-hospital-course-11-8.pdf")</f>
        <v>gsii/37337-hospital-course-11-8.pdf</v>
      </c>
      <c r="F1459">
        <v>110002</v>
      </c>
      <c r="G1459">
        <v>37337</v>
      </c>
      <c r="H1459" t="s">
        <v>745</v>
      </c>
      <c r="I1459" t="s">
        <v>999</v>
      </c>
      <c r="J1459" t="s">
        <v>4883</v>
      </c>
    </row>
    <row r="1460" spans="1:10" x14ac:dyDescent="0.2">
      <c r="A1460" t="s">
        <v>4884</v>
      </c>
      <c r="E1460" t="str">
        <f>HYPERLINK("http://nlpdeep.cs.uic.edu:8080/proofing/t5/37337-hospital-course-11-9.pdf","t5/37337-hospital-course-11-9.pdf")</f>
        <v>t5/37337-hospital-course-11-9.pdf</v>
      </c>
      <c r="F1460">
        <v>110002</v>
      </c>
      <c r="G1460">
        <v>37337</v>
      </c>
      <c r="H1460" t="s">
        <v>745</v>
      </c>
      <c r="I1460" t="s">
        <v>999</v>
      </c>
      <c r="J1460" t="s">
        <v>4885</v>
      </c>
    </row>
    <row r="1461" spans="1:10" x14ac:dyDescent="0.2">
      <c r="A1461" t="s">
        <v>4884</v>
      </c>
      <c r="E1461" t="str">
        <f>HYPERLINK("http://nlpdeep.cs.uic.edu:8080/proofing/gsii/37337-hospital-course-11-9.pdf","gsii/37337-hospital-course-11-9.pdf")</f>
        <v>gsii/37337-hospital-course-11-9.pdf</v>
      </c>
      <c r="F1461">
        <v>110002</v>
      </c>
      <c r="G1461">
        <v>37337</v>
      </c>
      <c r="H1461" t="s">
        <v>745</v>
      </c>
      <c r="I1461" t="s">
        <v>999</v>
      </c>
      <c r="J1461" t="s">
        <v>4885</v>
      </c>
    </row>
    <row r="1462" spans="1:10" x14ac:dyDescent="0.2">
      <c r="A1462" t="s">
        <v>4886</v>
      </c>
      <c r="E1462" t="str">
        <f>HYPERLINK("http://nlpdeep.cs.uic.edu:8080/proofing/t5/37337-hospital-course-11-10.pdf","t5/37337-hospital-course-11-10.pdf")</f>
        <v>t5/37337-hospital-course-11-10.pdf</v>
      </c>
      <c r="F1462">
        <v>110002</v>
      </c>
      <c r="G1462">
        <v>37337</v>
      </c>
      <c r="H1462" t="s">
        <v>745</v>
      </c>
      <c r="I1462" t="s">
        <v>999</v>
      </c>
      <c r="J1462" t="s">
        <v>4887</v>
      </c>
    </row>
    <row r="1463" spans="1:10" x14ac:dyDescent="0.2">
      <c r="A1463" t="s">
        <v>4886</v>
      </c>
      <c r="E1463" t="str">
        <f>HYPERLINK("http://nlpdeep.cs.uic.edu:8080/proofing/gsii/37337-hospital-course-11-10.pdf","gsii/37337-hospital-course-11-10.pdf")</f>
        <v>gsii/37337-hospital-course-11-10.pdf</v>
      </c>
      <c r="F1463">
        <v>110002</v>
      </c>
      <c r="G1463">
        <v>37337</v>
      </c>
      <c r="H1463" t="s">
        <v>745</v>
      </c>
      <c r="I1463" t="s">
        <v>999</v>
      </c>
      <c r="J1463" t="s">
        <v>4887</v>
      </c>
    </row>
    <row r="1464" spans="1:10" x14ac:dyDescent="0.2">
      <c r="A1464" t="s">
        <v>4888</v>
      </c>
      <c r="E1464" t="str">
        <f>HYPERLINK("http://nlpdeep.cs.uic.edu:8080/proofing/t5/37337-hospital-course-11-11.pdf","t5/37337-hospital-course-11-11.pdf")</f>
        <v>t5/37337-hospital-course-11-11.pdf</v>
      </c>
      <c r="F1464">
        <v>110002</v>
      </c>
      <c r="G1464">
        <v>37337</v>
      </c>
      <c r="H1464" t="s">
        <v>745</v>
      </c>
      <c r="I1464" t="s">
        <v>999</v>
      </c>
      <c r="J1464" t="s">
        <v>4889</v>
      </c>
    </row>
    <row r="1465" spans="1:10" x14ac:dyDescent="0.2">
      <c r="A1465" t="s">
        <v>4888</v>
      </c>
      <c r="E1465" t="str">
        <f>HYPERLINK("http://nlpdeep.cs.uic.edu:8080/proofing/gsii/37337-hospital-course-11-11.pdf","gsii/37337-hospital-course-11-11.pdf")</f>
        <v>gsii/37337-hospital-course-11-11.pdf</v>
      </c>
      <c r="F1465">
        <v>110002</v>
      </c>
      <c r="G1465">
        <v>37337</v>
      </c>
      <c r="H1465" t="s">
        <v>745</v>
      </c>
      <c r="I1465" t="s">
        <v>999</v>
      </c>
      <c r="J1465" t="s">
        <v>4889</v>
      </c>
    </row>
    <row r="1466" spans="1:10" x14ac:dyDescent="0.2">
      <c r="A1466" t="s">
        <v>4890</v>
      </c>
      <c r="E1466" t="str">
        <f>HYPERLINK("http://nlpdeep.cs.uic.edu:8080/proofing/t5/37337-hospital-course-12-0.pdf","t5/37337-hospital-course-12-0.pdf")</f>
        <v>t5/37337-hospital-course-12-0.pdf</v>
      </c>
      <c r="F1466">
        <v>110002</v>
      </c>
      <c r="G1466">
        <v>37337</v>
      </c>
      <c r="H1466" t="s">
        <v>745</v>
      </c>
      <c r="I1466" t="s">
        <v>999</v>
      </c>
      <c r="J1466" t="s">
        <v>4891</v>
      </c>
    </row>
    <row r="1467" spans="1:10" x14ac:dyDescent="0.2">
      <c r="A1467" t="s">
        <v>4890</v>
      </c>
      <c r="E1467" t="str">
        <f>HYPERLINK("http://nlpdeep.cs.uic.edu:8080/proofing/gsii/37337-hospital-course-12-0.pdf","gsii/37337-hospital-course-12-0.pdf")</f>
        <v>gsii/37337-hospital-course-12-0.pdf</v>
      </c>
      <c r="F1467">
        <v>110002</v>
      </c>
      <c r="G1467">
        <v>37337</v>
      </c>
      <c r="H1467" t="s">
        <v>745</v>
      </c>
      <c r="I1467" t="s">
        <v>999</v>
      </c>
      <c r="J1467" t="s">
        <v>4891</v>
      </c>
    </row>
    <row r="1468" spans="1:10" x14ac:dyDescent="0.2">
      <c r="A1468" t="s">
        <v>4892</v>
      </c>
      <c r="E1468" t="str">
        <f>HYPERLINK("http://nlpdeep.cs.uic.edu:8080/proofing/t5/37337-hospital-course-12-1.pdf","t5/37337-hospital-course-12-1.pdf")</f>
        <v>t5/37337-hospital-course-12-1.pdf</v>
      </c>
      <c r="F1468">
        <v>110002</v>
      </c>
      <c r="G1468">
        <v>37337</v>
      </c>
      <c r="H1468" t="s">
        <v>745</v>
      </c>
      <c r="I1468" t="s">
        <v>999</v>
      </c>
      <c r="J1468" t="s">
        <v>4893</v>
      </c>
    </row>
    <row r="1469" spans="1:10" x14ac:dyDescent="0.2">
      <c r="A1469" t="s">
        <v>4892</v>
      </c>
      <c r="E1469" t="str">
        <f>HYPERLINK("http://nlpdeep.cs.uic.edu:8080/proofing/gsii/37337-hospital-course-12-1.pdf","gsii/37337-hospital-course-12-1.pdf")</f>
        <v>gsii/37337-hospital-course-12-1.pdf</v>
      </c>
      <c r="F1469">
        <v>110002</v>
      </c>
      <c r="G1469">
        <v>37337</v>
      </c>
      <c r="H1469" t="s">
        <v>745</v>
      </c>
      <c r="I1469" t="s">
        <v>999</v>
      </c>
      <c r="J1469" t="s">
        <v>4893</v>
      </c>
    </row>
    <row r="1470" spans="1:10" x14ac:dyDescent="0.2">
      <c r="A1470" t="s">
        <v>4894</v>
      </c>
      <c r="E1470" t="str">
        <f>HYPERLINK("http://nlpdeep.cs.uic.edu:8080/proofing/t5/37337-hospital-course-12-2.pdf","t5/37337-hospital-course-12-2.pdf")</f>
        <v>t5/37337-hospital-course-12-2.pdf</v>
      </c>
      <c r="F1470">
        <v>110002</v>
      </c>
      <c r="G1470">
        <v>37337</v>
      </c>
      <c r="H1470" t="s">
        <v>745</v>
      </c>
      <c r="I1470" t="s">
        <v>999</v>
      </c>
      <c r="J1470" t="s">
        <v>4895</v>
      </c>
    </row>
    <row r="1471" spans="1:10" x14ac:dyDescent="0.2">
      <c r="A1471" t="s">
        <v>4894</v>
      </c>
      <c r="E1471" t="str">
        <f>HYPERLINK("http://nlpdeep.cs.uic.edu:8080/proofing/gsii/37337-hospital-course-12-2.pdf","gsii/37337-hospital-course-12-2.pdf")</f>
        <v>gsii/37337-hospital-course-12-2.pdf</v>
      </c>
      <c r="F1471">
        <v>110002</v>
      </c>
      <c r="G1471">
        <v>37337</v>
      </c>
      <c r="H1471" t="s">
        <v>745</v>
      </c>
      <c r="I1471" t="s">
        <v>999</v>
      </c>
      <c r="J1471" t="s">
        <v>4895</v>
      </c>
    </row>
    <row r="1472" spans="1:10" x14ac:dyDescent="0.2">
      <c r="A1472" t="s">
        <v>4896</v>
      </c>
      <c r="E1472" t="str">
        <f>HYPERLINK("http://nlpdeep.cs.uic.edu:8080/proofing/t5/37337-hospital-course-12-3.pdf","t5/37337-hospital-course-12-3.pdf")</f>
        <v>t5/37337-hospital-course-12-3.pdf</v>
      </c>
      <c r="F1472">
        <v>110002</v>
      </c>
      <c r="G1472">
        <v>37337</v>
      </c>
      <c r="H1472" t="s">
        <v>745</v>
      </c>
      <c r="I1472" t="s">
        <v>999</v>
      </c>
      <c r="J1472" t="s">
        <v>4897</v>
      </c>
    </row>
    <row r="1473" spans="1:10" x14ac:dyDescent="0.2">
      <c r="A1473" t="s">
        <v>4896</v>
      </c>
      <c r="E1473" t="str">
        <f>HYPERLINK("http://nlpdeep.cs.uic.edu:8080/proofing/gsii/37337-hospital-course-12-3.pdf","gsii/37337-hospital-course-12-3.pdf")</f>
        <v>gsii/37337-hospital-course-12-3.pdf</v>
      </c>
      <c r="F1473">
        <v>110002</v>
      </c>
      <c r="G1473">
        <v>37337</v>
      </c>
      <c r="H1473" t="s">
        <v>745</v>
      </c>
      <c r="I1473" t="s">
        <v>999</v>
      </c>
      <c r="J1473" t="s">
        <v>4897</v>
      </c>
    </row>
    <row r="1474" spans="1:10" x14ac:dyDescent="0.2">
      <c r="A1474" t="s">
        <v>4898</v>
      </c>
      <c r="E1474" t="str">
        <f>HYPERLINK("http://nlpdeep.cs.uic.edu:8080/proofing/t5/37337-hospital-course-13-0.pdf","t5/37337-hospital-course-13-0.pdf")</f>
        <v>t5/37337-hospital-course-13-0.pdf</v>
      </c>
      <c r="F1474">
        <v>110002</v>
      </c>
      <c r="G1474">
        <v>37337</v>
      </c>
      <c r="H1474" t="s">
        <v>745</v>
      </c>
      <c r="I1474" t="s">
        <v>999</v>
      </c>
      <c r="J1474" t="s">
        <v>4899</v>
      </c>
    </row>
    <row r="1475" spans="1:10" x14ac:dyDescent="0.2">
      <c r="A1475" t="s">
        <v>4898</v>
      </c>
      <c r="E1475" t="str">
        <f>HYPERLINK("http://nlpdeep.cs.uic.edu:8080/proofing/gsii/37337-hospital-course-13-0.pdf","gsii/37337-hospital-course-13-0.pdf")</f>
        <v>gsii/37337-hospital-course-13-0.pdf</v>
      </c>
      <c r="F1475">
        <v>110002</v>
      </c>
      <c r="G1475">
        <v>37337</v>
      </c>
      <c r="H1475" t="s">
        <v>745</v>
      </c>
      <c r="I1475" t="s">
        <v>999</v>
      </c>
      <c r="J1475" t="s">
        <v>4899</v>
      </c>
    </row>
    <row r="1476" spans="1:10" x14ac:dyDescent="0.2">
      <c r="A1476" t="s">
        <v>4900</v>
      </c>
      <c r="E1476" t="str">
        <f>HYPERLINK("http://nlpdeep.cs.uic.edu:8080/proofing/t5/37337-hospital-course-13-1.pdf","t5/37337-hospital-course-13-1.pdf")</f>
        <v>t5/37337-hospital-course-13-1.pdf</v>
      </c>
      <c r="F1476">
        <v>110002</v>
      </c>
      <c r="G1476">
        <v>37337</v>
      </c>
      <c r="H1476" t="s">
        <v>745</v>
      </c>
      <c r="I1476" t="s">
        <v>999</v>
      </c>
      <c r="J1476" t="s">
        <v>4901</v>
      </c>
    </row>
    <row r="1477" spans="1:10" x14ac:dyDescent="0.2">
      <c r="A1477" t="s">
        <v>4900</v>
      </c>
      <c r="E1477" t="str">
        <f>HYPERLINK("http://nlpdeep.cs.uic.edu:8080/proofing/gsii/37337-hospital-course-13-1.pdf","gsii/37337-hospital-course-13-1.pdf")</f>
        <v>gsii/37337-hospital-course-13-1.pdf</v>
      </c>
      <c r="F1477">
        <v>110002</v>
      </c>
      <c r="G1477">
        <v>37337</v>
      </c>
      <c r="H1477" t="s">
        <v>745</v>
      </c>
      <c r="I1477" t="s">
        <v>999</v>
      </c>
      <c r="J1477" t="s">
        <v>4901</v>
      </c>
    </row>
    <row r="1478" spans="1:10" x14ac:dyDescent="0.2">
      <c r="A1478" t="s">
        <v>4902</v>
      </c>
      <c r="E1478" t="str">
        <f>HYPERLINK("http://nlpdeep.cs.uic.edu:8080/proofing/t5/37337-hospital-course-13-2.pdf","t5/37337-hospital-course-13-2.pdf")</f>
        <v>t5/37337-hospital-course-13-2.pdf</v>
      </c>
      <c r="F1478">
        <v>110002</v>
      </c>
      <c r="G1478">
        <v>37337</v>
      </c>
      <c r="H1478" t="s">
        <v>745</v>
      </c>
      <c r="I1478" t="s">
        <v>999</v>
      </c>
      <c r="J1478" t="s">
        <v>4903</v>
      </c>
    </row>
    <row r="1479" spans="1:10" x14ac:dyDescent="0.2">
      <c r="A1479" t="s">
        <v>4902</v>
      </c>
      <c r="E1479" t="str">
        <f>HYPERLINK("http://nlpdeep.cs.uic.edu:8080/proofing/gsii/37337-hospital-course-13-2.pdf","gsii/37337-hospital-course-13-2.pdf")</f>
        <v>gsii/37337-hospital-course-13-2.pdf</v>
      </c>
      <c r="F1479">
        <v>110002</v>
      </c>
      <c r="G1479">
        <v>37337</v>
      </c>
      <c r="H1479" t="s">
        <v>745</v>
      </c>
      <c r="I1479" t="s">
        <v>999</v>
      </c>
      <c r="J1479" t="s">
        <v>4903</v>
      </c>
    </row>
    <row r="1480" spans="1:10" x14ac:dyDescent="0.2">
      <c r="A1480" t="s">
        <v>4904</v>
      </c>
      <c r="E1480" t="str">
        <f>HYPERLINK("http://nlpdeep.cs.uic.edu:8080/proofing/t5/37337-hospital-course-13-3.pdf","t5/37337-hospital-course-13-3.pdf")</f>
        <v>t5/37337-hospital-course-13-3.pdf</v>
      </c>
      <c r="F1480">
        <v>110002</v>
      </c>
      <c r="G1480">
        <v>37337</v>
      </c>
      <c r="H1480" t="s">
        <v>745</v>
      </c>
      <c r="I1480" t="s">
        <v>999</v>
      </c>
      <c r="J1480" t="s">
        <v>4905</v>
      </c>
    </row>
    <row r="1481" spans="1:10" x14ac:dyDescent="0.2">
      <c r="A1481" t="s">
        <v>4904</v>
      </c>
      <c r="E1481" t="str">
        <f>HYPERLINK("http://nlpdeep.cs.uic.edu:8080/proofing/gsii/37337-hospital-course-13-3.pdf","gsii/37337-hospital-course-13-3.pdf")</f>
        <v>gsii/37337-hospital-course-13-3.pdf</v>
      </c>
      <c r="F1481">
        <v>110002</v>
      </c>
      <c r="G1481">
        <v>37337</v>
      </c>
      <c r="H1481" t="s">
        <v>745</v>
      </c>
      <c r="I1481" t="s">
        <v>999</v>
      </c>
      <c r="J1481" t="s">
        <v>4905</v>
      </c>
    </row>
    <row r="1482" spans="1:10" x14ac:dyDescent="0.2">
      <c r="A1482" t="s">
        <v>4906</v>
      </c>
      <c r="E1482" t="str">
        <f>HYPERLINK("http://nlpdeep.cs.uic.edu:8080/proofing/t5/37337-hospital-course-13-4.pdf","t5/37337-hospital-course-13-4.pdf")</f>
        <v>t5/37337-hospital-course-13-4.pdf</v>
      </c>
      <c r="F1482">
        <v>110002</v>
      </c>
      <c r="G1482">
        <v>37337</v>
      </c>
      <c r="H1482" t="s">
        <v>745</v>
      </c>
      <c r="I1482" t="s">
        <v>999</v>
      </c>
      <c r="J1482" t="s">
        <v>4907</v>
      </c>
    </row>
    <row r="1483" spans="1:10" x14ac:dyDescent="0.2">
      <c r="A1483" t="s">
        <v>4906</v>
      </c>
      <c r="E1483" t="str">
        <f>HYPERLINK("http://nlpdeep.cs.uic.edu:8080/proofing/gsii/37337-hospital-course-13-4.pdf","gsii/37337-hospital-course-13-4.pdf")</f>
        <v>gsii/37337-hospital-course-13-4.pdf</v>
      </c>
      <c r="F1483">
        <v>110002</v>
      </c>
      <c r="G1483">
        <v>37337</v>
      </c>
      <c r="H1483" t="s">
        <v>745</v>
      </c>
      <c r="I1483" t="s">
        <v>999</v>
      </c>
      <c r="J1483" t="s">
        <v>4907</v>
      </c>
    </row>
    <row r="1484" spans="1:10" x14ac:dyDescent="0.2">
      <c r="A1484" t="s">
        <v>4908</v>
      </c>
      <c r="E1484" t="str">
        <f>HYPERLINK("http://nlpdeep.cs.uic.edu:8080/proofing/t5/37337-hospital-course-14-0.pdf","t5/37337-hospital-course-14-0.pdf")</f>
        <v>t5/37337-hospital-course-14-0.pdf</v>
      </c>
      <c r="F1484">
        <v>110002</v>
      </c>
      <c r="G1484">
        <v>37337</v>
      </c>
      <c r="H1484" t="s">
        <v>745</v>
      </c>
      <c r="I1484" t="s">
        <v>999</v>
      </c>
      <c r="J1484" t="s">
        <v>4909</v>
      </c>
    </row>
    <row r="1485" spans="1:10" x14ac:dyDescent="0.2">
      <c r="A1485" t="s">
        <v>4908</v>
      </c>
      <c r="E1485" t="str">
        <f>HYPERLINK("http://nlpdeep.cs.uic.edu:8080/proofing/gsii/37337-hospital-course-14-0.pdf","gsii/37337-hospital-course-14-0.pdf")</f>
        <v>gsii/37337-hospital-course-14-0.pdf</v>
      </c>
      <c r="F1485">
        <v>110002</v>
      </c>
      <c r="G1485">
        <v>37337</v>
      </c>
      <c r="H1485" t="s">
        <v>745</v>
      </c>
      <c r="I1485" t="s">
        <v>999</v>
      </c>
      <c r="J1485" t="s">
        <v>4909</v>
      </c>
    </row>
    <row r="1486" spans="1:10" x14ac:dyDescent="0.2">
      <c r="A1486" t="s">
        <v>4910</v>
      </c>
      <c r="E1486" t="str">
        <f>HYPERLINK("http://nlpdeep.cs.uic.edu:8080/proofing/t5/37337-hospital-course-15-0.pdf","t5/37337-hospital-course-15-0.pdf")</f>
        <v>t5/37337-hospital-course-15-0.pdf</v>
      </c>
      <c r="F1486">
        <v>110002</v>
      </c>
      <c r="G1486">
        <v>37337</v>
      </c>
      <c r="H1486" t="s">
        <v>745</v>
      </c>
      <c r="I1486" t="s">
        <v>999</v>
      </c>
      <c r="J1486" t="s">
        <v>4911</v>
      </c>
    </row>
    <row r="1487" spans="1:10" x14ac:dyDescent="0.2">
      <c r="A1487" t="s">
        <v>4910</v>
      </c>
      <c r="E1487" t="str">
        <f>HYPERLINK("http://nlpdeep.cs.uic.edu:8080/proofing/gsii/37337-hospital-course-15-0.pdf","gsii/37337-hospital-course-15-0.pdf")</f>
        <v>gsii/37337-hospital-course-15-0.pdf</v>
      </c>
      <c r="F1487">
        <v>110002</v>
      </c>
      <c r="G1487">
        <v>37337</v>
      </c>
      <c r="H1487" t="s">
        <v>745</v>
      </c>
      <c r="I1487" t="s">
        <v>999</v>
      </c>
      <c r="J1487" t="s">
        <v>4911</v>
      </c>
    </row>
    <row r="1488" spans="1:10" x14ac:dyDescent="0.2">
      <c r="A1488" t="s">
        <v>4912</v>
      </c>
      <c r="E1488" t="str">
        <f>HYPERLINK("http://nlpdeep.cs.uic.edu:8080/proofing/t5/37337-hospital-course-15-1.pdf","t5/37337-hospital-course-15-1.pdf")</f>
        <v>t5/37337-hospital-course-15-1.pdf</v>
      </c>
      <c r="F1488">
        <v>110002</v>
      </c>
      <c r="G1488">
        <v>37337</v>
      </c>
      <c r="H1488" t="s">
        <v>745</v>
      </c>
      <c r="I1488" t="s">
        <v>999</v>
      </c>
      <c r="J1488" t="s">
        <v>4913</v>
      </c>
    </row>
    <row r="1489" spans="1:10" x14ac:dyDescent="0.2">
      <c r="A1489" t="s">
        <v>4912</v>
      </c>
      <c r="E1489" t="str">
        <f>HYPERLINK("http://nlpdeep.cs.uic.edu:8080/proofing/gsii/37337-hospital-course-15-1.pdf","gsii/37337-hospital-course-15-1.pdf")</f>
        <v>gsii/37337-hospital-course-15-1.pdf</v>
      </c>
      <c r="F1489">
        <v>110002</v>
      </c>
      <c r="G1489">
        <v>37337</v>
      </c>
      <c r="H1489" t="s">
        <v>745</v>
      </c>
      <c r="I1489" t="s">
        <v>999</v>
      </c>
      <c r="J1489" t="s">
        <v>4913</v>
      </c>
    </row>
    <row r="1490" spans="1:10" x14ac:dyDescent="0.2">
      <c r="A1490" t="s">
        <v>4914</v>
      </c>
      <c r="E1490" t="str">
        <f>HYPERLINK("http://nlpdeep.cs.uic.edu:8080/proofing/t5/37337-hospital-course-15-2.pdf","t5/37337-hospital-course-15-2.pdf")</f>
        <v>t5/37337-hospital-course-15-2.pdf</v>
      </c>
      <c r="F1490">
        <v>110002</v>
      </c>
      <c r="G1490">
        <v>37337</v>
      </c>
      <c r="H1490" t="s">
        <v>745</v>
      </c>
      <c r="I1490" t="s">
        <v>999</v>
      </c>
      <c r="J1490" t="s">
        <v>4915</v>
      </c>
    </row>
    <row r="1491" spans="1:10" x14ac:dyDescent="0.2">
      <c r="A1491" t="s">
        <v>4914</v>
      </c>
      <c r="E1491" t="str">
        <f>HYPERLINK("http://nlpdeep.cs.uic.edu:8080/proofing/gsii/37337-hospital-course-15-2.pdf","gsii/37337-hospital-course-15-2.pdf")</f>
        <v>gsii/37337-hospital-course-15-2.pdf</v>
      </c>
      <c r="F1491">
        <v>110002</v>
      </c>
      <c r="G1491">
        <v>37337</v>
      </c>
      <c r="H1491" t="s">
        <v>745</v>
      </c>
      <c r="I1491" t="s">
        <v>999</v>
      </c>
      <c r="J1491" t="s">
        <v>4915</v>
      </c>
    </row>
    <row r="1492" spans="1:10" x14ac:dyDescent="0.2">
      <c r="A1492" t="s">
        <v>4916</v>
      </c>
      <c r="E1492" t="str">
        <f>HYPERLINK("http://nlpdeep.cs.uic.edu:8080/proofing/t5/37337-hospital-course-15-3.pdf","t5/37337-hospital-course-15-3.pdf")</f>
        <v>t5/37337-hospital-course-15-3.pdf</v>
      </c>
      <c r="F1492">
        <v>110002</v>
      </c>
      <c r="G1492">
        <v>37337</v>
      </c>
      <c r="H1492" t="s">
        <v>745</v>
      </c>
      <c r="I1492" t="s">
        <v>999</v>
      </c>
      <c r="J1492" t="s">
        <v>4917</v>
      </c>
    </row>
    <row r="1493" spans="1:10" x14ac:dyDescent="0.2">
      <c r="A1493" t="s">
        <v>4916</v>
      </c>
      <c r="E1493" t="str">
        <f>HYPERLINK("http://nlpdeep.cs.uic.edu:8080/proofing/gsii/37337-hospital-course-15-3.pdf","gsii/37337-hospital-course-15-3.pdf")</f>
        <v>gsii/37337-hospital-course-15-3.pdf</v>
      </c>
      <c r="F1493">
        <v>110002</v>
      </c>
      <c r="G1493">
        <v>37337</v>
      </c>
      <c r="H1493" t="s">
        <v>745</v>
      </c>
      <c r="I1493" t="s">
        <v>999</v>
      </c>
      <c r="J1493" t="s">
        <v>4917</v>
      </c>
    </row>
    <row r="1494" spans="1:10" x14ac:dyDescent="0.2">
      <c r="A1494" t="s">
        <v>4918</v>
      </c>
      <c r="E1494" t="str">
        <f>HYPERLINK("http://nlpdeep.cs.uic.edu:8080/proofing/t5/37337-hospital-course-15-4.pdf","t5/37337-hospital-course-15-4.pdf")</f>
        <v>t5/37337-hospital-course-15-4.pdf</v>
      </c>
      <c r="F1494">
        <v>110002</v>
      </c>
      <c r="G1494">
        <v>37337</v>
      </c>
      <c r="H1494" t="s">
        <v>745</v>
      </c>
      <c r="I1494" t="s">
        <v>999</v>
      </c>
      <c r="J1494" t="s">
        <v>4919</v>
      </c>
    </row>
    <row r="1495" spans="1:10" x14ac:dyDescent="0.2">
      <c r="A1495" t="s">
        <v>4918</v>
      </c>
      <c r="E1495" t="str">
        <f>HYPERLINK("http://nlpdeep.cs.uic.edu:8080/proofing/gsii/37337-hospital-course-15-4.pdf","gsii/37337-hospital-course-15-4.pdf")</f>
        <v>gsii/37337-hospital-course-15-4.pdf</v>
      </c>
      <c r="F1495">
        <v>110002</v>
      </c>
      <c r="G1495">
        <v>37337</v>
      </c>
      <c r="H1495" t="s">
        <v>745</v>
      </c>
      <c r="I1495" t="s">
        <v>999</v>
      </c>
      <c r="J1495" t="s">
        <v>4919</v>
      </c>
    </row>
    <row r="1496" spans="1:10" x14ac:dyDescent="0.2">
      <c r="A1496" t="s">
        <v>4920</v>
      </c>
      <c r="E1496" t="str">
        <f>HYPERLINK("http://nlpdeep.cs.uic.edu:8080/proofing/t5/37337-hospital-course-15-5.pdf","t5/37337-hospital-course-15-5.pdf")</f>
        <v>t5/37337-hospital-course-15-5.pdf</v>
      </c>
      <c r="F1496">
        <v>110002</v>
      </c>
      <c r="G1496">
        <v>37337</v>
      </c>
      <c r="H1496" t="s">
        <v>745</v>
      </c>
      <c r="I1496" t="s">
        <v>999</v>
      </c>
      <c r="J1496" t="s">
        <v>4921</v>
      </c>
    </row>
    <row r="1497" spans="1:10" x14ac:dyDescent="0.2">
      <c r="A1497" t="s">
        <v>4920</v>
      </c>
      <c r="E1497" t="str">
        <f>HYPERLINK("http://nlpdeep.cs.uic.edu:8080/proofing/gsii/37337-hospital-course-15-5.pdf","gsii/37337-hospital-course-15-5.pdf")</f>
        <v>gsii/37337-hospital-course-15-5.pdf</v>
      </c>
      <c r="F1497">
        <v>110002</v>
      </c>
      <c r="G1497">
        <v>37337</v>
      </c>
      <c r="H1497" t="s">
        <v>745</v>
      </c>
      <c r="I1497" t="s">
        <v>999</v>
      </c>
      <c r="J1497" t="s">
        <v>4921</v>
      </c>
    </row>
    <row r="1498" spans="1:10" x14ac:dyDescent="0.2">
      <c r="A1498" t="s">
        <v>4922</v>
      </c>
      <c r="E1498" t="str">
        <f>HYPERLINK("http://nlpdeep.cs.uic.edu:8080/proofing/t5/37337-hospital-course-16-0.pdf","t5/37337-hospital-course-16-0.pdf")</f>
        <v>t5/37337-hospital-course-16-0.pdf</v>
      </c>
      <c r="F1498">
        <v>110002</v>
      </c>
      <c r="G1498">
        <v>37337</v>
      </c>
      <c r="H1498" t="s">
        <v>745</v>
      </c>
      <c r="I1498" t="s">
        <v>999</v>
      </c>
      <c r="J1498" t="s">
        <v>4923</v>
      </c>
    </row>
    <row r="1499" spans="1:10" x14ac:dyDescent="0.2">
      <c r="A1499" t="s">
        <v>4922</v>
      </c>
      <c r="E1499" t="str">
        <f>HYPERLINK("http://nlpdeep.cs.uic.edu:8080/proofing/gsii/37337-hospital-course-16-0.pdf","gsii/37337-hospital-course-16-0.pdf")</f>
        <v>gsii/37337-hospital-course-16-0.pdf</v>
      </c>
      <c r="F1499">
        <v>110002</v>
      </c>
      <c r="G1499">
        <v>37337</v>
      </c>
      <c r="H1499" t="s">
        <v>745</v>
      </c>
      <c r="I1499" t="s">
        <v>999</v>
      </c>
      <c r="J1499" t="s">
        <v>4923</v>
      </c>
    </row>
    <row r="1500" spans="1:10" x14ac:dyDescent="0.2">
      <c r="A1500" t="s">
        <v>4924</v>
      </c>
      <c r="E1500" t="str">
        <f>HYPERLINK("http://nlpdeep.cs.uic.edu:8080/proofing/t5/37337-hospital-course-16-1.pdf","t5/37337-hospital-course-16-1.pdf")</f>
        <v>t5/37337-hospital-course-16-1.pdf</v>
      </c>
      <c r="F1500">
        <v>110002</v>
      </c>
      <c r="G1500">
        <v>37337</v>
      </c>
      <c r="H1500" t="s">
        <v>745</v>
      </c>
      <c r="I1500" t="s">
        <v>999</v>
      </c>
      <c r="J1500" t="s">
        <v>4925</v>
      </c>
    </row>
    <row r="1501" spans="1:10" x14ac:dyDescent="0.2">
      <c r="A1501" t="s">
        <v>4924</v>
      </c>
      <c r="E1501" t="str">
        <f>HYPERLINK("http://nlpdeep.cs.uic.edu:8080/proofing/gsii/37337-hospital-course-16-1.pdf","gsii/37337-hospital-course-16-1.pdf")</f>
        <v>gsii/37337-hospital-course-16-1.pdf</v>
      </c>
      <c r="F1501">
        <v>110002</v>
      </c>
      <c r="G1501">
        <v>37337</v>
      </c>
      <c r="H1501" t="s">
        <v>745</v>
      </c>
      <c r="I1501" t="s">
        <v>999</v>
      </c>
      <c r="J1501" t="s">
        <v>4925</v>
      </c>
    </row>
    <row r="1502" spans="1:10" x14ac:dyDescent="0.2">
      <c r="A1502" t="s">
        <v>4926</v>
      </c>
      <c r="E1502" t="str">
        <f>HYPERLINK("http://nlpdeep.cs.uic.edu:8080/proofing/t5/37337-hospital-course-16-2.pdf","t5/37337-hospital-course-16-2.pdf")</f>
        <v>t5/37337-hospital-course-16-2.pdf</v>
      </c>
      <c r="F1502">
        <v>110002</v>
      </c>
      <c r="G1502">
        <v>37337</v>
      </c>
      <c r="H1502" t="s">
        <v>745</v>
      </c>
      <c r="I1502" t="s">
        <v>999</v>
      </c>
      <c r="J1502" t="s">
        <v>4927</v>
      </c>
    </row>
    <row r="1503" spans="1:10" x14ac:dyDescent="0.2">
      <c r="A1503" t="s">
        <v>4926</v>
      </c>
      <c r="E1503" t="str">
        <f>HYPERLINK("http://nlpdeep.cs.uic.edu:8080/proofing/gsii/37337-hospital-course-16-2.pdf","gsii/37337-hospital-course-16-2.pdf")</f>
        <v>gsii/37337-hospital-course-16-2.pdf</v>
      </c>
      <c r="F1503">
        <v>110002</v>
      </c>
      <c r="G1503">
        <v>37337</v>
      </c>
      <c r="H1503" t="s">
        <v>745</v>
      </c>
      <c r="I1503" t="s">
        <v>999</v>
      </c>
      <c r="J1503" t="s">
        <v>4927</v>
      </c>
    </row>
    <row r="1504" spans="1:10" x14ac:dyDescent="0.2">
      <c r="A1504" t="s">
        <v>4928</v>
      </c>
      <c r="E1504" t="str">
        <f>HYPERLINK("http://nlpdeep.cs.uic.edu:8080/proofing/t5/37337-hospital-course-17-0.pdf","t5/37337-hospital-course-17-0.pdf")</f>
        <v>t5/37337-hospital-course-17-0.pdf</v>
      </c>
      <c r="F1504">
        <v>110002</v>
      </c>
      <c r="G1504">
        <v>37337</v>
      </c>
      <c r="H1504" t="s">
        <v>745</v>
      </c>
      <c r="I1504" t="s">
        <v>999</v>
      </c>
      <c r="J1504" t="s">
        <v>4929</v>
      </c>
    </row>
    <row r="1505" spans="1:10" x14ac:dyDescent="0.2">
      <c r="A1505" t="s">
        <v>4928</v>
      </c>
      <c r="E1505" t="str">
        <f>HYPERLINK("http://nlpdeep.cs.uic.edu:8080/proofing/gsii/37337-hospital-course-17-0.pdf","gsii/37337-hospital-course-17-0.pdf")</f>
        <v>gsii/37337-hospital-course-17-0.pdf</v>
      </c>
      <c r="F1505">
        <v>110002</v>
      </c>
      <c r="G1505">
        <v>37337</v>
      </c>
      <c r="H1505" t="s">
        <v>745</v>
      </c>
      <c r="I1505" t="s">
        <v>999</v>
      </c>
      <c r="J1505" t="s">
        <v>4929</v>
      </c>
    </row>
    <row r="1506" spans="1:10" x14ac:dyDescent="0.2">
      <c r="A1506" t="s">
        <v>4930</v>
      </c>
      <c r="E1506" t="str">
        <f>HYPERLINK("http://nlpdeep.cs.uic.edu:8080/proofing/t5/37337-hospital-course-17-1.pdf","t5/37337-hospital-course-17-1.pdf")</f>
        <v>t5/37337-hospital-course-17-1.pdf</v>
      </c>
      <c r="F1506">
        <v>110002</v>
      </c>
      <c r="G1506">
        <v>37337</v>
      </c>
      <c r="H1506" t="s">
        <v>745</v>
      </c>
      <c r="I1506" t="s">
        <v>999</v>
      </c>
      <c r="J1506" t="s">
        <v>4931</v>
      </c>
    </row>
    <row r="1507" spans="1:10" x14ac:dyDescent="0.2">
      <c r="A1507" t="s">
        <v>4930</v>
      </c>
      <c r="E1507" t="str">
        <f>HYPERLINK("http://nlpdeep.cs.uic.edu:8080/proofing/gsii/37337-hospital-course-17-1.pdf","gsii/37337-hospital-course-17-1.pdf")</f>
        <v>gsii/37337-hospital-course-17-1.pdf</v>
      </c>
      <c r="F1507">
        <v>110002</v>
      </c>
      <c r="G1507">
        <v>37337</v>
      </c>
      <c r="H1507" t="s">
        <v>745</v>
      </c>
      <c r="I1507" t="s">
        <v>999</v>
      </c>
      <c r="J1507" t="s">
        <v>4931</v>
      </c>
    </row>
    <row r="1508" spans="1:10" x14ac:dyDescent="0.2">
      <c r="A1508" t="s">
        <v>4932</v>
      </c>
      <c r="E1508" t="str">
        <f>HYPERLINK("http://nlpdeep.cs.uic.edu:8080/proofing/t5/37337-hospital-course-18-0.pdf","t5/37337-hospital-course-18-0.pdf")</f>
        <v>t5/37337-hospital-course-18-0.pdf</v>
      </c>
      <c r="F1508">
        <v>110002</v>
      </c>
      <c r="G1508">
        <v>37337</v>
      </c>
      <c r="H1508" t="s">
        <v>745</v>
      </c>
      <c r="I1508" t="s">
        <v>999</v>
      </c>
      <c r="J1508" t="s">
        <v>4933</v>
      </c>
    </row>
    <row r="1509" spans="1:10" x14ac:dyDescent="0.2">
      <c r="A1509" t="s">
        <v>4932</v>
      </c>
      <c r="E1509" t="str">
        <f>HYPERLINK("http://nlpdeep.cs.uic.edu:8080/proofing/gsii/37337-hospital-course-18-0.pdf","gsii/37337-hospital-course-18-0.pdf")</f>
        <v>gsii/37337-hospital-course-18-0.pdf</v>
      </c>
      <c r="F1509">
        <v>110002</v>
      </c>
      <c r="G1509">
        <v>37337</v>
      </c>
      <c r="H1509" t="s">
        <v>745</v>
      </c>
      <c r="I1509" t="s">
        <v>999</v>
      </c>
      <c r="J1509" t="s">
        <v>4933</v>
      </c>
    </row>
    <row r="1510" spans="1:10" x14ac:dyDescent="0.2">
      <c r="A1510" t="s">
        <v>4934</v>
      </c>
      <c r="E1510" t="str">
        <f>HYPERLINK("http://nlpdeep.cs.uic.edu:8080/proofing/t5/37337-medication-history-0-0.pdf","t5/37337-medication-history-0-0.pdf")</f>
        <v>t5/37337-medication-history-0-0.pdf</v>
      </c>
      <c r="F1510">
        <v>110002</v>
      </c>
      <c r="G1510">
        <v>37337</v>
      </c>
      <c r="H1510" t="s">
        <v>745</v>
      </c>
      <c r="I1510" t="s">
        <v>336</v>
      </c>
    </row>
    <row r="1511" spans="1:10" x14ac:dyDescent="0.2">
      <c r="A1511" t="s">
        <v>4934</v>
      </c>
      <c r="E1511" t="str">
        <f>HYPERLINK("http://nlpdeep.cs.uic.edu:8080/proofing/gsii/37337-medication-history-0-0.pdf","gsii/37337-medication-history-0-0.pdf")</f>
        <v>gsii/37337-medication-history-0-0.pdf</v>
      </c>
      <c r="F1511">
        <v>110002</v>
      </c>
      <c r="G1511">
        <v>37337</v>
      </c>
      <c r="H1511" t="s">
        <v>745</v>
      </c>
      <c r="I1511" t="s">
        <v>336</v>
      </c>
    </row>
    <row r="1512" spans="1:10" x14ac:dyDescent="0.2">
      <c r="A1512" t="s">
        <v>4935</v>
      </c>
      <c r="E1512" t="str">
        <f>HYPERLINK("http://nlpdeep.cs.uic.edu:8080/proofing/t5/37337-medication-history-1-0.pdf","t5/37337-medication-history-1-0.pdf")</f>
        <v>t5/37337-medication-history-1-0.pdf</v>
      </c>
      <c r="F1512">
        <v>110002</v>
      </c>
      <c r="G1512">
        <v>37337</v>
      </c>
      <c r="H1512" t="s">
        <v>745</v>
      </c>
      <c r="I1512" t="s">
        <v>336</v>
      </c>
    </row>
    <row r="1513" spans="1:10" x14ac:dyDescent="0.2">
      <c r="A1513" t="s">
        <v>4935</v>
      </c>
      <c r="E1513" t="str">
        <f>HYPERLINK("http://nlpdeep.cs.uic.edu:8080/proofing/gsii/37337-medication-history-1-0.pdf","gsii/37337-medication-history-1-0.pdf")</f>
        <v>gsii/37337-medication-history-1-0.pdf</v>
      </c>
      <c r="F1513">
        <v>110002</v>
      </c>
      <c r="G1513">
        <v>37337</v>
      </c>
      <c r="H1513" t="s">
        <v>745</v>
      </c>
      <c r="I1513" t="s">
        <v>336</v>
      </c>
    </row>
    <row r="1514" spans="1:10" x14ac:dyDescent="0.2">
      <c r="A1514" t="s">
        <v>4936</v>
      </c>
      <c r="E1514" t="str">
        <f>HYPERLINK("http://nlpdeep.cs.uic.edu:8080/proofing/t5/37337-medication-history-2-0.pdf","t5/37337-medication-history-2-0.pdf")</f>
        <v>t5/37337-medication-history-2-0.pdf</v>
      </c>
      <c r="F1514">
        <v>110002</v>
      </c>
      <c r="G1514">
        <v>37337</v>
      </c>
      <c r="H1514" t="s">
        <v>745</v>
      </c>
      <c r="I1514" t="s">
        <v>336</v>
      </c>
      <c r="J1514" t="s">
        <v>4937</v>
      </c>
    </row>
    <row r="1515" spans="1:10" x14ac:dyDescent="0.2">
      <c r="A1515" t="s">
        <v>4936</v>
      </c>
      <c r="E1515" t="str">
        <f>HYPERLINK("http://nlpdeep.cs.uic.edu:8080/proofing/gsii/37337-medication-history-2-0.pdf","gsii/37337-medication-history-2-0.pdf")</f>
        <v>gsii/37337-medication-history-2-0.pdf</v>
      </c>
      <c r="F1515">
        <v>110002</v>
      </c>
      <c r="G1515">
        <v>37337</v>
      </c>
      <c r="H1515" t="s">
        <v>745</v>
      </c>
      <c r="I1515" t="s">
        <v>336</v>
      </c>
      <c r="J1515" t="s">
        <v>4937</v>
      </c>
    </row>
    <row r="1516" spans="1:10" x14ac:dyDescent="0.2">
      <c r="A1516" t="s">
        <v>4938</v>
      </c>
      <c r="E1516" t="str">
        <f>HYPERLINK("http://nlpdeep.cs.uic.edu:8080/proofing/t5/37337-discharge-medications-0-0.pdf","t5/37337-discharge-medications-0-0.pdf")</f>
        <v>t5/37337-discharge-medications-0-0.pdf</v>
      </c>
      <c r="F1516">
        <v>110002</v>
      </c>
      <c r="G1516">
        <v>37337</v>
      </c>
      <c r="H1516" t="s">
        <v>745</v>
      </c>
      <c r="I1516" t="s">
        <v>1122</v>
      </c>
      <c r="J1516" t="s">
        <v>4939</v>
      </c>
    </row>
    <row r="1517" spans="1:10" x14ac:dyDescent="0.2">
      <c r="A1517" t="s">
        <v>4938</v>
      </c>
      <c r="E1517" t="str">
        <f>HYPERLINK("http://nlpdeep.cs.uic.edu:8080/proofing/gsii/37337-discharge-medications-0-0.pdf","gsii/37337-discharge-medications-0-0.pdf")</f>
        <v>gsii/37337-discharge-medications-0-0.pdf</v>
      </c>
      <c r="F1517">
        <v>110002</v>
      </c>
      <c r="G1517">
        <v>37337</v>
      </c>
      <c r="H1517" t="s">
        <v>745</v>
      </c>
      <c r="I1517" t="s">
        <v>1122</v>
      </c>
      <c r="J1517" t="s">
        <v>4939</v>
      </c>
    </row>
    <row r="1518" spans="1:10" x14ac:dyDescent="0.2">
      <c r="A1518" t="s">
        <v>4940</v>
      </c>
      <c r="E1518" t="str">
        <f>HYPERLINK("http://nlpdeep.cs.uic.edu:8080/proofing/t5/37337-discharge-medications-0-1.pdf","t5/37337-discharge-medications-0-1.pdf")</f>
        <v>t5/37337-discharge-medications-0-1.pdf</v>
      </c>
      <c r="F1518">
        <v>110002</v>
      </c>
      <c r="G1518">
        <v>37337</v>
      </c>
      <c r="H1518" t="s">
        <v>745</v>
      </c>
      <c r="I1518" t="s">
        <v>1122</v>
      </c>
      <c r="J1518" t="s">
        <v>4941</v>
      </c>
    </row>
    <row r="1519" spans="1:10" x14ac:dyDescent="0.2">
      <c r="A1519" t="s">
        <v>4940</v>
      </c>
      <c r="E1519" t="str">
        <f>HYPERLINK("http://nlpdeep.cs.uic.edu:8080/proofing/gsii/37337-discharge-medications-0-1.pdf","gsii/37337-discharge-medications-0-1.pdf")</f>
        <v>gsii/37337-discharge-medications-0-1.pdf</v>
      </c>
      <c r="F1519">
        <v>110002</v>
      </c>
      <c r="G1519">
        <v>37337</v>
      </c>
      <c r="H1519" t="s">
        <v>745</v>
      </c>
      <c r="I1519" t="s">
        <v>1122</v>
      </c>
      <c r="J1519" t="s">
        <v>4941</v>
      </c>
    </row>
    <row r="1520" spans="1:10" x14ac:dyDescent="0.2">
      <c r="A1520" t="s">
        <v>4942</v>
      </c>
      <c r="E1520" t="str">
        <f>HYPERLINK("http://nlpdeep.cs.uic.edu:8080/proofing/t5/37337-discharge-medications-0-2.pdf","t5/37337-discharge-medications-0-2.pdf")</f>
        <v>t5/37337-discharge-medications-0-2.pdf</v>
      </c>
      <c r="F1520">
        <v>110002</v>
      </c>
      <c r="G1520">
        <v>37337</v>
      </c>
      <c r="H1520" t="s">
        <v>745</v>
      </c>
      <c r="I1520" t="s">
        <v>1122</v>
      </c>
      <c r="J1520" t="s">
        <v>4943</v>
      </c>
    </row>
    <row r="1521" spans="1:10" x14ac:dyDescent="0.2">
      <c r="A1521" t="s">
        <v>4942</v>
      </c>
      <c r="E1521" t="str">
        <f>HYPERLINK("http://nlpdeep.cs.uic.edu:8080/proofing/gsii/37337-discharge-medications-0-2.pdf","gsii/37337-discharge-medications-0-2.pdf")</f>
        <v>gsii/37337-discharge-medications-0-2.pdf</v>
      </c>
      <c r="F1521">
        <v>110002</v>
      </c>
      <c r="G1521">
        <v>37337</v>
      </c>
      <c r="H1521" t="s">
        <v>745</v>
      </c>
      <c r="I1521" t="s">
        <v>1122</v>
      </c>
      <c r="J1521" t="s">
        <v>4943</v>
      </c>
    </row>
    <row r="1522" spans="1:10" x14ac:dyDescent="0.2">
      <c r="A1522" t="s">
        <v>4944</v>
      </c>
      <c r="E1522" t="str">
        <f>HYPERLINK("http://nlpdeep.cs.uic.edu:8080/proofing/t5/37337-discharge-medications-0-3.pdf","t5/37337-discharge-medications-0-3.pdf")</f>
        <v>t5/37337-discharge-medications-0-3.pdf</v>
      </c>
      <c r="F1522">
        <v>110002</v>
      </c>
      <c r="G1522">
        <v>37337</v>
      </c>
      <c r="H1522" t="s">
        <v>745</v>
      </c>
      <c r="I1522" t="s">
        <v>1122</v>
      </c>
      <c r="J1522" t="s">
        <v>4945</v>
      </c>
    </row>
    <row r="1523" spans="1:10" x14ac:dyDescent="0.2">
      <c r="A1523" t="s">
        <v>4944</v>
      </c>
      <c r="E1523" t="str">
        <f>HYPERLINK("http://nlpdeep.cs.uic.edu:8080/proofing/gsii/37337-discharge-medications-0-3.pdf","gsii/37337-discharge-medications-0-3.pdf")</f>
        <v>gsii/37337-discharge-medications-0-3.pdf</v>
      </c>
      <c r="F1523">
        <v>110002</v>
      </c>
      <c r="G1523">
        <v>37337</v>
      </c>
      <c r="H1523" t="s">
        <v>745</v>
      </c>
      <c r="I1523" t="s">
        <v>1122</v>
      </c>
      <c r="J1523" t="s">
        <v>4945</v>
      </c>
    </row>
    <row r="1524" spans="1:10" x14ac:dyDescent="0.2">
      <c r="A1524" t="s">
        <v>4946</v>
      </c>
      <c r="E1524" t="str">
        <f>HYPERLINK("http://nlpdeep.cs.uic.edu:8080/proofing/t5/37337-discharge-medications-0-4.pdf","t5/37337-discharge-medications-0-4.pdf")</f>
        <v>t5/37337-discharge-medications-0-4.pdf</v>
      </c>
      <c r="F1524">
        <v>110002</v>
      </c>
      <c r="G1524">
        <v>37337</v>
      </c>
      <c r="H1524" t="s">
        <v>745</v>
      </c>
      <c r="I1524" t="s">
        <v>1122</v>
      </c>
      <c r="J1524" t="s">
        <v>3320</v>
      </c>
    </row>
    <row r="1525" spans="1:10" x14ac:dyDescent="0.2">
      <c r="A1525" t="s">
        <v>4946</v>
      </c>
      <c r="E1525" t="str">
        <f>HYPERLINK("http://nlpdeep.cs.uic.edu:8080/proofing/gsii/37337-discharge-medications-0-4.pdf","gsii/37337-discharge-medications-0-4.pdf")</f>
        <v>gsii/37337-discharge-medications-0-4.pdf</v>
      </c>
      <c r="F1525">
        <v>110002</v>
      </c>
      <c r="G1525">
        <v>37337</v>
      </c>
      <c r="H1525" t="s">
        <v>745</v>
      </c>
      <c r="I1525" t="s">
        <v>1122</v>
      </c>
      <c r="J1525" t="s">
        <v>3320</v>
      </c>
    </row>
    <row r="1526" spans="1:10" x14ac:dyDescent="0.2">
      <c r="A1526" t="s">
        <v>4947</v>
      </c>
      <c r="E1526" t="str">
        <f>HYPERLINK("http://nlpdeep.cs.uic.edu:8080/proofing/t5/37337-discharge-medications-1-0.pdf","t5/37337-discharge-medications-1-0.pdf")</f>
        <v>t5/37337-discharge-medications-1-0.pdf</v>
      </c>
      <c r="F1526">
        <v>110002</v>
      </c>
      <c r="G1526">
        <v>37337</v>
      </c>
      <c r="H1526" t="s">
        <v>745</v>
      </c>
      <c r="I1526" t="s">
        <v>1122</v>
      </c>
      <c r="J1526" t="s">
        <v>4948</v>
      </c>
    </row>
    <row r="1527" spans="1:10" x14ac:dyDescent="0.2">
      <c r="A1527" t="s">
        <v>4947</v>
      </c>
      <c r="E1527" t="str">
        <f>HYPERLINK("http://nlpdeep.cs.uic.edu:8080/proofing/gsii/37337-discharge-medications-1-0.pdf","gsii/37337-discharge-medications-1-0.pdf")</f>
        <v>gsii/37337-discharge-medications-1-0.pdf</v>
      </c>
      <c r="F1527">
        <v>110002</v>
      </c>
      <c r="G1527">
        <v>37337</v>
      </c>
      <c r="H1527" t="s">
        <v>745</v>
      </c>
      <c r="I1527" t="s">
        <v>1122</v>
      </c>
      <c r="J1527" t="s">
        <v>4948</v>
      </c>
    </row>
    <row r="1528" spans="1:10" x14ac:dyDescent="0.2">
      <c r="A1528" t="s">
        <v>4949</v>
      </c>
      <c r="E1528" t="str">
        <f>HYPERLINK("http://nlpdeep.cs.uic.edu:8080/proofing/t5/37337-discharge-medications-1-1.pdf","t5/37337-discharge-medications-1-1.pdf")</f>
        <v>t5/37337-discharge-medications-1-1.pdf</v>
      </c>
      <c r="F1528">
        <v>110002</v>
      </c>
      <c r="G1528">
        <v>37337</v>
      </c>
      <c r="H1528" t="s">
        <v>745</v>
      </c>
      <c r="I1528" t="s">
        <v>1122</v>
      </c>
      <c r="J1528" t="s">
        <v>4950</v>
      </c>
    </row>
    <row r="1529" spans="1:10" x14ac:dyDescent="0.2">
      <c r="A1529" t="s">
        <v>4949</v>
      </c>
      <c r="E1529" t="str">
        <f>HYPERLINK("http://nlpdeep.cs.uic.edu:8080/proofing/gsii/37337-discharge-medications-1-1.pdf","gsii/37337-discharge-medications-1-1.pdf")</f>
        <v>gsii/37337-discharge-medications-1-1.pdf</v>
      </c>
      <c r="F1529">
        <v>110002</v>
      </c>
      <c r="G1529">
        <v>37337</v>
      </c>
      <c r="H1529" t="s">
        <v>745</v>
      </c>
      <c r="I1529" t="s">
        <v>1122</v>
      </c>
      <c r="J1529" t="s">
        <v>4950</v>
      </c>
    </row>
    <row r="1530" spans="1:10" x14ac:dyDescent="0.2">
      <c r="A1530" t="s">
        <v>4951</v>
      </c>
      <c r="E1530" t="str">
        <f>HYPERLINK("http://nlpdeep.cs.uic.edu:8080/proofing/t5/37337-discharge-medications-1-2.pdf","t5/37337-discharge-medications-1-2.pdf")</f>
        <v>t5/37337-discharge-medications-1-2.pdf</v>
      </c>
      <c r="F1530">
        <v>110002</v>
      </c>
      <c r="G1530">
        <v>37337</v>
      </c>
      <c r="H1530" t="s">
        <v>745</v>
      </c>
      <c r="I1530" t="s">
        <v>1122</v>
      </c>
      <c r="J1530" t="s">
        <v>2204</v>
      </c>
    </row>
    <row r="1531" spans="1:10" x14ac:dyDescent="0.2">
      <c r="A1531" t="s">
        <v>4951</v>
      </c>
      <c r="E1531" t="str">
        <f>HYPERLINK("http://nlpdeep.cs.uic.edu:8080/proofing/gsii/37337-discharge-medications-1-2.pdf","gsii/37337-discharge-medications-1-2.pdf")</f>
        <v>gsii/37337-discharge-medications-1-2.pdf</v>
      </c>
      <c r="F1531">
        <v>110002</v>
      </c>
      <c r="G1531">
        <v>37337</v>
      </c>
      <c r="H1531" t="s">
        <v>745</v>
      </c>
      <c r="I1531" t="s">
        <v>1122</v>
      </c>
      <c r="J1531" t="s">
        <v>2204</v>
      </c>
    </row>
    <row r="1532" spans="1:10" x14ac:dyDescent="0.2">
      <c r="A1532" t="s">
        <v>4952</v>
      </c>
      <c r="E1532" t="str">
        <f>HYPERLINK("http://nlpdeep.cs.uic.edu:8080/proofing/t5/37337-discharge-medications-1-3.pdf","t5/37337-discharge-medications-1-3.pdf")</f>
        <v>t5/37337-discharge-medications-1-3.pdf</v>
      </c>
      <c r="F1532">
        <v>110002</v>
      </c>
      <c r="G1532">
        <v>37337</v>
      </c>
      <c r="H1532" t="s">
        <v>745</v>
      </c>
      <c r="I1532" t="s">
        <v>1122</v>
      </c>
      <c r="J1532" t="s">
        <v>4953</v>
      </c>
    </row>
    <row r="1533" spans="1:10" x14ac:dyDescent="0.2">
      <c r="A1533" t="s">
        <v>4952</v>
      </c>
      <c r="E1533" t="str">
        <f>HYPERLINK("http://nlpdeep.cs.uic.edu:8080/proofing/gsii/37337-discharge-medications-1-3.pdf","gsii/37337-discharge-medications-1-3.pdf")</f>
        <v>gsii/37337-discharge-medications-1-3.pdf</v>
      </c>
      <c r="F1533">
        <v>110002</v>
      </c>
      <c r="G1533">
        <v>37337</v>
      </c>
      <c r="H1533" t="s">
        <v>745</v>
      </c>
      <c r="I1533" t="s">
        <v>1122</v>
      </c>
      <c r="J1533" t="s">
        <v>4953</v>
      </c>
    </row>
    <row r="1534" spans="1:10" x14ac:dyDescent="0.2">
      <c r="A1534" t="s">
        <v>4954</v>
      </c>
      <c r="E1534" t="str">
        <f>HYPERLINK("http://nlpdeep.cs.uic.edu:8080/proofing/t5/37337-discharge-medications-1-4.pdf","t5/37337-discharge-medications-1-4.pdf")</f>
        <v>t5/37337-discharge-medications-1-4.pdf</v>
      </c>
      <c r="F1534">
        <v>110002</v>
      </c>
      <c r="G1534">
        <v>37337</v>
      </c>
      <c r="H1534" t="s">
        <v>745</v>
      </c>
      <c r="I1534" t="s">
        <v>1122</v>
      </c>
      <c r="J1534" t="s">
        <v>4955</v>
      </c>
    </row>
    <row r="1535" spans="1:10" x14ac:dyDescent="0.2">
      <c r="A1535" t="s">
        <v>4954</v>
      </c>
      <c r="E1535" t="str">
        <f>HYPERLINK("http://nlpdeep.cs.uic.edu:8080/proofing/gsii/37337-discharge-medications-1-4.pdf","gsii/37337-discharge-medications-1-4.pdf")</f>
        <v>gsii/37337-discharge-medications-1-4.pdf</v>
      </c>
      <c r="F1535">
        <v>110002</v>
      </c>
      <c r="G1535">
        <v>37337</v>
      </c>
      <c r="H1535" t="s">
        <v>745</v>
      </c>
      <c r="I1535" t="s">
        <v>1122</v>
      </c>
      <c r="J1535" t="s">
        <v>4955</v>
      </c>
    </row>
    <row r="1536" spans="1:10" x14ac:dyDescent="0.2">
      <c r="A1536" t="s">
        <v>4956</v>
      </c>
      <c r="E1536" t="str">
        <f>HYPERLINK("http://nlpdeep.cs.uic.edu:8080/proofing/t5/37337-discharge-condition-0-0.pdf","t5/37337-discharge-condition-0-0.pdf")</f>
        <v>t5/37337-discharge-condition-0-0.pdf</v>
      </c>
      <c r="F1536">
        <v>110002</v>
      </c>
      <c r="G1536">
        <v>37337</v>
      </c>
      <c r="H1536" t="s">
        <v>745</v>
      </c>
      <c r="I1536" t="s">
        <v>1172</v>
      </c>
      <c r="J1536" t="s">
        <v>4957</v>
      </c>
    </row>
    <row r="1537" spans="1:10" x14ac:dyDescent="0.2">
      <c r="A1537" t="s">
        <v>4956</v>
      </c>
      <c r="E1537" t="str">
        <f>HYPERLINK("http://nlpdeep.cs.uic.edu:8080/proofing/gsii/37337-discharge-condition-0-0.pdf","gsii/37337-discharge-condition-0-0.pdf")</f>
        <v>gsii/37337-discharge-condition-0-0.pdf</v>
      </c>
      <c r="F1537">
        <v>110002</v>
      </c>
      <c r="G1537">
        <v>37337</v>
      </c>
      <c r="H1537" t="s">
        <v>745</v>
      </c>
      <c r="I1537" t="s">
        <v>1172</v>
      </c>
      <c r="J1537" t="s">
        <v>4957</v>
      </c>
    </row>
    <row r="1538" spans="1:10" x14ac:dyDescent="0.2">
      <c r="A1538" t="s">
        <v>4958</v>
      </c>
      <c r="E1538" t="str">
        <f>HYPERLINK("http://nlpdeep.cs.uic.edu:8080/proofing/t5/37337-discharge-condition-0-1.pdf","t5/37337-discharge-condition-0-1.pdf")</f>
        <v>t5/37337-discharge-condition-0-1.pdf</v>
      </c>
      <c r="F1538">
        <v>110002</v>
      </c>
      <c r="G1538">
        <v>37337</v>
      </c>
      <c r="H1538" t="s">
        <v>745</v>
      </c>
      <c r="I1538" t="s">
        <v>1172</v>
      </c>
      <c r="J1538" t="s">
        <v>4959</v>
      </c>
    </row>
    <row r="1539" spans="1:10" x14ac:dyDescent="0.2">
      <c r="A1539" t="s">
        <v>4958</v>
      </c>
      <c r="E1539" t="str">
        <f>HYPERLINK("http://nlpdeep.cs.uic.edu:8080/proofing/gsii/37337-discharge-condition-0-1.pdf","gsii/37337-discharge-condition-0-1.pdf")</f>
        <v>gsii/37337-discharge-condition-0-1.pdf</v>
      </c>
      <c r="F1539">
        <v>110002</v>
      </c>
      <c r="G1539">
        <v>37337</v>
      </c>
      <c r="H1539" t="s">
        <v>745</v>
      </c>
      <c r="I1539" t="s">
        <v>1172</v>
      </c>
      <c r="J1539" t="s">
        <v>4959</v>
      </c>
    </row>
    <row r="1540" spans="1:10" x14ac:dyDescent="0.2">
      <c r="A1540" t="s">
        <v>4960</v>
      </c>
      <c r="E1540" t="str">
        <f>HYPERLINK("http://nlpdeep.cs.uic.edu:8080/proofing/t5/37337-discharge-condition-1-0.pdf","t5/37337-discharge-condition-1-0.pdf")</f>
        <v>t5/37337-discharge-condition-1-0.pdf</v>
      </c>
      <c r="F1540">
        <v>110002</v>
      </c>
      <c r="G1540">
        <v>37337</v>
      </c>
      <c r="H1540" t="s">
        <v>745</v>
      </c>
      <c r="I1540" t="s">
        <v>1172</v>
      </c>
      <c r="J1540" t="s">
        <v>4961</v>
      </c>
    </row>
    <row r="1541" spans="1:10" x14ac:dyDescent="0.2">
      <c r="A1541" t="s">
        <v>4960</v>
      </c>
      <c r="E1541" t="str">
        <f>HYPERLINK("http://nlpdeep.cs.uic.edu:8080/proofing/gsii/37337-discharge-condition-1-0.pdf","gsii/37337-discharge-condition-1-0.pdf")</f>
        <v>gsii/37337-discharge-condition-1-0.pdf</v>
      </c>
      <c r="F1541">
        <v>110002</v>
      </c>
      <c r="G1541">
        <v>37337</v>
      </c>
      <c r="H1541" t="s">
        <v>745</v>
      </c>
      <c r="I1541" t="s">
        <v>1172</v>
      </c>
      <c r="J1541" t="s">
        <v>4961</v>
      </c>
    </row>
    <row r="1542" spans="1:10" x14ac:dyDescent="0.2">
      <c r="A1542" t="s">
        <v>4962</v>
      </c>
      <c r="E1542" t="str">
        <f>HYPERLINK("http://nlpdeep.cs.uic.edu:8080/proofing/t5/37337-facility-0-0.pdf","t5/37337-facility-0-0.pdf")</f>
        <v>t5/37337-facility-0-0.pdf</v>
      </c>
      <c r="F1542">
        <v>110002</v>
      </c>
      <c r="G1542">
        <v>37337</v>
      </c>
      <c r="H1542" t="s">
        <v>745</v>
      </c>
      <c r="I1542" t="s">
        <v>1165</v>
      </c>
      <c r="J1542" t="s">
        <v>4963</v>
      </c>
    </row>
    <row r="1543" spans="1:10" x14ac:dyDescent="0.2">
      <c r="A1543" t="s">
        <v>4962</v>
      </c>
      <c r="E1543" t="str">
        <f>HYPERLINK("http://nlpdeep.cs.uic.edu:8080/proofing/gsii/37337-facility-0-0.pdf","gsii/37337-facility-0-0.pdf")</f>
        <v>gsii/37337-facility-0-0.pdf</v>
      </c>
      <c r="F1543">
        <v>110002</v>
      </c>
      <c r="G1543">
        <v>37337</v>
      </c>
      <c r="H1543" t="s">
        <v>745</v>
      </c>
      <c r="I1543" t="s">
        <v>1165</v>
      </c>
      <c r="J1543" t="s">
        <v>4963</v>
      </c>
    </row>
    <row r="1544" spans="1:10" x14ac:dyDescent="0.2">
      <c r="A1544" t="s">
        <v>4964</v>
      </c>
      <c r="E1544" t="str">
        <f>HYPERLINK("http://nlpdeep.cs.uic.edu:8080/proofing/t5/37337-discharge-diagnosis-0-0.pdf","t5/37337-discharge-diagnosis-0-0.pdf")</f>
        <v>t5/37337-discharge-diagnosis-0-0.pdf</v>
      </c>
      <c r="F1544">
        <v>110002</v>
      </c>
      <c r="G1544">
        <v>37337</v>
      </c>
      <c r="H1544" t="s">
        <v>745</v>
      </c>
      <c r="I1544" t="s">
        <v>1168</v>
      </c>
      <c r="J1544" t="s">
        <v>4965</v>
      </c>
    </row>
    <row r="1545" spans="1:10" x14ac:dyDescent="0.2">
      <c r="A1545" t="s">
        <v>4964</v>
      </c>
      <c r="E1545" t="str">
        <f>HYPERLINK("http://nlpdeep.cs.uic.edu:8080/proofing/gsii/37337-discharge-diagnosis-0-0.pdf","gsii/37337-discharge-diagnosis-0-0.pdf")</f>
        <v>gsii/37337-discharge-diagnosis-0-0.pdf</v>
      </c>
      <c r="F1545">
        <v>110002</v>
      </c>
      <c r="G1545">
        <v>37337</v>
      </c>
      <c r="H1545" t="s">
        <v>745</v>
      </c>
      <c r="I1545" t="s">
        <v>1168</v>
      </c>
      <c r="J1545" t="s">
        <v>4965</v>
      </c>
    </row>
    <row r="1546" spans="1:10" x14ac:dyDescent="0.2">
      <c r="A1546" t="s">
        <v>4966</v>
      </c>
      <c r="E1546" t="str">
        <f>HYPERLINK("http://nlpdeep.cs.uic.edu:8080/proofing/t5/37337-discharge-diagnosis-0-1.pdf","t5/37337-discharge-diagnosis-0-1.pdf")</f>
        <v>t5/37337-discharge-diagnosis-0-1.pdf</v>
      </c>
      <c r="F1546">
        <v>110002</v>
      </c>
      <c r="G1546">
        <v>37337</v>
      </c>
      <c r="H1546" t="s">
        <v>745</v>
      </c>
      <c r="I1546" t="s">
        <v>1168</v>
      </c>
      <c r="J1546" t="s">
        <v>4967</v>
      </c>
    </row>
    <row r="1547" spans="1:10" x14ac:dyDescent="0.2">
      <c r="A1547" t="s">
        <v>4966</v>
      </c>
      <c r="E1547" t="str">
        <f>HYPERLINK("http://nlpdeep.cs.uic.edu:8080/proofing/gsii/37337-discharge-diagnosis-0-1.pdf","gsii/37337-discharge-diagnosis-0-1.pdf")</f>
        <v>gsii/37337-discharge-diagnosis-0-1.pdf</v>
      </c>
      <c r="F1547">
        <v>110002</v>
      </c>
      <c r="G1547">
        <v>37337</v>
      </c>
      <c r="H1547" t="s">
        <v>745</v>
      </c>
      <c r="I1547" t="s">
        <v>1168</v>
      </c>
      <c r="J1547" t="s">
        <v>4967</v>
      </c>
    </row>
    <row r="1548" spans="1:10" x14ac:dyDescent="0.2">
      <c r="A1548" t="s">
        <v>4968</v>
      </c>
      <c r="E1548" t="str">
        <f>HYPERLINK("http://nlpdeep.cs.uic.edu:8080/proofing/t5/37337-discharge-diagnosis-0-2.pdf","t5/37337-discharge-diagnosis-0-2.pdf")</f>
        <v>t5/37337-discharge-diagnosis-0-2.pdf</v>
      </c>
      <c r="F1548">
        <v>110002</v>
      </c>
      <c r="G1548">
        <v>37337</v>
      </c>
      <c r="H1548" t="s">
        <v>745</v>
      </c>
      <c r="I1548" t="s">
        <v>1168</v>
      </c>
      <c r="J1548" t="s">
        <v>4969</v>
      </c>
    </row>
    <row r="1549" spans="1:10" x14ac:dyDescent="0.2">
      <c r="A1549" t="s">
        <v>4968</v>
      </c>
      <c r="E1549" t="str">
        <f>HYPERLINK("http://nlpdeep.cs.uic.edu:8080/proofing/gsii/37337-discharge-diagnosis-0-2.pdf","gsii/37337-discharge-diagnosis-0-2.pdf")</f>
        <v>gsii/37337-discharge-diagnosis-0-2.pdf</v>
      </c>
      <c r="F1549">
        <v>110002</v>
      </c>
      <c r="G1549">
        <v>37337</v>
      </c>
      <c r="H1549" t="s">
        <v>745</v>
      </c>
      <c r="I1549" t="s">
        <v>1168</v>
      </c>
      <c r="J1549" t="s">
        <v>4969</v>
      </c>
    </row>
    <row r="1550" spans="1:10" x14ac:dyDescent="0.2">
      <c r="A1550" t="s">
        <v>4970</v>
      </c>
      <c r="E1550" t="str">
        <f>HYPERLINK("http://nlpdeep.cs.uic.edu:8080/proofing/t5/37337-discharge-diagnosis-0-3.pdf","t5/37337-discharge-diagnosis-0-3.pdf")</f>
        <v>t5/37337-discharge-diagnosis-0-3.pdf</v>
      </c>
      <c r="F1550">
        <v>110002</v>
      </c>
      <c r="G1550">
        <v>37337</v>
      </c>
      <c r="H1550" t="s">
        <v>745</v>
      </c>
      <c r="I1550" t="s">
        <v>1168</v>
      </c>
    </row>
    <row r="1551" spans="1:10" x14ac:dyDescent="0.2">
      <c r="A1551" t="s">
        <v>4970</v>
      </c>
      <c r="E1551" t="str">
        <f>HYPERLINK("http://nlpdeep.cs.uic.edu:8080/proofing/gsii/37337-discharge-diagnosis-0-3.pdf","gsii/37337-discharge-diagnosis-0-3.pdf")</f>
        <v>gsii/37337-discharge-diagnosis-0-3.pdf</v>
      </c>
      <c r="F1551">
        <v>110002</v>
      </c>
      <c r="G1551">
        <v>37337</v>
      </c>
      <c r="H1551" t="s">
        <v>745</v>
      </c>
      <c r="I1551" t="s">
        <v>1168</v>
      </c>
    </row>
    <row r="1552" spans="1:10" x14ac:dyDescent="0.2">
      <c r="A1552" t="s">
        <v>4971</v>
      </c>
      <c r="E1552" t="str">
        <f>HYPERLINK("http://nlpdeep.cs.uic.edu:8080/proofing/t5/37337-discharge-diagnosis-1-0.pdf","t5/37337-discharge-diagnosis-1-0.pdf")</f>
        <v>t5/37337-discharge-diagnosis-1-0.pdf</v>
      </c>
      <c r="F1552">
        <v>110002</v>
      </c>
      <c r="G1552">
        <v>37337</v>
      </c>
      <c r="H1552" t="s">
        <v>745</v>
      </c>
      <c r="I1552" t="s">
        <v>1168</v>
      </c>
    </row>
    <row r="1553" spans="1:10" x14ac:dyDescent="0.2">
      <c r="A1553" t="s">
        <v>4971</v>
      </c>
      <c r="E1553" t="str">
        <f>HYPERLINK("http://nlpdeep.cs.uic.edu:8080/proofing/gsii/37337-discharge-diagnosis-1-0.pdf","gsii/37337-discharge-diagnosis-1-0.pdf")</f>
        <v>gsii/37337-discharge-diagnosis-1-0.pdf</v>
      </c>
      <c r="F1553">
        <v>110002</v>
      </c>
      <c r="G1553">
        <v>37337</v>
      </c>
      <c r="H1553" t="s">
        <v>745</v>
      </c>
      <c r="I1553" t="s">
        <v>1168</v>
      </c>
    </row>
    <row r="1554" spans="1:10" x14ac:dyDescent="0.2">
      <c r="A1554" t="s">
        <v>4972</v>
      </c>
      <c r="E1554" t="str">
        <f>HYPERLINK("http://nlpdeep.cs.uic.edu:8080/proofing/t5/37337-discharge-instructions-0-0.pdf","t5/37337-discharge-instructions-0-0.pdf")</f>
        <v>t5/37337-discharge-instructions-0-0.pdf</v>
      </c>
      <c r="F1554">
        <v>110002</v>
      </c>
      <c r="G1554">
        <v>37337</v>
      </c>
      <c r="H1554" t="s">
        <v>745</v>
      </c>
      <c r="I1554" t="s">
        <v>1179</v>
      </c>
      <c r="J1554" t="s">
        <v>4973</v>
      </c>
    </row>
    <row r="1555" spans="1:10" x14ac:dyDescent="0.2">
      <c r="A1555" t="s">
        <v>4972</v>
      </c>
      <c r="E1555" t="str">
        <f>HYPERLINK("http://nlpdeep.cs.uic.edu:8080/proofing/gsii/37337-discharge-instructions-0-0.pdf","gsii/37337-discharge-instructions-0-0.pdf")</f>
        <v>gsii/37337-discharge-instructions-0-0.pdf</v>
      </c>
      <c r="F1555">
        <v>110002</v>
      </c>
      <c r="G1555">
        <v>37337</v>
      </c>
      <c r="H1555" t="s">
        <v>745</v>
      </c>
      <c r="I1555" t="s">
        <v>1179</v>
      </c>
      <c r="J1555" t="s">
        <v>4973</v>
      </c>
    </row>
    <row r="1556" spans="1:10" x14ac:dyDescent="0.2">
      <c r="A1556" t="s">
        <v>4974</v>
      </c>
      <c r="E1556" t="str">
        <f>HYPERLINK("http://nlpdeep.cs.uic.edu:8080/proofing/t5/37337-discharge-instructions-0-1.pdf","t5/37337-discharge-instructions-0-1.pdf")</f>
        <v>t5/37337-discharge-instructions-0-1.pdf</v>
      </c>
      <c r="F1556">
        <v>110002</v>
      </c>
      <c r="G1556">
        <v>37337</v>
      </c>
      <c r="H1556" t="s">
        <v>745</v>
      </c>
      <c r="I1556" t="s">
        <v>1179</v>
      </c>
      <c r="J1556" t="s">
        <v>4975</v>
      </c>
    </row>
    <row r="1557" spans="1:10" x14ac:dyDescent="0.2">
      <c r="A1557" t="s">
        <v>4974</v>
      </c>
      <c r="E1557" t="str">
        <f>HYPERLINK("http://nlpdeep.cs.uic.edu:8080/proofing/gsii/37337-discharge-instructions-0-1.pdf","gsii/37337-discharge-instructions-0-1.pdf")</f>
        <v>gsii/37337-discharge-instructions-0-1.pdf</v>
      </c>
      <c r="F1557">
        <v>110002</v>
      </c>
      <c r="G1557">
        <v>37337</v>
      </c>
      <c r="H1557" t="s">
        <v>745</v>
      </c>
      <c r="I1557" t="s">
        <v>1179</v>
      </c>
      <c r="J1557" t="s">
        <v>4975</v>
      </c>
    </row>
    <row r="1558" spans="1:10" x14ac:dyDescent="0.2">
      <c r="A1558" t="s">
        <v>4976</v>
      </c>
      <c r="E1558" t="str">
        <f>HYPERLINK("http://nlpdeep.cs.uic.edu:8080/proofing/t5/37337-discharge-instructions-0-2.pdf","t5/37337-discharge-instructions-0-2.pdf")</f>
        <v>t5/37337-discharge-instructions-0-2.pdf</v>
      </c>
      <c r="F1558">
        <v>110002</v>
      </c>
      <c r="G1558">
        <v>37337</v>
      </c>
      <c r="H1558" t="s">
        <v>745</v>
      </c>
      <c r="I1558" t="s">
        <v>1179</v>
      </c>
      <c r="J1558" t="s">
        <v>4977</v>
      </c>
    </row>
    <row r="1559" spans="1:10" x14ac:dyDescent="0.2">
      <c r="A1559" t="s">
        <v>4976</v>
      </c>
      <c r="E1559" t="str">
        <f>HYPERLINK("http://nlpdeep.cs.uic.edu:8080/proofing/gsii/37337-discharge-instructions-0-2.pdf","gsii/37337-discharge-instructions-0-2.pdf")</f>
        <v>gsii/37337-discharge-instructions-0-2.pdf</v>
      </c>
      <c r="F1559">
        <v>110002</v>
      </c>
      <c r="G1559">
        <v>37337</v>
      </c>
      <c r="H1559" t="s">
        <v>745</v>
      </c>
      <c r="I1559" t="s">
        <v>1179</v>
      </c>
      <c r="J1559" t="s">
        <v>4977</v>
      </c>
    </row>
    <row r="1560" spans="1:10" x14ac:dyDescent="0.2">
      <c r="A1560" t="s">
        <v>4978</v>
      </c>
      <c r="E1560" t="str">
        <f>HYPERLINK("http://nlpdeep.cs.uic.edu:8080/proofing/t5/37337-discharge-instructions-0-3.pdf","t5/37337-discharge-instructions-0-3.pdf")</f>
        <v>t5/37337-discharge-instructions-0-3.pdf</v>
      </c>
      <c r="F1560">
        <v>110002</v>
      </c>
      <c r="G1560">
        <v>37337</v>
      </c>
      <c r="H1560" t="s">
        <v>745</v>
      </c>
      <c r="I1560" t="s">
        <v>1179</v>
      </c>
      <c r="J1560" t="s">
        <v>4979</v>
      </c>
    </row>
    <row r="1561" spans="1:10" x14ac:dyDescent="0.2">
      <c r="A1561" t="s">
        <v>4978</v>
      </c>
      <c r="E1561" t="str">
        <f>HYPERLINK("http://nlpdeep.cs.uic.edu:8080/proofing/gsii/37337-discharge-instructions-0-3.pdf","gsii/37337-discharge-instructions-0-3.pdf")</f>
        <v>gsii/37337-discharge-instructions-0-3.pdf</v>
      </c>
      <c r="F1561">
        <v>110002</v>
      </c>
      <c r="G1561">
        <v>37337</v>
      </c>
      <c r="H1561" t="s">
        <v>745</v>
      </c>
      <c r="I1561" t="s">
        <v>1179</v>
      </c>
      <c r="J1561" t="s">
        <v>4979</v>
      </c>
    </row>
    <row r="1562" spans="1:10" x14ac:dyDescent="0.2">
      <c r="A1562" t="s">
        <v>4980</v>
      </c>
      <c r="E1562" t="str">
        <f>HYPERLINK("http://nlpdeep.cs.uic.edu:8080/proofing/t5/37337-discharge-instructions-0-4.pdf","t5/37337-discharge-instructions-0-4.pdf")</f>
        <v>t5/37337-discharge-instructions-0-4.pdf</v>
      </c>
      <c r="F1562">
        <v>110002</v>
      </c>
      <c r="G1562">
        <v>37337</v>
      </c>
      <c r="H1562" t="s">
        <v>745</v>
      </c>
      <c r="I1562" t="s">
        <v>1179</v>
      </c>
      <c r="J1562" t="s">
        <v>4981</v>
      </c>
    </row>
    <row r="1563" spans="1:10" x14ac:dyDescent="0.2">
      <c r="A1563" t="s">
        <v>4980</v>
      </c>
      <c r="E1563" t="str">
        <f>HYPERLINK("http://nlpdeep.cs.uic.edu:8080/proofing/gsii/37337-discharge-instructions-0-4.pdf","gsii/37337-discharge-instructions-0-4.pdf")</f>
        <v>gsii/37337-discharge-instructions-0-4.pdf</v>
      </c>
      <c r="F1563">
        <v>110002</v>
      </c>
      <c r="G1563">
        <v>37337</v>
      </c>
      <c r="H1563" t="s">
        <v>745</v>
      </c>
      <c r="I1563" t="s">
        <v>1179</v>
      </c>
      <c r="J1563" t="s">
        <v>4981</v>
      </c>
    </row>
    <row r="1564" spans="1:10" x14ac:dyDescent="0.2">
      <c r="A1564" t="s">
        <v>4982</v>
      </c>
      <c r="E1564" t="str">
        <f>HYPERLINK("http://nlpdeep.cs.uic.edu:8080/proofing/t5/37337-discharge-instructions-0-5.pdf","t5/37337-discharge-instructions-0-5.pdf")</f>
        <v>t5/37337-discharge-instructions-0-5.pdf</v>
      </c>
      <c r="F1564">
        <v>110002</v>
      </c>
      <c r="G1564">
        <v>37337</v>
      </c>
      <c r="H1564" t="s">
        <v>745</v>
      </c>
      <c r="I1564" t="s">
        <v>1179</v>
      </c>
      <c r="J1564" t="s">
        <v>4983</v>
      </c>
    </row>
    <row r="1565" spans="1:10" x14ac:dyDescent="0.2">
      <c r="A1565" t="s">
        <v>4982</v>
      </c>
      <c r="E1565" t="str">
        <f>HYPERLINK("http://nlpdeep.cs.uic.edu:8080/proofing/gsii/37337-discharge-instructions-0-5.pdf","gsii/37337-discharge-instructions-0-5.pdf")</f>
        <v>gsii/37337-discharge-instructions-0-5.pdf</v>
      </c>
      <c r="F1565">
        <v>110002</v>
      </c>
      <c r="G1565">
        <v>37337</v>
      </c>
      <c r="H1565" t="s">
        <v>745</v>
      </c>
      <c r="I1565" t="s">
        <v>1179</v>
      </c>
      <c r="J1565" t="s">
        <v>4983</v>
      </c>
    </row>
    <row r="1566" spans="1:10" x14ac:dyDescent="0.2">
      <c r="A1566" t="s">
        <v>4984</v>
      </c>
      <c r="E1566" t="str">
        <f>HYPERLINK("http://nlpdeep.cs.uic.edu:8080/proofing/t5/37337-discharge-instructions-1-0.pdf","t5/37337-discharge-instructions-1-0.pdf")</f>
        <v>t5/37337-discharge-instructions-1-0.pdf</v>
      </c>
      <c r="F1566">
        <v>110002</v>
      </c>
      <c r="G1566">
        <v>37337</v>
      </c>
      <c r="H1566" t="s">
        <v>745</v>
      </c>
      <c r="I1566" t="s">
        <v>1179</v>
      </c>
      <c r="J1566" t="s">
        <v>4985</v>
      </c>
    </row>
    <row r="1567" spans="1:10" x14ac:dyDescent="0.2">
      <c r="A1567" t="s">
        <v>4984</v>
      </c>
      <c r="E1567" t="str">
        <f>HYPERLINK("http://nlpdeep.cs.uic.edu:8080/proofing/gsii/37337-discharge-instructions-1-0.pdf","gsii/37337-discharge-instructions-1-0.pdf")</f>
        <v>gsii/37337-discharge-instructions-1-0.pdf</v>
      </c>
      <c r="F1567">
        <v>110002</v>
      </c>
      <c r="G1567">
        <v>37337</v>
      </c>
      <c r="H1567" t="s">
        <v>745</v>
      </c>
      <c r="I1567" t="s">
        <v>1179</v>
      </c>
      <c r="J1567" t="s">
        <v>4985</v>
      </c>
    </row>
    <row r="1568" spans="1:10" x14ac:dyDescent="0.2">
      <c r="A1568" t="s">
        <v>4986</v>
      </c>
      <c r="E1568" t="str">
        <f>HYPERLINK("http://nlpdeep.cs.uic.edu:8080/proofing/t5/37337-discharge-instructions-1-1.pdf","t5/37337-discharge-instructions-1-1.pdf")</f>
        <v>t5/37337-discharge-instructions-1-1.pdf</v>
      </c>
      <c r="F1568">
        <v>110002</v>
      </c>
      <c r="G1568">
        <v>37337</v>
      </c>
      <c r="H1568" t="s">
        <v>745</v>
      </c>
      <c r="I1568" t="s">
        <v>1179</v>
      </c>
      <c r="J1568" t="s">
        <v>4987</v>
      </c>
    </row>
    <row r="1569" spans="1:10" x14ac:dyDescent="0.2">
      <c r="A1569" t="s">
        <v>4986</v>
      </c>
      <c r="E1569" t="str">
        <f>HYPERLINK("http://nlpdeep.cs.uic.edu:8080/proofing/gsii/37337-discharge-instructions-1-1.pdf","gsii/37337-discharge-instructions-1-1.pdf")</f>
        <v>gsii/37337-discharge-instructions-1-1.pdf</v>
      </c>
      <c r="F1569">
        <v>110002</v>
      </c>
      <c r="G1569">
        <v>37337</v>
      </c>
      <c r="H1569" t="s">
        <v>745</v>
      </c>
      <c r="I1569" t="s">
        <v>1179</v>
      </c>
      <c r="J1569" t="s">
        <v>4987</v>
      </c>
    </row>
    <row r="1570" spans="1:10" x14ac:dyDescent="0.2">
      <c r="A1570" t="s">
        <v>4988</v>
      </c>
      <c r="E1570" t="str">
        <f>HYPERLINK("http://nlpdeep.cs.uic.edu:8080/proofing/t5/37337-discharge-instructions-1-2.pdf","t5/37337-discharge-instructions-1-2.pdf")</f>
        <v>t5/37337-discharge-instructions-1-2.pdf</v>
      </c>
      <c r="F1570">
        <v>110002</v>
      </c>
      <c r="G1570">
        <v>37337</v>
      </c>
      <c r="H1570" t="s">
        <v>745</v>
      </c>
      <c r="I1570" t="s">
        <v>1179</v>
      </c>
      <c r="J1570" t="s">
        <v>4989</v>
      </c>
    </row>
    <row r="1571" spans="1:10" x14ac:dyDescent="0.2">
      <c r="A1571" t="s">
        <v>4988</v>
      </c>
      <c r="E1571" t="str">
        <f>HYPERLINK("http://nlpdeep.cs.uic.edu:8080/proofing/gsii/37337-discharge-instructions-1-2.pdf","gsii/37337-discharge-instructions-1-2.pdf")</f>
        <v>gsii/37337-discharge-instructions-1-2.pdf</v>
      </c>
      <c r="F1571">
        <v>110002</v>
      </c>
      <c r="G1571">
        <v>37337</v>
      </c>
      <c r="H1571" t="s">
        <v>745</v>
      </c>
      <c r="I1571" t="s">
        <v>1179</v>
      </c>
      <c r="J1571" t="s">
        <v>4989</v>
      </c>
    </row>
    <row r="1572" spans="1:10" x14ac:dyDescent="0.2">
      <c r="A1572" t="s">
        <v>4990</v>
      </c>
      <c r="E1572" t="str">
        <f>HYPERLINK("http://nlpdeep.cs.uic.edu:8080/proofing/t5/37337-discharge-instructions-1-3.pdf","t5/37337-discharge-instructions-1-3.pdf")</f>
        <v>t5/37337-discharge-instructions-1-3.pdf</v>
      </c>
      <c r="F1572">
        <v>110002</v>
      </c>
      <c r="G1572">
        <v>37337</v>
      </c>
      <c r="H1572" t="s">
        <v>745</v>
      </c>
      <c r="I1572" t="s">
        <v>1179</v>
      </c>
      <c r="J1572" t="s">
        <v>4991</v>
      </c>
    </row>
    <row r="1573" spans="1:10" x14ac:dyDescent="0.2">
      <c r="A1573" t="s">
        <v>4990</v>
      </c>
      <c r="E1573" t="str">
        <f>HYPERLINK("http://nlpdeep.cs.uic.edu:8080/proofing/gsii/37337-discharge-instructions-1-3.pdf","gsii/37337-discharge-instructions-1-3.pdf")</f>
        <v>gsii/37337-discharge-instructions-1-3.pdf</v>
      </c>
      <c r="F1573">
        <v>110002</v>
      </c>
      <c r="G1573">
        <v>37337</v>
      </c>
      <c r="H1573" t="s">
        <v>745</v>
      </c>
      <c r="I1573" t="s">
        <v>1179</v>
      </c>
      <c r="J1573" t="s">
        <v>4991</v>
      </c>
    </row>
    <row r="1574" spans="1:10" x14ac:dyDescent="0.2">
      <c r="A1574" t="s">
        <v>4992</v>
      </c>
      <c r="E1574" t="str">
        <f>HYPERLINK("http://nlpdeep.cs.uic.edu:8080/proofing/t5/37337-discharge-instructions-2-0.pdf","t5/37337-discharge-instructions-2-0.pdf")</f>
        <v>t5/37337-discharge-instructions-2-0.pdf</v>
      </c>
      <c r="F1574">
        <v>110002</v>
      </c>
      <c r="G1574">
        <v>37337</v>
      </c>
      <c r="H1574" t="s">
        <v>745</v>
      </c>
      <c r="I1574" t="s">
        <v>1179</v>
      </c>
    </row>
    <row r="1575" spans="1:10" x14ac:dyDescent="0.2">
      <c r="A1575" t="s">
        <v>4992</v>
      </c>
      <c r="E1575" t="str">
        <f>HYPERLINK("http://nlpdeep.cs.uic.edu:8080/proofing/gsii/37337-discharge-instructions-2-0.pdf","gsii/37337-discharge-instructions-2-0.pdf")</f>
        <v>gsii/37337-discharge-instructions-2-0.pdf</v>
      </c>
      <c r="F1575">
        <v>110002</v>
      </c>
      <c r="G1575">
        <v>37337</v>
      </c>
      <c r="H1575" t="s">
        <v>745</v>
      </c>
      <c r="I1575" t="s">
        <v>1179</v>
      </c>
    </row>
    <row r="1576" spans="1:10" x14ac:dyDescent="0.2">
      <c r="A1576" t="s">
        <v>4993</v>
      </c>
      <c r="E1576" t="str">
        <f>HYPERLINK("http://nlpdeep.cs.uic.edu:8080/proofing/t5/37337-discharge-instructions-3-0.pdf","t5/37337-discharge-instructions-3-0.pdf")</f>
        <v>t5/37337-discharge-instructions-3-0.pdf</v>
      </c>
      <c r="F1576">
        <v>110002</v>
      </c>
      <c r="G1576">
        <v>37337</v>
      </c>
      <c r="H1576" t="s">
        <v>745</v>
      </c>
      <c r="I1576" t="s">
        <v>1179</v>
      </c>
    </row>
    <row r="1577" spans="1:10" x14ac:dyDescent="0.2">
      <c r="A1577" t="s">
        <v>4993</v>
      </c>
      <c r="E1577" t="str">
        <f>HYPERLINK("http://nlpdeep.cs.uic.edu:8080/proofing/gsii/37337-discharge-instructions-3-0.pdf","gsii/37337-discharge-instructions-3-0.pdf")</f>
        <v>gsii/37337-discharge-instructions-3-0.pdf</v>
      </c>
      <c r="F1577">
        <v>110002</v>
      </c>
      <c r="G1577">
        <v>37337</v>
      </c>
      <c r="H1577" t="s">
        <v>745</v>
      </c>
      <c r="I1577" t="s">
        <v>1179</v>
      </c>
    </row>
    <row r="1578" spans="1:10" x14ac:dyDescent="0.2">
      <c r="A1578" t="s">
        <v>4994</v>
      </c>
      <c r="E1578" t="str">
        <f>HYPERLINK("http://nlpdeep.cs.uic.edu:8080/proofing/t5/37337-discharge-instructions-3-1.pdf","t5/37337-discharge-instructions-3-1.pdf")</f>
        <v>t5/37337-discharge-instructions-3-1.pdf</v>
      </c>
      <c r="F1578">
        <v>110002</v>
      </c>
      <c r="G1578">
        <v>37337</v>
      </c>
      <c r="H1578" t="s">
        <v>745</v>
      </c>
      <c r="I1578" t="s">
        <v>1179</v>
      </c>
      <c r="J1578" t="s">
        <v>4995</v>
      </c>
    </row>
    <row r="1579" spans="1:10" x14ac:dyDescent="0.2">
      <c r="A1579" t="s">
        <v>4994</v>
      </c>
      <c r="E1579" t="str">
        <f>HYPERLINK("http://nlpdeep.cs.uic.edu:8080/proofing/gsii/37337-discharge-instructions-3-1.pdf","gsii/37337-discharge-instructions-3-1.pdf")</f>
        <v>gsii/37337-discharge-instructions-3-1.pdf</v>
      </c>
      <c r="F1579">
        <v>110002</v>
      </c>
      <c r="G1579">
        <v>37337</v>
      </c>
      <c r="H1579" t="s">
        <v>745</v>
      </c>
      <c r="I1579" t="s">
        <v>1179</v>
      </c>
      <c r="J1579" t="s">
        <v>4995</v>
      </c>
    </row>
    <row r="1580" spans="1:10" x14ac:dyDescent="0.2">
      <c r="A1580" t="s">
        <v>4996</v>
      </c>
      <c r="E1580" t="str">
        <f>HYPERLINK("http://nlpdeep.cs.uic.edu:8080/proofing/t5/37337-discharge-instructions-3-2.pdf","t5/37337-discharge-instructions-3-2.pdf")</f>
        <v>t5/37337-discharge-instructions-3-2.pdf</v>
      </c>
      <c r="F1580">
        <v>110002</v>
      </c>
      <c r="G1580">
        <v>37337</v>
      </c>
      <c r="H1580" t="s">
        <v>745</v>
      </c>
      <c r="I1580" t="s">
        <v>1179</v>
      </c>
      <c r="J1580" t="s">
        <v>4997</v>
      </c>
    </row>
    <row r="1581" spans="1:10" x14ac:dyDescent="0.2">
      <c r="A1581" t="s">
        <v>4996</v>
      </c>
      <c r="E1581" t="str">
        <f>HYPERLINK("http://nlpdeep.cs.uic.edu:8080/proofing/gsii/37337-discharge-instructions-3-2.pdf","gsii/37337-discharge-instructions-3-2.pdf")</f>
        <v>gsii/37337-discharge-instructions-3-2.pdf</v>
      </c>
      <c r="F1581">
        <v>110002</v>
      </c>
      <c r="G1581">
        <v>37337</v>
      </c>
      <c r="H1581" t="s">
        <v>745</v>
      </c>
      <c r="I1581" t="s">
        <v>1179</v>
      </c>
      <c r="J1581" t="s">
        <v>4997</v>
      </c>
    </row>
    <row r="1582" spans="1:10" x14ac:dyDescent="0.2">
      <c r="A1582" t="s">
        <v>4998</v>
      </c>
      <c r="E1582" t="str">
        <f>HYPERLINK("http://nlpdeep.cs.uic.edu:8080/proofing/t5/37337-discharge-instructions-3-3.pdf","t5/37337-discharge-instructions-3-3.pdf")</f>
        <v>t5/37337-discharge-instructions-3-3.pdf</v>
      </c>
      <c r="F1582">
        <v>110002</v>
      </c>
      <c r="G1582">
        <v>37337</v>
      </c>
      <c r="H1582" t="s">
        <v>745</v>
      </c>
      <c r="I1582" t="s">
        <v>1179</v>
      </c>
    </row>
    <row r="1583" spans="1:10" x14ac:dyDescent="0.2">
      <c r="A1583" t="s">
        <v>4998</v>
      </c>
      <c r="E1583" t="str">
        <f>HYPERLINK("http://nlpdeep.cs.uic.edu:8080/proofing/gsii/37337-discharge-instructions-3-3.pdf","gsii/37337-discharge-instructions-3-3.pdf")</f>
        <v>gsii/37337-discharge-instructions-3-3.pdf</v>
      </c>
      <c r="F1583">
        <v>110002</v>
      </c>
      <c r="G1583">
        <v>37337</v>
      </c>
      <c r="H1583" t="s">
        <v>745</v>
      </c>
      <c r="I1583" t="s">
        <v>1179</v>
      </c>
    </row>
    <row r="1584" spans="1:10" x14ac:dyDescent="0.2">
      <c r="A1584" t="s">
        <v>4999</v>
      </c>
      <c r="E1584" t="str">
        <f>HYPERLINK("http://nlpdeep.cs.uic.edu:8080/proofing/t5/37337-discharge-instructions-4-0.pdf","t5/37337-discharge-instructions-4-0.pdf")</f>
        <v>t5/37337-discharge-instructions-4-0.pdf</v>
      </c>
      <c r="F1584">
        <v>110002</v>
      </c>
      <c r="G1584">
        <v>37337</v>
      </c>
      <c r="H1584" t="s">
        <v>745</v>
      </c>
      <c r="I1584" t="s">
        <v>1179</v>
      </c>
    </row>
    <row r="1585" spans="1:10" x14ac:dyDescent="0.2">
      <c r="A1585" t="s">
        <v>4999</v>
      </c>
      <c r="E1585" t="str">
        <f>HYPERLINK("http://nlpdeep.cs.uic.edu:8080/proofing/gsii/37337-discharge-instructions-4-0.pdf","gsii/37337-discharge-instructions-4-0.pdf")</f>
        <v>gsii/37337-discharge-instructions-4-0.pdf</v>
      </c>
      <c r="F1585">
        <v>110002</v>
      </c>
      <c r="G1585">
        <v>37337</v>
      </c>
      <c r="H1585" t="s">
        <v>745</v>
      </c>
      <c r="I1585" t="s">
        <v>1179</v>
      </c>
    </row>
    <row r="1586" spans="1:10" x14ac:dyDescent="0.2">
      <c r="A1586" t="s">
        <v>5000</v>
      </c>
      <c r="E1586" t="str">
        <f>HYPERLINK("http://nlpdeep.cs.uic.edu:8080/proofing/t5/37337-discharge-instructions-4-1.pdf","t5/37337-discharge-instructions-4-1.pdf")</f>
        <v>t5/37337-discharge-instructions-4-1.pdf</v>
      </c>
      <c r="F1586">
        <v>110002</v>
      </c>
      <c r="G1586">
        <v>37337</v>
      </c>
      <c r="H1586" t="s">
        <v>745</v>
      </c>
      <c r="I1586" t="s">
        <v>1179</v>
      </c>
      <c r="J1586" t="s">
        <v>5001</v>
      </c>
    </row>
    <row r="1587" spans="1:10" x14ac:dyDescent="0.2">
      <c r="A1587" t="s">
        <v>5000</v>
      </c>
      <c r="E1587" t="str">
        <f>HYPERLINK("http://nlpdeep.cs.uic.edu:8080/proofing/gsii/37337-discharge-instructions-4-1.pdf","gsii/37337-discharge-instructions-4-1.pdf")</f>
        <v>gsii/37337-discharge-instructions-4-1.pdf</v>
      </c>
      <c r="F1587">
        <v>110002</v>
      </c>
      <c r="G1587">
        <v>37337</v>
      </c>
      <c r="H1587" t="s">
        <v>745</v>
      </c>
      <c r="I1587" t="s">
        <v>1179</v>
      </c>
      <c r="J1587" t="s">
        <v>5001</v>
      </c>
    </row>
    <row r="1588" spans="1:10" x14ac:dyDescent="0.2">
      <c r="A1588" t="s">
        <v>5002</v>
      </c>
      <c r="E1588" t="str">
        <f>HYPERLINK("http://nlpdeep.cs.uic.edu:8080/proofing/t5/37337-discharge-instructions-4-2.pdf","t5/37337-discharge-instructions-4-2.pdf")</f>
        <v>t5/37337-discharge-instructions-4-2.pdf</v>
      </c>
      <c r="F1588">
        <v>110002</v>
      </c>
      <c r="G1588">
        <v>37337</v>
      </c>
      <c r="H1588" t="s">
        <v>745</v>
      </c>
      <c r="I1588" t="s">
        <v>1179</v>
      </c>
      <c r="J1588" t="s">
        <v>5003</v>
      </c>
    </row>
    <row r="1589" spans="1:10" x14ac:dyDescent="0.2">
      <c r="A1589" t="s">
        <v>5002</v>
      </c>
      <c r="E1589" t="str">
        <f>HYPERLINK("http://nlpdeep.cs.uic.edu:8080/proofing/gsii/37337-discharge-instructions-4-2.pdf","gsii/37337-discharge-instructions-4-2.pdf")</f>
        <v>gsii/37337-discharge-instructions-4-2.pdf</v>
      </c>
      <c r="F1589">
        <v>110002</v>
      </c>
      <c r="G1589">
        <v>37337</v>
      </c>
      <c r="H1589" t="s">
        <v>745</v>
      </c>
      <c r="I1589" t="s">
        <v>1179</v>
      </c>
      <c r="J1589" t="s">
        <v>5003</v>
      </c>
    </row>
    <row r="1590" spans="1:10" x14ac:dyDescent="0.2">
      <c r="A1590" t="s">
        <v>5004</v>
      </c>
      <c r="E1590" t="str">
        <f>HYPERLINK("http://nlpdeep.cs.uic.edu:8080/proofing/t5/503147-chief-complaint-0-0.pdf","t5/503147-chief-complaint-0-0.pdf")</f>
        <v>t5/503147-chief-complaint-0-0.pdf</v>
      </c>
      <c r="F1590">
        <v>110002</v>
      </c>
      <c r="G1590">
        <v>503147</v>
      </c>
      <c r="H1590" t="s">
        <v>306</v>
      </c>
      <c r="I1590" t="s">
        <v>10</v>
      </c>
      <c r="J1590" t="s">
        <v>5005</v>
      </c>
    </row>
    <row r="1591" spans="1:10" x14ac:dyDescent="0.2">
      <c r="A1591" t="s">
        <v>5004</v>
      </c>
      <c r="E1591" t="str">
        <f>HYPERLINK("http://nlpdeep.cs.uic.edu:8080/proofing/gsii/503147-chief-complaint-0-0.pdf","gsii/503147-chief-complaint-0-0.pdf")</f>
        <v>gsii/503147-chief-complaint-0-0.pdf</v>
      </c>
      <c r="F1591">
        <v>110002</v>
      </c>
      <c r="G1591">
        <v>503147</v>
      </c>
      <c r="H1591" t="s">
        <v>306</v>
      </c>
      <c r="I1591" t="s">
        <v>10</v>
      </c>
      <c r="J1591" t="s">
        <v>5005</v>
      </c>
    </row>
    <row r="1592" spans="1:10" x14ac:dyDescent="0.2">
      <c r="A1592" t="s">
        <v>5006</v>
      </c>
      <c r="E1592" t="str">
        <f>HYPERLINK("http://nlpdeep.cs.uic.edu:8080/proofing/t5/503147-chief-complaint-0-1.pdf","t5/503147-chief-complaint-0-1.pdf")</f>
        <v>t5/503147-chief-complaint-0-1.pdf</v>
      </c>
      <c r="F1592">
        <v>110002</v>
      </c>
      <c r="G1592">
        <v>503147</v>
      </c>
      <c r="H1592" t="s">
        <v>306</v>
      </c>
      <c r="I1592" t="s">
        <v>10</v>
      </c>
      <c r="J1592" t="s">
        <v>5007</v>
      </c>
    </row>
    <row r="1593" spans="1:10" x14ac:dyDescent="0.2">
      <c r="A1593" t="s">
        <v>5006</v>
      </c>
      <c r="E1593" t="str">
        <f>HYPERLINK("http://nlpdeep.cs.uic.edu:8080/proofing/gsii/503147-chief-complaint-0-1.pdf","gsii/503147-chief-complaint-0-1.pdf")</f>
        <v>gsii/503147-chief-complaint-0-1.pdf</v>
      </c>
      <c r="F1593">
        <v>110002</v>
      </c>
      <c r="G1593">
        <v>503147</v>
      </c>
      <c r="H1593" t="s">
        <v>306</v>
      </c>
      <c r="I1593" t="s">
        <v>10</v>
      </c>
      <c r="J1593" t="s">
        <v>5007</v>
      </c>
    </row>
    <row r="1594" spans="1:10" x14ac:dyDescent="0.2">
      <c r="A1594" t="s">
        <v>5008</v>
      </c>
      <c r="E1594" t="str">
        <f>HYPERLINK("http://nlpdeep.cs.uic.edu:8080/proofing/t5/503147-24-hour-events-0-0.pdf","t5/503147-24-hour-events-0-0.pdf")</f>
        <v>t5/503147-24-hour-events-0-0.pdf</v>
      </c>
      <c r="F1594">
        <v>110002</v>
      </c>
      <c r="G1594">
        <v>503147</v>
      </c>
      <c r="H1594" t="s">
        <v>306</v>
      </c>
      <c r="I1594" t="s">
        <v>538</v>
      </c>
      <c r="J1594" t="s">
        <v>4563</v>
      </c>
    </row>
    <row r="1595" spans="1:10" x14ac:dyDescent="0.2">
      <c r="A1595" t="s">
        <v>5008</v>
      </c>
      <c r="E1595" t="str">
        <f>HYPERLINK("http://nlpdeep.cs.uic.edu:8080/proofing/gsii/503147-24-hour-events-0-0.pdf","gsii/503147-24-hour-events-0-0.pdf")</f>
        <v>gsii/503147-24-hour-events-0-0.pdf</v>
      </c>
      <c r="F1595">
        <v>110002</v>
      </c>
      <c r="G1595">
        <v>503147</v>
      </c>
      <c r="H1595" t="s">
        <v>306</v>
      </c>
      <c r="I1595" t="s">
        <v>538</v>
      </c>
      <c r="J1595" t="s">
        <v>4563</v>
      </c>
    </row>
    <row r="1596" spans="1:10" x14ac:dyDescent="0.2">
      <c r="A1596" t="s">
        <v>5009</v>
      </c>
      <c r="E1596" t="str">
        <f>HYPERLINK("http://nlpdeep.cs.uic.edu:8080/proofing/t5/503147-current-medications-0-0.pdf","t5/503147-current-medications-0-0.pdf")</f>
        <v>t5/503147-current-medications-0-0.pdf</v>
      </c>
      <c r="F1596">
        <v>110002</v>
      </c>
      <c r="G1596">
        <v>503147</v>
      </c>
      <c r="H1596" t="s">
        <v>306</v>
      </c>
      <c r="I1596" t="s">
        <v>365</v>
      </c>
      <c r="J1596" t="s">
        <v>5010</v>
      </c>
    </row>
    <row r="1597" spans="1:10" x14ac:dyDescent="0.2">
      <c r="A1597" t="s">
        <v>5009</v>
      </c>
      <c r="E1597" t="str">
        <f>HYPERLINK("http://nlpdeep.cs.uic.edu:8080/proofing/gsii/503147-current-medications-0-0.pdf","gsii/503147-current-medications-0-0.pdf")</f>
        <v>gsii/503147-current-medications-0-0.pdf</v>
      </c>
      <c r="F1597">
        <v>110002</v>
      </c>
      <c r="G1597">
        <v>503147</v>
      </c>
      <c r="H1597" t="s">
        <v>306</v>
      </c>
      <c r="I1597" t="s">
        <v>365</v>
      </c>
      <c r="J1597" t="s">
        <v>5010</v>
      </c>
    </row>
    <row r="1598" spans="1:10" x14ac:dyDescent="0.2">
      <c r="A1598" t="s">
        <v>5011</v>
      </c>
      <c r="E1598" t="str">
        <f>HYPERLINK("http://nlpdeep.cs.uic.edu:8080/proofing/t5/503147-labs-imaging-0-0.pdf","t5/503147-labs-imaging-0-0.pdf")</f>
        <v>t5/503147-labs-imaging-0-0.pdf</v>
      </c>
      <c r="F1598">
        <v>110002</v>
      </c>
      <c r="G1598">
        <v>503147</v>
      </c>
      <c r="H1598" t="s">
        <v>306</v>
      </c>
      <c r="I1598" t="s">
        <v>147</v>
      </c>
      <c r="J1598" t="s">
        <v>4569</v>
      </c>
    </row>
    <row r="1599" spans="1:10" x14ac:dyDescent="0.2">
      <c r="A1599" t="s">
        <v>5011</v>
      </c>
      <c r="E1599" t="str">
        <f>HYPERLINK("http://nlpdeep.cs.uic.edu:8080/proofing/gsii/503147-labs-imaging-0-0.pdf","gsii/503147-labs-imaging-0-0.pdf")</f>
        <v>gsii/503147-labs-imaging-0-0.pdf</v>
      </c>
      <c r="F1599">
        <v>110002</v>
      </c>
      <c r="G1599">
        <v>503147</v>
      </c>
      <c r="H1599" t="s">
        <v>306</v>
      </c>
      <c r="I1599" t="s">
        <v>147</v>
      </c>
      <c r="J1599" t="s">
        <v>4569</v>
      </c>
    </row>
    <row r="1600" spans="1:10" x14ac:dyDescent="0.2">
      <c r="A1600" t="s">
        <v>5012</v>
      </c>
      <c r="E1600" t="str">
        <f>HYPERLINK("http://nlpdeep.cs.uic.edu:8080/proofing/t5/503147-assessment-and-plan-0-0.pdf","t5/503147-assessment-and-plan-0-0.pdf")</f>
        <v>t5/503147-assessment-and-plan-0-0.pdf</v>
      </c>
      <c r="F1600">
        <v>110002</v>
      </c>
      <c r="G1600">
        <v>503147</v>
      </c>
      <c r="H1600" t="s">
        <v>306</v>
      </c>
      <c r="I1600" t="s">
        <v>195</v>
      </c>
      <c r="J1600" t="s">
        <v>5013</v>
      </c>
    </row>
    <row r="1601" spans="1:10" x14ac:dyDescent="0.2">
      <c r="A1601" t="s">
        <v>5012</v>
      </c>
      <c r="E1601" t="str">
        <f>HYPERLINK("http://nlpdeep.cs.uic.edu:8080/proofing/gsii/503147-assessment-and-plan-0-0.pdf","gsii/503147-assessment-and-plan-0-0.pdf")</f>
        <v>gsii/503147-assessment-and-plan-0-0.pdf</v>
      </c>
      <c r="F1601">
        <v>110002</v>
      </c>
      <c r="G1601">
        <v>503147</v>
      </c>
      <c r="H1601" t="s">
        <v>306</v>
      </c>
      <c r="I1601" t="s">
        <v>195</v>
      </c>
      <c r="J1601" t="s">
        <v>5013</v>
      </c>
    </row>
    <row r="1602" spans="1:10" x14ac:dyDescent="0.2">
      <c r="A1602" t="s">
        <v>5014</v>
      </c>
      <c r="E1602" t="str">
        <f>HYPERLINK("http://nlpdeep.cs.uic.edu:8080/proofing/t5/503147-assessment-and-plan-0-1.pdf","t5/503147-assessment-and-plan-0-1.pdf")</f>
        <v>t5/503147-assessment-and-plan-0-1.pdf</v>
      </c>
      <c r="F1602">
        <v>110002</v>
      </c>
      <c r="G1602">
        <v>503147</v>
      </c>
      <c r="H1602" t="s">
        <v>306</v>
      </c>
      <c r="I1602" t="s">
        <v>195</v>
      </c>
      <c r="J1602" t="s">
        <v>5015</v>
      </c>
    </row>
    <row r="1603" spans="1:10" x14ac:dyDescent="0.2">
      <c r="A1603" t="s">
        <v>5014</v>
      </c>
      <c r="E1603" t="str">
        <f>HYPERLINK("http://nlpdeep.cs.uic.edu:8080/proofing/gsii/503147-assessment-and-plan-0-1.pdf","gsii/503147-assessment-and-plan-0-1.pdf")</f>
        <v>gsii/503147-assessment-and-plan-0-1.pdf</v>
      </c>
      <c r="F1603">
        <v>110002</v>
      </c>
      <c r="G1603">
        <v>503147</v>
      </c>
      <c r="H1603" t="s">
        <v>306</v>
      </c>
      <c r="I1603" t="s">
        <v>195</v>
      </c>
      <c r="J1603" t="s">
        <v>5015</v>
      </c>
    </row>
    <row r="1604" spans="1:10" x14ac:dyDescent="0.2">
      <c r="A1604" t="s">
        <v>5016</v>
      </c>
      <c r="E1604" t="str">
        <f>HYPERLINK("http://nlpdeep.cs.uic.edu:8080/proofing/t5/503147-assessment-and-plan-0-2.pdf","t5/503147-assessment-and-plan-0-2.pdf")</f>
        <v>t5/503147-assessment-and-plan-0-2.pdf</v>
      </c>
      <c r="F1604">
        <v>110002</v>
      </c>
      <c r="G1604">
        <v>503147</v>
      </c>
      <c r="H1604" t="s">
        <v>306</v>
      </c>
      <c r="I1604" t="s">
        <v>195</v>
      </c>
      <c r="J1604" t="s">
        <v>5017</v>
      </c>
    </row>
    <row r="1605" spans="1:10" x14ac:dyDescent="0.2">
      <c r="A1605" t="s">
        <v>5016</v>
      </c>
      <c r="E1605" t="str">
        <f>HYPERLINK("http://nlpdeep.cs.uic.edu:8080/proofing/gsii/503147-assessment-and-plan-0-2.pdf","gsii/503147-assessment-and-plan-0-2.pdf")</f>
        <v>gsii/503147-assessment-and-plan-0-2.pdf</v>
      </c>
      <c r="F1605">
        <v>110002</v>
      </c>
      <c r="G1605">
        <v>503147</v>
      </c>
      <c r="H1605" t="s">
        <v>306</v>
      </c>
      <c r="I1605" t="s">
        <v>195</v>
      </c>
      <c r="J1605" t="s">
        <v>5017</v>
      </c>
    </row>
    <row r="1606" spans="1:10" x14ac:dyDescent="0.2">
      <c r="A1606" t="s">
        <v>5018</v>
      </c>
      <c r="E1606" t="str">
        <f>HYPERLINK("http://nlpdeep.cs.uic.edu:8080/proofing/t5/503148-chief-complaint-0-0.pdf","t5/503148-chief-complaint-0-0.pdf")</f>
        <v>t5/503148-chief-complaint-0-0.pdf</v>
      </c>
      <c r="F1606">
        <v>110002</v>
      </c>
      <c r="G1606">
        <v>503148</v>
      </c>
      <c r="H1606" t="s">
        <v>306</v>
      </c>
      <c r="I1606" t="s">
        <v>10</v>
      </c>
      <c r="J1606" t="s">
        <v>4559</v>
      </c>
    </row>
    <row r="1607" spans="1:10" x14ac:dyDescent="0.2">
      <c r="A1607" t="s">
        <v>5018</v>
      </c>
      <c r="E1607" t="str">
        <f>HYPERLINK("http://nlpdeep.cs.uic.edu:8080/proofing/gsii/503148-chief-complaint-0-0.pdf","gsii/503148-chief-complaint-0-0.pdf")</f>
        <v>gsii/503148-chief-complaint-0-0.pdf</v>
      </c>
      <c r="F1607">
        <v>110002</v>
      </c>
      <c r="G1607">
        <v>503148</v>
      </c>
      <c r="H1607" t="s">
        <v>306</v>
      </c>
      <c r="I1607" t="s">
        <v>10</v>
      </c>
      <c r="J1607" t="s">
        <v>4559</v>
      </c>
    </row>
    <row r="1608" spans="1:10" x14ac:dyDescent="0.2">
      <c r="A1608" t="s">
        <v>5019</v>
      </c>
      <c r="E1608" t="str">
        <f>HYPERLINK("http://nlpdeep.cs.uic.edu:8080/proofing/t5/503148-chief-complaint-0-1.pdf","t5/503148-chief-complaint-0-1.pdf")</f>
        <v>t5/503148-chief-complaint-0-1.pdf</v>
      </c>
      <c r="F1608">
        <v>110002</v>
      </c>
      <c r="G1608">
        <v>503148</v>
      </c>
      <c r="H1608" t="s">
        <v>306</v>
      </c>
      <c r="I1608" t="s">
        <v>10</v>
      </c>
      <c r="J1608" t="s">
        <v>4561</v>
      </c>
    </row>
    <row r="1609" spans="1:10" x14ac:dyDescent="0.2">
      <c r="A1609" t="s">
        <v>5019</v>
      </c>
      <c r="E1609" t="str">
        <f>HYPERLINK("http://nlpdeep.cs.uic.edu:8080/proofing/gsii/503148-chief-complaint-0-1.pdf","gsii/503148-chief-complaint-0-1.pdf")</f>
        <v>gsii/503148-chief-complaint-0-1.pdf</v>
      </c>
      <c r="F1609">
        <v>110002</v>
      </c>
      <c r="G1609">
        <v>503148</v>
      </c>
      <c r="H1609" t="s">
        <v>306</v>
      </c>
      <c r="I1609" t="s">
        <v>10</v>
      </c>
      <c r="J1609" t="s">
        <v>4561</v>
      </c>
    </row>
    <row r="1610" spans="1:10" x14ac:dyDescent="0.2">
      <c r="A1610" t="s">
        <v>5020</v>
      </c>
      <c r="E1610" t="str">
        <f>HYPERLINK("http://nlpdeep.cs.uic.edu:8080/proofing/t5/503148-24-hour-events-0-0.pdf","t5/503148-24-hour-events-0-0.pdf")</f>
        <v>t5/503148-24-hour-events-0-0.pdf</v>
      </c>
      <c r="F1610">
        <v>110002</v>
      </c>
      <c r="G1610">
        <v>503148</v>
      </c>
      <c r="H1610" t="s">
        <v>306</v>
      </c>
      <c r="I1610" t="s">
        <v>538</v>
      </c>
      <c r="J1610" t="s">
        <v>4563</v>
      </c>
    </row>
    <row r="1611" spans="1:10" x14ac:dyDescent="0.2">
      <c r="A1611" t="s">
        <v>5020</v>
      </c>
      <c r="E1611" t="str">
        <f>HYPERLINK("http://nlpdeep.cs.uic.edu:8080/proofing/gsii/503148-24-hour-events-0-0.pdf","gsii/503148-24-hour-events-0-0.pdf")</f>
        <v>gsii/503148-24-hour-events-0-0.pdf</v>
      </c>
      <c r="F1611">
        <v>110002</v>
      </c>
      <c r="G1611">
        <v>503148</v>
      </c>
      <c r="H1611" t="s">
        <v>306</v>
      </c>
      <c r="I1611" t="s">
        <v>538</v>
      </c>
      <c r="J1611" t="s">
        <v>4563</v>
      </c>
    </row>
    <row r="1612" spans="1:10" x14ac:dyDescent="0.2">
      <c r="A1612" t="s">
        <v>5021</v>
      </c>
      <c r="E1612" t="str">
        <f>HYPERLINK("http://nlpdeep.cs.uic.edu:8080/proofing/t5/503148-current-medications-0-0.pdf","t5/503148-current-medications-0-0.pdf")</f>
        <v>t5/503148-current-medications-0-0.pdf</v>
      </c>
      <c r="F1612">
        <v>110002</v>
      </c>
      <c r="G1612">
        <v>503148</v>
      </c>
      <c r="H1612" t="s">
        <v>306</v>
      </c>
      <c r="I1612" t="s">
        <v>365</v>
      </c>
      <c r="J1612" t="s">
        <v>4565</v>
      </c>
    </row>
    <row r="1613" spans="1:10" x14ac:dyDescent="0.2">
      <c r="A1613" t="s">
        <v>5021</v>
      </c>
      <c r="E1613" t="str">
        <f>HYPERLINK("http://nlpdeep.cs.uic.edu:8080/proofing/gsii/503148-current-medications-0-0.pdf","gsii/503148-current-medications-0-0.pdf")</f>
        <v>gsii/503148-current-medications-0-0.pdf</v>
      </c>
      <c r="F1613">
        <v>110002</v>
      </c>
      <c r="G1613">
        <v>503148</v>
      </c>
      <c r="H1613" t="s">
        <v>306</v>
      </c>
      <c r="I1613" t="s">
        <v>365</v>
      </c>
      <c r="J1613" t="s">
        <v>4565</v>
      </c>
    </row>
    <row r="1614" spans="1:10" x14ac:dyDescent="0.2">
      <c r="A1614" t="s">
        <v>5022</v>
      </c>
      <c r="E1614" t="str">
        <f>HYPERLINK("http://nlpdeep.cs.uic.edu:8080/proofing/t5/503148-physical-examination-0-0.pdf","t5/503148-physical-examination-0-0.pdf")</f>
        <v>t5/503148-physical-examination-0-0.pdf</v>
      </c>
      <c r="F1614">
        <v>110002</v>
      </c>
      <c r="G1614">
        <v>503148</v>
      </c>
      <c r="H1614" t="s">
        <v>306</v>
      </c>
      <c r="I1614" t="s">
        <v>138</v>
      </c>
      <c r="J1614" t="s">
        <v>4567</v>
      </c>
    </row>
    <row r="1615" spans="1:10" x14ac:dyDescent="0.2">
      <c r="A1615" t="s">
        <v>5022</v>
      </c>
      <c r="E1615" t="str">
        <f>HYPERLINK("http://nlpdeep.cs.uic.edu:8080/proofing/gsii/503148-physical-examination-0-0.pdf","gsii/503148-physical-examination-0-0.pdf")</f>
        <v>gsii/503148-physical-examination-0-0.pdf</v>
      </c>
      <c r="F1615">
        <v>110002</v>
      </c>
      <c r="G1615">
        <v>503148</v>
      </c>
      <c r="H1615" t="s">
        <v>306</v>
      </c>
      <c r="I1615" t="s">
        <v>138</v>
      </c>
      <c r="J1615" t="s">
        <v>4567</v>
      </c>
    </row>
    <row r="1616" spans="1:10" x14ac:dyDescent="0.2">
      <c r="A1616" t="s">
        <v>5023</v>
      </c>
      <c r="E1616" t="str">
        <f>HYPERLINK("http://nlpdeep.cs.uic.edu:8080/proofing/t5/503148-labs-imaging-0-0.pdf","t5/503148-labs-imaging-0-0.pdf")</f>
        <v>t5/503148-labs-imaging-0-0.pdf</v>
      </c>
      <c r="F1616">
        <v>110002</v>
      </c>
      <c r="G1616">
        <v>503148</v>
      </c>
      <c r="H1616" t="s">
        <v>306</v>
      </c>
      <c r="I1616" t="s">
        <v>147</v>
      </c>
      <c r="J1616" t="s">
        <v>4569</v>
      </c>
    </row>
    <row r="1617" spans="1:10" x14ac:dyDescent="0.2">
      <c r="A1617" t="s">
        <v>5023</v>
      </c>
      <c r="E1617" t="str">
        <f>HYPERLINK("http://nlpdeep.cs.uic.edu:8080/proofing/gsii/503148-labs-imaging-0-0.pdf","gsii/503148-labs-imaging-0-0.pdf")</f>
        <v>gsii/503148-labs-imaging-0-0.pdf</v>
      </c>
      <c r="F1617">
        <v>110002</v>
      </c>
      <c r="G1617">
        <v>503148</v>
      </c>
      <c r="H1617" t="s">
        <v>306</v>
      </c>
      <c r="I1617" t="s">
        <v>147</v>
      </c>
      <c r="J1617" t="s">
        <v>4569</v>
      </c>
    </row>
    <row r="1618" spans="1:10" x14ac:dyDescent="0.2">
      <c r="A1618" t="s">
        <v>5024</v>
      </c>
      <c r="E1618" t="str">
        <f>HYPERLINK("http://nlpdeep.cs.uic.edu:8080/proofing/t5/503148-assessment-and-plan-0-0.pdf","t5/503148-assessment-and-plan-0-0.pdf")</f>
        <v>t5/503148-assessment-and-plan-0-0.pdf</v>
      </c>
      <c r="F1618">
        <v>110002</v>
      </c>
      <c r="G1618">
        <v>503148</v>
      </c>
      <c r="H1618" t="s">
        <v>306</v>
      </c>
      <c r="I1618" t="s">
        <v>195</v>
      </c>
      <c r="J1618" t="s">
        <v>5013</v>
      </c>
    </row>
    <row r="1619" spans="1:10" x14ac:dyDescent="0.2">
      <c r="A1619" t="s">
        <v>5024</v>
      </c>
      <c r="E1619" t="str">
        <f>HYPERLINK("http://nlpdeep.cs.uic.edu:8080/proofing/gsii/503148-assessment-and-plan-0-0.pdf","gsii/503148-assessment-and-plan-0-0.pdf")</f>
        <v>gsii/503148-assessment-and-plan-0-0.pdf</v>
      </c>
      <c r="F1619">
        <v>110002</v>
      </c>
      <c r="G1619">
        <v>503148</v>
      </c>
      <c r="H1619" t="s">
        <v>306</v>
      </c>
      <c r="I1619" t="s">
        <v>195</v>
      </c>
      <c r="J1619" t="s">
        <v>5013</v>
      </c>
    </row>
    <row r="1620" spans="1:10" x14ac:dyDescent="0.2">
      <c r="A1620" t="s">
        <v>5025</v>
      </c>
      <c r="E1620" t="str">
        <f>HYPERLINK("http://nlpdeep.cs.uic.edu:8080/proofing/t5/503148-assessment-and-plan-0-1.pdf","t5/503148-assessment-and-plan-0-1.pdf")</f>
        <v>t5/503148-assessment-and-plan-0-1.pdf</v>
      </c>
      <c r="F1620">
        <v>110002</v>
      </c>
      <c r="G1620">
        <v>503148</v>
      </c>
      <c r="H1620" t="s">
        <v>306</v>
      </c>
      <c r="I1620" t="s">
        <v>195</v>
      </c>
      <c r="J1620" t="s">
        <v>5015</v>
      </c>
    </row>
    <row r="1621" spans="1:10" x14ac:dyDescent="0.2">
      <c r="A1621" t="s">
        <v>5025</v>
      </c>
      <c r="E1621" t="str">
        <f>HYPERLINK("http://nlpdeep.cs.uic.edu:8080/proofing/gsii/503148-assessment-and-plan-0-1.pdf","gsii/503148-assessment-and-plan-0-1.pdf")</f>
        <v>gsii/503148-assessment-and-plan-0-1.pdf</v>
      </c>
      <c r="F1621">
        <v>110002</v>
      </c>
      <c r="G1621">
        <v>503148</v>
      </c>
      <c r="H1621" t="s">
        <v>306</v>
      </c>
      <c r="I1621" t="s">
        <v>195</v>
      </c>
      <c r="J1621" t="s">
        <v>5015</v>
      </c>
    </row>
    <row r="1622" spans="1:10" x14ac:dyDescent="0.2">
      <c r="A1622" t="s">
        <v>5026</v>
      </c>
      <c r="E1622" t="str">
        <f>HYPERLINK("http://nlpdeep.cs.uic.edu:8080/proofing/t5/503148-assessment-and-plan-0-2.pdf","t5/503148-assessment-and-plan-0-2.pdf")</f>
        <v>t5/503148-assessment-and-plan-0-2.pdf</v>
      </c>
      <c r="F1622">
        <v>110002</v>
      </c>
      <c r="G1622">
        <v>503148</v>
      </c>
      <c r="H1622" t="s">
        <v>306</v>
      </c>
      <c r="I1622" t="s">
        <v>195</v>
      </c>
      <c r="J1622" t="s">
        <v>5017</v>
      </c>
    </row>
    <row r="1623" spans="1:10" x14ac:dyDescent="0.2">
      <c r="A1623" t="s">
        <v>5026</v>
      </c>
      <c r="E1623" t="str">
        <f>HYPERLINK("http://nlpdeep.cs.uic.edu:8080/proofing/gsii/503148-assessment-and-plan-0-2.pdf","gsii/503148-assessment-and-plan-0-2.pdf")</f>
        <v>gsii/503148-assessment-and-plan-0-2.pdf</v>
      </c>
      <c r="F1623">
        <v>110002</v>
      </c>
      <c r="G1623">
        <v>503148</v>
      </c>
      <c r="H1623" t="s">
        <v>306</v>
      </c>
      <c r="I1623" t="s">
        <v>195</v>
      </c>
      <c r="J1623" t="s">
        <v>5017</v>
      </c>
    </row>
    <row r="1624" spans="1:10" x14ac:dyDescent="0.2">
      <c r="A1624" t="s">
        <v>5027</v>
      </c>
      <c r="E1624" t="str">
        <f>HYPERLINK("http://nlpdeep.cs.uic.edu:8080/proofing/t5/503146-chief-complaint-0-0.pdf","t5/503146-chief-complaint-0-0.pdf")</f>
        <v>t5/503146-chief-complaint-0-0.pdf</v>
      </c>
      <c r="F1624">
        <v>110002</v>
      </c>
      <c r="G1624">
        <v>503146</v>
      </c>
      <c r="H1624" t="s">
        <v>306</v>
      </c>
      <c r="I1624" t="s">
        <v>10</v>
      </c>
      <c r="J1624" t="s">
        <v>5005</v>
      </c>
    </row>
    <row r="1625" spans="1:10" x14ac:dyDescent="0.2">
      <c r="A1625" t="s">
        <v>5027</v>
      </c>
      <c r="E1625" t="str">
        <f>HYPERLINK("http://nlpdeep.cs.uic.edu:8080/proofing/gsii/503146-chief-complaint-0-0.pdf","gsii/503146-chief-complaint-0-0.pdf")</f>
        <v>gsii/503146-chief-complaint-0-0.pdf</v>
      </c>
      <c r="F1625">
        <v>110002</v>
      </c>
      <c r="G1625">
        <v>503146</v>
      </c>
      <c r="H1625" t="s">
        <v>306</v>
      </c>
      <c r="I1625" t="s">
        <v>10</v>
      </c>
      <c r="J1625" t="s">
        <v>5005</v>
      </c>
    </row>
    <row r="1626" spans="1:10" x14ac:dyDescent="0.2">
      <c r="A1626" t="s">
        <v>5028</v>
      </c>
      <c r="E1626" t="str">
        <f>HYPERLINK("http://nlpdeep.cs.uic.edu:8080/proofing/t5/503146-chief-complaint-0-1.pdf","t5/503146-chief-complaint-0-1.pdf")</f>
        <v>t5/503146-chief-complaint-0-1.pdf</v>
      </c>
      <c r="F1626">
        <v>110002</v>
      </c>
      <c r="G1626">
        <v>503146</v>
      </c>
      <c r="H1626" t="s">
        <v>306</v>
      </c>
      <c r="I1626" t="s">
        <v>10</v>
      </c>
      <c r="J1626" t="s">
        <v>5007</v>
      </c>
    </row>
    <row r="1627" spans="1:10" x14ac:dyDescent="0.2">
      <c r="A1627" t="s">
        <v>5028</v>
      </c>
      <c r="E1627" t="str">
        <f>HYPERLINK("http://nlpdeep.cs.uic.edu:8080/proofing/gsii/503146-chief-complaint-0-1.pdf","gsii/503146-chief-complaint-0-1.pdf")</f>
        <v>gsii/503146-chief-complaint-0-1.pdf</v>
      </c>
      <c r="F1627">
        <v>110002</v>
      </c>
      <c r="G1627">
        <v>503146</v>
      </c>
      <c r="H1627" t="s">
        <v>306</v>
      </c>
      <c r="I1627" t="s">
        <v>10</v>
      </c>
      <c r="J1627" t="s">
        <v>5007</v>
      </c>
    </row>
    <row r="1628" spans="1:10" x14ac:dyDescent="0.2">
      <c r="A1628" t="s">
        <v>5029</v>
      </c>
      <c r="E1628" t="str">
        <f>HYPERLINK("http://nlpdeep.cs.uic.edu:8080/proofing/t5/503146-24-hour-events-0-0.pdf","t5/503146-24-hour-events-0-0.pdf")</f>
        <v>t5/503146-24-hour-events-0-0.pdf</v>
      </c>
      <c r="F1628">
        <v>110002</v>
      </c>
      <c r="G1628">
        <v>503146</v>
      </c>
      <c r="H1628" t="s">
        <v>306</v>
      </c>
      <c r="I1628" t="s">
        <v>538</v>
      </c>
      <c r="J1628" t="s">
        <v>4563</v>
      </c>
    </row>
    <row r="1629" spans="1:10" x14ac:dyDescent="0.2">
      <c r="A1629" t="s">
        <v>5029</v>
      </c>
      <c r="E1629" t="str">
        <f>HYPERLINK("http://nlpdeep.cs.uic.edu:8080/proofing/gsii/503146-24-hour-events-0-0.pdf","gsii/503146-24-hour-events-0-0.pdf")</f>
        <v>gsii/503146-24-hour-events-0-0.pdf</v>
      </c>
      <c r="F1629">
        <v>110002</v>
      </c>
      <c r="G1629">
        <v>503146</v>
      </c>
      <c r="H1629" t="s">
        <v>306</v>
      </c>
      <c r="I1629" t="s">
        <v>538</v>
      </c>
      <c r="J1629" t="s">
        <v>4563</v>
      </c>
    </row>
    <row r="1630" spans="1:10" x14ac:dyDescent="0.2">
      <c r="A1630" t="s">
        <v>5030</v>
      </c>
      <c r="E1630" t="str">
        <f>HYPERLINK("http://nlpdeep.cs.uic.edu:8080/proofing/t5/503146-current-medications-0-0.pdf","t5/503146-current-medications-0-0.pdf")</f>
        <v>t5/503146-current-medications-0-0.pdf</v>
      </c>
      <c r="F1630">
        <v>110002</v>
      </c>
      <c r="G1630">
        <v>503146</v>
      </c>
      <c r="H1630" t="s">
        <v>306</v>
      </c>
      <c r="I1630" t="s">
        <v>365</v>
      </c>
      <c r="J1630" t="s">
        <v>5010</v>
      </c>
    </row>
    <row r="1631" spans="1:10" x14ac:dyDescent="0.2">
      <c r="A1631" t="s">
        <v>5030</v>
      </c>
      <c r="E1631" t="str">
        <f>HYPERLINK("http://nlpdeep.cs.uic.edu:8080/proofing/gsii/503146-current-medications-0-0.pdf","gsii/503146-current-medications-0-0.pdf")</f>
        <v>gsii/503146-current-medications-0-0.pdf</v>
      </c>
      <c r="F1631">
        <v>110002</v>
      </c>
      <c r="G1631">
        <v>503146</v>
      </c>
      <c r="H1631" t="s">
        <v>306</v>
      </c>
      <c r="I1631" t="s">
        <v>365</v>
      </c>
      <c r="J1631" t="s">
        <v>5010</v>
      </c>
    </row>
    <row r="1632" spans="1:10" x14ac:dyDescent="0.2">
      <c r="A1632" t="s">
        <v>5031</v>
      </c>
      <c r="E1632" t="str">
        <f>HYPERLINK("http://nlpdeep.cs.uic.edu:8080/proofing/t5/503146-physical-examination-0-0.pdf","t5/503146-physical-examination-0-0.pdf")</f>
        <v>t5/503146-physical-examination-0-0.pdf</v>
      </c>
      <c r="F1632">
        <v>110002</v>
      </c>
      <c r="G1632">
        <v>503146</v>
      </c>
      <c r="H1632" t="s">
        <v>306</v>
      </c>
      <c r="I1632" t="s">
        <v>138</v>
      </c>
      <c r="J1632" t="s">
        <v>5032</v>
      </c>
    </row>
    <row r="1633" spans="1:10" x14ac:dyDescent="0.2">
      <c r="A1633" t="s">
        <v>5031</v>
      </c>
      <c r="E1633" t="str">
        <f>HYPERLINK("http://nlpdeep.cs.uic.edu:8080/proofing/gsii/503146-physical-examination-0-0.pdf","gsii/503146-physical-examination-0-0.pdf")</f>
        <v>gsii/503146-physical-examination-0-0.pdf</v>
      </c>
      <c r="F1633">
        <v>110002</v>
      </c>
      <c r="G1633">
        <v>503146</v>
      </c>
      <c r="H1633" t="s">
        <v>306</v>
      </c>
      <c r="I1633" t="s">
        <v>138</v>
      </c>
      <c r="J1633" t="s">
        <v>5032</v>
      </c>
    </row>
    <row r="1634" spans="1:10" x14ac:dyDescent="0.2">
      <c r="A1634" t="s">
        <v>5033</v>
      </c>
      <c r="E1634" t="str">
        <f>HYPERLINK("http://nlpdeep.cs.uic.edu:8080/proofing/t5/503146-labs-imaging-0-0.pdf","t5/503146-labs-imaging-0-0.pdf")</f>
        <v>t5/503146-labs-imaging-0-0.pdf</v>
      </c>
      <c r="F1634">
        <v>110002</v>
      </c>
      <c r="G1634">
        <v>503146</v>
      </c>
      <c r="H1634" t="s">
        <v>306</v>
      </c>
      <c r="I1634" t="s">
        <v>147</v>
      </c>
      <c r="J1634" t="s">
        <v>4569</v>
      </c>
    </row>
    <row r="1635" spans="1:10" x14ac:dyDescent="0.2">
      <c r="A1635" t="s">
        <v>5033</v>
      </c>
      <c r="E1635" t="str">
        <f>HYPERLINK("http://nlpdeep.cs.uic.edu:8080/proofing/gsii/503146-labs-imaging-0-0.pdf","gsii/503146-labs-imaging-0-0.pdf")</f>
        <v>gsii/503146-labs-imaging-0-0.pdf</v>
      </c>
      <c r="F1635">
        <v>110002</v>
      </c>
      <c r="G1635">
        <v>503146</v>
      </c>
      <c r="H1635" t="s">
        <v>306</v>
      </c>
      <c r="I1635" t="s">
        <v>147</v>
      </c>
      <c r="J1635" t="s">
        <v>4569</v>
      </c>
    </row>
    <row r="1636" spans="1:10" x14ac:dyDescent="0.2">
      <c r="A1636" t="s">
        <v>5034</v>
      </c>
      <c r="E1636" t="str">
        <f>HYPERLINK("http://nlpdeep.cs.uic.edu:8080/proofing/t5/503146-assessment-and-plan-0-0.pdf","t5/503146-assessment-and-plan-0-0.pdf")</f>
        <v>t5/503146-assessment-and-plan-0-0.pdf</v>
      </c>
      <c r="F1636">
        <v>110002</v>
      </c>
      <c r="G1636">
        <v>503146</v>
      </c>
      <c r="H1636" t="s">
        <v>306</v>
      </c>
      <c r="I1636" t="s">
        <v>195</v>
      </c>
      <c r="J1636" t="s">
        <v>5013</v>
      </c>
    </row>
    <row r="1637" spans="1:10" x14ac:dyDescent="0.2">
      <c r="A1637" t="s">
        <v>5034</v>
      </c>
      <c r="E1637" t="str">
        <f>HYPERLINK("http://nlpdeep.cs.uic.edu:8080/proofing/gsii/503146-assessment-and-plan-0-0.pdf","gsii/503146-assessment-and-plan-0-0.pdf")</f>
        <v>gsii/503146-assessment-and-plan-0-0.pdf</v>
      </c>
      <c r="F1637">
        <v>110002</v>
      </c>
      <c r="G1637">
        <v>503146</v>
      </c>
      <c r="H1637" t="s">
        <v>306</v>
      </c>
      <c r="I1637" t="s">
        <v>195</v>
      </c>
      <c r="J1637" t="s">
        <v>5013</v>
      </c>
    </row>
    <row r="1638" spans="1:10" x14ac:dyDescent="0.2">
      <c r="A1638" t="s">
        <v>5035</v>
      </c>
      <c r="E1638" t="str">
        <f>HYPERLINK("http://nlpdeep.cs.uic.edu:8080/proofing/t5/503146-assessment-and-plan-0-1.pdf","t5/503146-assessment-and-plan-0-1.pdf")</f>
        <v>t5/503146-assessment-and-plan-0-1.pdf</v>
      </c>
      <c r="F1638">
        <v>110002</v>
      </c>
      <c r="G1638">
        <v>503146</v>
      </c>
      <c r="H1638" t="s">
        <v>306</v>
      </c>
      <c r="I1638" t="s">
        <v>195</v>
      </c>
      <c r="J1638" t="s">
        <v>5015</v>
      </c>
    </row>
    <row r="1639" spans="1:10" x14ac:dyDescent="0.2">
      <c r="A1639" t="s">
        <v>5035</v>
      </c>
      <c r="E1639" t="str">
        <f>HYPERLINK("http://nlpdeep.cs.uic.edu:8080/proofing/gsii/503146-assessment-and-plan-0-1.pdf","gsii/503146-assessment-and-plan-0-1.pdf")</f>
        <v>gsii/503146-assessment-and-plan-0-1.pdf</v>
      </c>
      <c r="F1639">
        <v>110002</v>
      </c>
      <c r="G1639">
        <v>503146</v>
      </c>
      <c r="H1639" t="s">
        <v>306</v>
      </c>
      <c r="I1639" t="s">
        <v>195</v>
      </c>
      <c r="J1639" t="s">
        <v>5015</v>
      </c>
    </row>
    <row r="1640" spans="1:10" x14ac:dyDescent="0.2">
      <c r="A1640" t="s">
        <v>5036</v>
      </c>
      <c r="E1640" t="str">
        <f>HYPERLINK("http://nlpdeep.cs.uic.edu:8080/proofing/t5/503146-assessment-and-plan-0-2.pdf","t5/503146-assessment-and-plan-0-2.pdf")</f>
        <v>t5/503146-assessment-and-plan-0-2.pdf</v>
      </c>
      <c r="F1640">
        <v>110002</v>
      </c>
      <c r="G1640">
        <v>503146</v>
      </c>
      <c r="H1640" t="s">
        <v>306</v>
      </c>
      <c r="I1640" t="s">
        <v>195</v>
      </c>
      <c r="J1640" t="s">
        <v>5017</v>
      </c>
    </row>
    <row r="1641" spans="1:10" x14ac:dyDescent="0.2">
      <c r="A1641" t="s">
        <v>5036</v>
      </c>
      <c r="E1641" t="str">
        <f>HYPERLINK("http://nlpdeep.cs.uic.edu:8080/proofing/gsii/503146-assessment-and-plan-0-2.pdf","gsii/503146-assessment-and-plan-0-2.pdf")</f>
        <v>gsii/503146-assessment-and-plan-0-2.pdf</v>
      </c>
      <c r="F1641">
        <v>110002</v>
      </c>
      <c r="G1641">
        <v>503146</v>
      </c>
      <c r="H1641" t="s">
        <v>306</v>
      </c>
      <c r="I1641" t="s">
        <v>195</v>
      </c>
      <c r="J1641" t="s">
        <v>5017</v>
      </c>
    </row>
    <row r="1642" spans="1:10" x14ac:dyDescent="0.2">
      <c r="A1642" t="s">
        <v>5037</v>
      </c>
      <c r="E1642" t="str">
        <f>HYPERLINK("http://nlpdeep.cs.uic.edu:8080/proofing/t5/88005-patient-test-information-0-0.pdf","t5/88005-patient-test-information-0-0.pdf")</f>
        <v>t5/88005-patient-test-information-0-0.pdf</v>
      </c>
      <c r="F1642">
        <v>110002</v>
      </c>
      <c r="G1642">
        <v>88005</v>
      </c>
      <c r="H1642" t="s">
        <v>1891</v>
      </c>
      <c r="I1642" t="s">
        <v>1892</v>
      </c>
      <c r="J1642" t="s">
        <v>5038</v>
      </c>
    </row>
    <row r="1643" spans="1:10" x14ac:dyDescent="0.2">
      <c r="A1643" t="s">
        <v>5037</v>
      </c>
      <c r="E1643" t="str">
        <f>HYPERLINK("http://nlpdeep.cs.uic.edu:8080/proofing/gsii/88005-patient-test-information-0-0.pdf","gsii/88005-patient-test-information-0-0.pdf")</f>
        <v>gsii/88005-patient-test-information-0-0.pdf</v>
      </c>
      <c r="F1643">
        <v>110002</v>
      </c>
      <c r="G1643">
        <v>88005</v>
      </c>
      <c r="H1643" t="s">
        <v>1891</v>
      </c>
      <c r="I1643" t="s">
        <v>1892</v>
      </c>
      <c r="J1643" t="s">
        <v>5038</v>
      </c>
    </row>
    <row r="1644" spans="1:10" x14ac:dyDescent="0.2">
      <c r="A1644" t="s">
        <v>5039</v>
      </c>
      <c r="E1644" t="str">
        <f>HYPERLINK("http://nlpdeep.cs.uic.edu:8080/proofing/t5/88005-patient-test-information-0-1.pdf","t5/88005-patient-test-information-0-1.pdf")</f>
        <v>t5/88005-patient-test-information-0-1.pdf</v>
      </c>
      <c r="F1644">
        <v>110002</v>
      </c>
      <c r="G1644">
        <v>88005</v>
      </c>
      <c r="H1644" t="s">
        <v>1891</v>
      </c>
      <c r="I1644" t="s">
        <v>1892</v>
      </c>
      <c r="J1644" t="s">
        <v>5040</v>
      </c>
    </row>
    <row r="1645" spans="1:10" x14ac:dyDescent="0.2">
      <c r="A1645" t="s">
        <v>5039</v>
      </c>
      <c r="E1645" t="str">
        <f>HYPERLINK("http://nlpdeep.cs.uic.edu:8080/proofing/gsii/88005-patient-test-information-0-1.pdf","gsii/88005-patient-test-information-0-1.pdf")</f>
        <v>gsii/88005-patient-test-information-0-1.pdf</v>
      </c>
      <c r="F1645">
        <v>110002</v>
      </c>
      <c r="G1645">
        <v>88005</v>
      </c>
      <c r="H1645" t="s">
        <v>1891</v>
      </c>
      <c r="I1645" t="s">
        <v>1892</v>
      </c>
      <c r="J1645" t="s">
        <v>5040</v>
      </c>
    </row>
    <row r="1646" spans="1:10" x14ac:dyDescent="0.2">
      <c r="A1646" t="s">
        <v>5041</v>
      </c>
      <c r="E1646" t="str">
        <f>HYPERLINK("http://nlpdeep.cs.uic.edu:8080/proofing/t5/88005-findings-0-0.pdf","t5/88005-findings-0-0.pdf")</f>
        <v>t5/88005-findings-0-0.pdf</v>
      </c>
      <c r="F1646">
        <v>110002</v>
      </c>
      <c r="G1646">
        <v>88005</v>
      </c>
      <c r="H1646" t="s">
        <v>1891</v>
      </c>
      <c r="I1646" t="s">
        <v>1840</v>
      </c>
      <c r="J1646" t="s">
        <v>5042</v>
      </c>
    </row>
    <row r="1647" spans="1:10" x14ac:dyDescent="0.2">
      <c r="A1647" t="s">
        <v>5041</v>
      </c>
      <c r="E1647" t="str">
        <f>HYPERLINK("http://nlpdeep.cs.uic.edu:8080/proofing/gsii/88005-findings-0-0.pdf","gsii/88005-findings-0-0.pdf")</f>
        <v>gsii/88005-findings-0-0.pdf</v>
      </c>
      <c r="F1647">
        <v>110002</v>
      </c>
      <c r="G1647">
        <v>88005</v>
      </c>
      <c r="H1647" t="s">
        <v>1891</v>
      </c>
      <c r="I1647" t="s">
        <v>1840</v>
      </c>
      <c r="J1647" t="s">
        <v>5042</v>
      </c>
    </row>
    <row r="1648" spans="1:10" x14ac:dyDescent="0.2">
      <c r="A1648" t="s">
        <v>5043</v>
      </c>
      <c r="E1648" t="str">
        <f>HYPERLINK("http://nlpdeep.cs.uic.edu:8080/proofing/t5/88005-findings-1-0.pdf","t5/88005-findings-1-0.pdf")</f>
        <v>t5/88005-findings-1-0.pdf</v>
      </c>
      <c r="F1648">
        <v>110002</v>
      </c>
      <c r="G1648">
        <v>88005</v>
      </c>
      <c r="H1648" t="s">
        <v>1891</v>
      </c>
      <c r="I1648" t="s">
        <v>1840</v>
      </c>
      <c r="J1648" t="s">
        <v>4462</v>
      </c>
    </row>
    <row r="1649" spans="1:10" x14ac:dyDescent="0.2">
      <c r="A1649" t="s">
        <v>5043</v>
      </c>
      <c r="E1649" t="str">
        <f>HYPERLINK("http://nlpdeep.cs.uic.edu:8080/proofing/gsii/88005-findings-1-0.pdf","gsii/88005-findings-1-0.pdf")</f>
        <v>gsii/88005-findings-1-0.pdf</v>
      </c>
      <c r="F1649">
        <v>110002</v>
      </c>
      <c r="G1649">
        <v>88005</v>
      </c>
      <c r="H1649" t="s">
        <v>1891</v>
      </c>
      <c r="I1649" t="s">
        <v>1840</v>
      </c>
      <c r="J1649" t="s">
        <v>4462</v>
      </c>
    </row>
    <row r="1650" spans="1:10" x14ac:dyDescent="0.2">
      <c r="A1650" t="s">
        <v>5044</v>
      </c>
      <c r="E1650" t="str">
        <f>HYPERLINK("http://nlpdeep.cs.uic.edu:8080/proofing/t5/88005-findings-1-1.pdf","t5/88005-findings-1-1.pdf")</f>
        <v>t5/88005-findings-1-1.pdf</v>
      </c>
      <c r="F1650">
        <v>110002</v>
      </c>
      <c r="G1650">
        <v>88005</v>
      </c>
      <c r="H1650" t="s">
        <v>1891</v>
      </c>
      <c r="I1650" t="s">
        <v>1840</v>
      </c>
      <c r="J1650" t="s">
        <v>5045</v>
      </c>
    </row>
    <row r="1651" spans="1:10" x14ac:dyDescent="0.2">
      <c r="A1651" t="s">
        <v>5044</v>
      </c>
      <c r="E1651" t="str">
        <f>HYPERLINK("http://nlpdeep.cs.uic.edu:8080/proofing/gsii/88005-findings-1-1.pdf","gsii/88005-findings-1-1.pdf")</f>
        <v>gsii/88005-findings-1-1.pdf</v>
      </c>
      <c r="F1651">
        <v>110002</v>
      </c>
      <c r="G1651">
        <v>88005</v>
      </c>
      <c r="H1651" t="s">
        <v>1891</v>
      </c>
      <c r="I1651" t="s">
        <v>1840</v>
      </c>
      <c r="J1651" t="s">
        <v>5045</v>
      </c>
    </row>
    <row r="1652" spans="1:10" x14ac:dyDescent="0.2">
      <c r="A1652" t="s">
        <v>5046</v>
      </c>
      <c r="E1652" t="str">
        <f>HYPERLINK("http://nlpdeep.cs.uic.edu:8080/proofing/t5/88005-findings-1-2.pdf","t5/88005-findings-1-2.pdf")</f>
        <v>t5/88005-findings-1-2.pdf</v>
      </c>
      <c r="F1652">
        <v>110002</v>
      </c>
      <c r="G1652">
        <v>88005</v>
      </c>
      <c r="H1652" t="s">
        <v>1891</v>
      </c>
      <c r="I1652" t="s">
        <v>1840</v>
      </c>
      <c r="J1652" t="s">
        <v>5047</v>
      </c>
    </row>
    <row r="1653" spans="1:10" x14ac:dyDescent="0.2">
      <c r="A1653" t="s">
        <v>5046</v>
      </c>
      <c r="E1653" t="str">
        <f>HYPERLINK("http://nlpdeep.cs.uic.edu:8080/proofing/gsii/88005-findings-1-2.pdf","gsii/88005-findings-1-2.pdf")</f>
        <v>gsii/88005-findings-1-2.pdf</v>
      </c>
      <c r="F1653">
        <v>110002</v>
      </c>
      <c r="G1653">
        <v>88005</v>
      </c>
      <c r="H1653" t="s">
        <v>1891</v>
      </c>
      <c r="I1653" t="s">
        <v>1840</v>
      </c>
      <c r="J1653" t="s">
        <v>5047</v>
      </c>
    </row>
    <row r="1654" spans="1:10" x14ac:dyDescent="0.2">
      <c r="A1654" t="s">
        <v>5048</v>
      </c>
      <c r="E1654" t="str">
        <f>HYPERLINK("http://nlpdeep.cs.uic.edu:8080/proofing/t5/88005-findings-2-0.pdf","t5/88005-findings-2-0.pdf")</f>
        <v>t5/88005-findings-2-0.pdf</v>
      </c>
      <c r="F1654">
        <v>110002</v>
      </c>
      <c r="G1654">
        <v>88005</v>
      </c>
      <c r="H1654" t="s">
        <v>1891</v>
      </c>
      <c r="I1654" t="s">
        <v>1840</v>
      </c>
      <c r="J1654" t="s">
        <v>3842</v>
      </c>
    </row>
    <row r="1655" spans="1:10" x14ac:dyDescent="0.2">
      <c r="A1655" t="s">
        <v>5048</v>
      </c>
      <c r="E1655" t="str">
        <f>HYPERLINK("http://nlpdeep.cs.uic.edu:8080/proofing/gsii/88005-findings-2-0.pdf","gsii/88005-findings-2-0.pdf")</f>
        <v>gsii/88005-findings-2-0.pdf</v>
      </c>
      <c r="F1655">
        <v>110002</v>
      </c>
      <c r="G1655">
        <v>88005</v>
      </c>
      <c r="H1655" t="s">
        <v>1891</v>
      </c>
      <c r="I1655" t="s">
        <v>1840</v>
      </c>
      <c r="J1655" t="s">
        <v>3842</v>
      </c>
    </row>
    <row r="1656" spans="1:10" x14ac:dyDescent="0.2">
      <c r="A1656" t="s">
        <v>5049</v>
      </c>
      <c r="E1656" t="str">
        <f>HYPERLINK("http://nlpdeep.cs.uic.edu:8080/proofing/t5/88005-findings-2-1.pdf","t5/88005-findings-2-1.pdf")</f>
        <v>t5/88005-findings-2-1.pdf</v>
      </c>
      <c r="F1656">
        <v>110002</v>
      </c>
      <c r="G1656">
        <v>88005</v>
      </c>
      <c r="H1656" t="s">
        <v>1891</v>
      </c>
      <c r="I1656" t="s">
        <v>1840</v>
      </c>
      <c r="J1656" t="s">
        <v>2997</v>
      </c>
    </row>
    <row r="1657" spans="1:10" x14ac:dyDescent="0.2">
      <c r="A1657" t="s">
        <v>5049</v>
      </c>
      <c r="E1657" t="str">
        <f>HYPERLINK("http://nlpdeep.cs.uic.edu:8080/proofing/gsii/88005-findings-2-1.pdf","gsii/88005-findings-2-1.pdf")</f>
        <v>gsii/88005-findings-2-1.pdf</v>
      </c>
      <c r="F1657">
        <v>110002</v>
      </c>
      <c r="G1657">
        <v>88005</v>
      </c>
      <c r="H1657" t="s">
        <v>1891</v>
      </c>
      <c r="I1657" t="s">
        <v>1840</v>
      </c>
      <c r="J1657" t="s">
        <v>2997</v>
      </c>
    </row>
    <row r="1658" spans="1:10" x14ac:dyDescent="0.2">
      <c r="A1658" t="s">
        <v>5050</v>
      </c>
      <c r="E1658" t="str">
        <f>HYPERLINK("http://nlpdeep.cs.uic.edu:8080/proofing/t5/88005-findings-2-2.pdf","t5/88005-findings-2-2.pdf")</f>
        <v>t5/88005-findings-2-2.pdf</v>
      </c>
      <c r="F1658">
        <v>110002</v>
      </c>
      <c r="G1658">
        <v>88005</v>
      </c>
      <c r="H1658" t="s">
        <v>1891</v>
      </c>
      <c r="I1658" t="s">
        <v>1840</v>
      </c>
      <c r="J1658" t="s">
        <v>5051</v>
      </c>
    </row>
    <row r="1659" spans="1:10" x14ac:dyDescent="0.2">
      <c r="A1659" t="s">
        <v>5050</v>
      </c>
      <c r="E1659" t="str">
        <f>HYPERLINK("http://nlpdeep.cs.uic.edu:8080/proofing/gsii/88005-findings-2-2.pdf","gsii/88005-findings-2-2.pdf")</f>
        <v>gsii/88005-findings-2-2.pdf</v>
      </c>
      <c r="F1659">
        <v>110002</v>
      </c>
      <c r="G1659">
        <v>88005</v>
      </c>
      <c r="H1659" t="s">
        <v>1891</v>
      </c>
      <c r="I1659" t="s">
        <v>1840</v>
      </c>
      <c r="J1659" t="s">
        <v>5051</v>
      </c>
    </row>
    <row r="1660" spans="1:10" x14ac:dyDescent="0.2">
      <c r="A1660" t="s">
        <v>5052</v>
      </c>
      <c r="E1660" t="str">
        <f>HYPERLINK("http://nlpdeep.cs.uic.edu:8080/proofing/t5/88005-findings-3-0.pdf","t5/88005-findings-3-0.pdf")</f>
        <v>t5/88005-findings-3-0.pdf</v>
      </c>
      <c r="F1660">
        <v>110002</v>
      </c>
      <c r="G1660">
        <v>88005</v>
      </c>
      <c r="H1660" t="s">
        <v>1891</v>
      </c>
      <c r="I1660" t="s">
        <v>1840</v>
      </c>
      <c r="J1660" t="s">
        <v>5053</v>
      </c>
    </row>
    <row r="1661" spans="1:10" x14ac:dyDescent="0.2">
      <c r="A1661" t="s">
        <v>5052</v>
      </c>
      <c r="E1661" t="str">
        <f>HYPERLINK("http://nlpdeep.cs.uic.edu:8080/proofing/gsii/88005-findings-3-0.pdf","gsii/88005-findings-3-0.pdf")</f>
        <v>gsii/88005-findings-3-0.pdf</v>
      </c>
      <c r="F1661">
        <v>110002</v>
      </c>
      <c r="G1661">
        <v>88005</v>
      </c>
      <c r="H1661" t="s">
        <v>1891</v>
      </c>
      <c r="I1661" t="s">
        <v>1840</v>
      </c>
      <c r="J1661" t="s">
        <v>5053</v>
      </c>
    </row>
    <row r="1662" spans="1:10" x14ac:dyDescent="0.2">
      <c r="A1662" t="s">
        <v>5054</v>
      </c>
      <c r="E1662" t="str">
        <f>HYPERLINK("http://nlpdeep.cs.uic.edu:8080/proofing/t5/88005-findings-3-1.pdf","t5/88005-findings-3-1.pdf")</f>
        <v>t5/88005-findings-3-1.pdf</v>
      </c>
      <c r="F1662">
        <v>110002</v>
      </c>
      <c r="G1662">
        <v>88005</v>
      </c>
      <c r="H1662" t="s">
        <v>1891</v>
      </c>
      <c r="I1662" t="s">
        <v>1840</v>
      </c>
      <c r="J1662" t="s">
        <v>3001</v>
      </c>
    </row>
    <row r="1663" spans="1:10" x14ac:dyDescent="0.2">
      <c r="A1663" t="s">
        <v>5054</v>
      </c>
      <c r="E1663" t="str">
        <f>HYPERLINK("http://nlpdeep.cs.uic.edu:8080/proofing/gsii/88005-findings-3-1.pdf","gsii/88005-findings-3-1.pdf")</f>
        <v>gsii/88005-findings-3-1.pdf</v>
      </c>
      <c r="F1663">
        <v>110002</v>
      </c>
      <c r="G1663">
        <v>88005</v>
      </c>
      <c r="H1663" t="s">
        <v>1891</v>
      </c>
      <c r="I1663" t="s">
        <v>1840</v>
      </c>
      <c r="J1663" t="s">
        <v>3001</v>
      </c>
    </row>
    <row r="1664" spans="1:10" x14ac:dyDescent="0.2">
      <c r="A1664" t="s">
        <v>5055</v>
      </c>
      <c r="E1664" t="str">
        <f>HYPERLINK("http://nlpdeep.cs.uic.edu:8080/proofing/t5/88005-findings-4-0.pdf","t5/88005-findings-4-0.pdf")</f>
        <v>t5/88005-findings-4-0.pdf</v>
      </c>
      <c r="F1664">
        <v>110002</v>
      </c>
      <c r="G1664">
        <v>88005</v>
      </c>
      <c r="H1664" t="s">
        <v>1891</v>
      </c>
      <c r="I1664" t="s">
        <v>1840</v>
      </c>
      <c r="J1664" t="s">
        <v>3003</v>
      </c>
    </row>
    <row r="1665" spans="1:10" x14ac:dyDescent="0.2">
      <c r="A1665" t="s">
        <v>5055</v>
      </c>
      <c r="E1665" t="str">
        <f>HYPERLINK("http://nlpdeep.cs.uic.edu:8080/proofing/gsii/88005-findings-4-0.pdf","gsii/88005-findings-4-0.pdf")</f>
        <v>gsii/88005-findings-4-0.pdf</v>
      </c>
      <c r="F1665">
        <v>110002</v>
      </c>
      <c r="G1665">
        <v>88005</v>
      </c>
      <c r="H1665" t="s">
        <v>1891</v>
      </c>
      <c r="I1665" t="s">
        <v>1840</v>
      </c>
      <c r="J1665" t="s">
        <v>3003</v>
      </c>
    </row>
    <row r="1666" spans="1:10" x14ac:dyDescent="0.2">
      <c r="A1666" t="s">
        <v>5056</v>
      </c>
      <c r="E1666" t="str">
        <f>HYPERLINK("http://nlpdeep.cs.uic.edu:8080/proofing/t5/88005-findings-5-0.pdf","t5/88005-findings-5-0.pdf")</f>
        <v>t5/88005-findings-5-0.pdf</v>
      </c>
      <c r="F1666">
        <v>110002</v>
      </c>
      <c r="G1666">
        <v>88005</v>
      </c>
      <c r="H1666" t="s">
        <v>1891</v>
      </c>
      <c r="I1666" t="s">
        <v>1840</v>
      </c>
      <c r="J1666" t="s">
        <v>3007</v>
      </c>
    </row>
    <row r="1667" spans="1:10" x14ac:dyDescent="0.2">
      <c r="A1667" t="s">
        <v>5056</v>
      </c>
      <c r="E1667" t="str">
        <f>HYPERLINK("http://nlpdeep.cs.uic.edu:8080/proofing/gsii/88005-findings-5-0.pdf","gsii/88005-findings-5-0.pdf")</f>
        <v>gsii/88005-findings-5-0.pdf</v>
      </c>
      <c r="F1667">
        <v>110002</v>
      </c>
      <c r="G1667">
        <v>88005</v>
      </c>
      <c r="H1667" t="s">
        <v>1891</v>
      </c>
      <c r="I1667" t="s">
        <v>1840</v>
      </c>
      <c r="J1667" t="s">
        <v>3007</v>
      </c>
    </row>
    <row r="1668" spans="1:10" x14ac:dyDescent="0.2">
      <c r="A1668" t="s">
        <v>5057</v>
      </c>
      <c r="E1668" t="str">
        <f>HYPERLINK("http://nlpdeep.cs.uic.edu:8080/proofing/t5/88005-findings-5-1.pdf","t5/88005-findings-5-1.pdf")</f>
        <v>t5/88005-findings-5-1.pdf</v>
      </c>
      <c r="F1668">
        <v>110002</v>
      </c>
      <c r="G1668">
        <v>88005</v>
      </c>
      <c r="H1668" t="s">
        <v>1891</v>
      </c>
      <c r="I1668" t="s">
        <v>1840</v>
      </c>
      <c r="J1668" t="s">
        <v>3009</v>
      </c>
    </row>
    <row r="1669" spans="1:10" x14ac:dyDescent="0.2">
      <c r="A1669" t="s">
        <v>5057</v>
      </c>
      <c r="E1669" t="str">
        <f>HYPERLINK("http://nlpdeep.cs.uic.edu:8080/proofing/gsii/88005-findings-5-1.pdf","gsii/88005-findings-5-1.pdf")</f>
        <v>gsii/88005-findings-5-1.pdf</v>
      </c>
      <c r="F1669">
        <v>110002</v>
      </c>
      <c r="G1669">
        <v>88005</v>
      </c>
      <c r="H1669" t="s">
        <v>1891</v>
      </c>
      <c r="I1669" t="s">
        <v>1840</v>
      </c>
      <c r="J1669" t="s">
        <v>3009</v>
      </c>
    </row>
    <row r="1670" spans="1:10" x14ac:dyDescent="0.2">
      <c r="A1670" t="s">
        <v>5058</v>
      </c>
      <c r="E1670" t="str">
        <f>HYPERLINK("http://nlpdeep.cs.uic.edu:8080/proofing/t5/88005-findings-5-2.pdf","t5/88005-findings-5-2.pdf")</f>
        <v>t5/88005-findings-5-2.pdf</v>
      </c>
      <c r="F1670">
        <v>110002</v>
      </c>
      <c r="G1670">
        <v>88005</v>
      </c>
      <c r="H1670" t="s">
        <v>1891</v>
      </c>
      <c r="I1670" t="s">
        <v>1840</v>
      </c>
      <c r="J1670" t="s">
        <v>3011</v>
      </c>
    </row>
    <row r="1671" spans="1:10" x14ac:dyDescent="0.2">
      <c r="A1671" t="s">
        <v>5058</v>
      </c>
      <c r="E1671" t="str">
        <f>HYPERLINK("http://nlpdeep.cs.uic.edu:8080/proofing/gsii/88005-findings-5-2.pdf","gsii/88005-findings-5-2.pdf")</f>
        <v>gsii/88005-findings-5-2.pdf</v>
      </c>
      <c r="F1671">
        <v>110002</v>
      </c>
      <c r="G1671">
        <v>88005</v>
      </c>
      <c r="H1671" t="s">
        <v>1891</v>
      </c>
      <c r="I1671" t="s">
        <v>1840</v>
      </c>
      <c r="J1671" t="s">
        <v>3011</v>
      </c>
    </row>
    <row r="1672" spans="1:10" x14ac:dyDescent="0.2">
      <c r="A1672" t="s">
        <v>5059</v>
      </c>
      <c r="E1672" t="str">
        <f>HYPERLINK("http://nlpdeep.cs.uic.edu:8080/proofing/t5/88005-findings-5-3.pdf","t5/88005-findings-5-3.pdf")</f>
        <v>t5/88005-findings-5-3.pdf</v>
      </c>
      <c r="F1672">
        <v>110002</v>
      </c>
      <c r="G1672">
        <v>88005</v>
      </c>
      <c r="H1672" t="s">
        <v>1891</v>
      </c>
      <c r="I1672" t="s">
        <v>1840</v>
      </c>
      <c r="J1672" t="s">
        <v>5060</v>
      </c>
    </row>
    <row r="1673" spans="1:10" x14ac:dyDescent="0.2">
      <c r="A1673" t="s">
        <v>5059</v>
      </c>
      <c r="E1673" t="str">
        <f>HYPERLINK("http://nlpdeep.cs.uic.edu:8080/proofing/gsii/88005-findings-5-3.pdf","gsii/88005-findings-5-3.pdf")</f>
        <v>gsii/88005-findings-5-3.pdf</v>
      </c>
      <c r="F1673">
        <v>110002</v>
      </c>
      <c r="G1673">
        <v>88005</v>
      </c>
      <c r="H1673" t="s">
        <v>1891</v>
      </c>
      <c r="I1673" t="s">
        <v>1840</v>
      </c>
      <c r="J1673" t="s">
        <v>5060</v>
      </c>
    </row>
    <row r="1674" spans="1:10" x14ac:dyDescent="0.2">
      <c r="A1674" t="s">
        <v>5061</v>
      </c>
      <c r="E1674" t="str">
        <f>HYPERLINK("http://nlpdeep.cs.uic.edu:8080/proofing/t5/88005-findings-6-0.pdf","t5/88005-findings-6-0.pdf")</f>
        <v>t5/88005-findings-6-0.pdf</v>
      </c>
      <c r="F1674">
        <v>110002</v>
      </c>
      <c r="G1674">
        <v>88005</v>
      </c>
      <c r="H1674" t="s">
        <v>1891</v>
      </c>
      <c r="I1674" t="s">
        <v>1840</v>
      </c>
      <c r="J1674" t="s">
        <v>3013</v>
      </c>
    </row>
    <row r="1675" spans="1:10" x14ac:dyDescent="0.2">
      <c r="A1675" t="s">
        <v>5061</v>
      </c>
      <c r="E1675" t="str">
        <f>HYPERLINK("http://nlpdeep.cs.uic.edu:8080/proofing/gsii/88005-findings-6-0.pdf","gsii/88005-findings-6-0.pdf")</f>
        <v>gsii/88005-findings-6-0.pdf</v>
      </c>
      <c r="F1675">
        <v>110002</v>
      </c>
      <c r="G1675">
        <v>88005</v>
      </c>
      <c r="H1675" t="s">
        <v>1891</v>
      </c>
      <c r="I1675" t="s">
        <v>1840</v>
      </c>
      <c r="J1675" t="s">
        <v>3013</v>
      </c>
    </row>
    <row r="1676" spans="1:10" x14ac:dyDescent="0.2">
      <c r="A1676" t="s">
        <v>5062</v>
      </c>
      <c r="E1676" t="str">
        <f>HYPERLINK("http://nlpdeep.cs.uic.edu:8080/proofing/t5/88005-findings-6-1.pdf","t5/88005-findings-6-1.pdf")</f>
        <v>t5/88005-findings-6-1.pdf</v>
      </c>
      <c r="F1676">
        <v>110002</v>
      </c>
      <c r="G1676">
        <v>88005</v>
      </c>
      <c r="H1676" t="s">
        <v>1891</v>
      </c>
      <c r="I1676" t="s">
        <v>1840</v>
      </c>
      <c r="J1676" t="s">
        <v>1943</v>
      </c>
    </row>
    <row r="1677" spans="1:10" x14ac:dyDescent="0.2">
      <c r="A1677" t="s">
        <v>5062</v>
      </c>
      <c r="E1677" t="str">
        <f>HYPERLINK("http://nlpdeep.cs.uic.edu:8080/proofing/gsii/88005-findings-6-1.pdf","gsii/88005-findings-6-1.pdf")</f>
        <v>gsii/88005-findings-6-1.pdf</v>
      </c>
      <c r="F1677">
        <v>110002</v>
      </c>
      <c r="G1677">
        <v>88005</v>
      </c>
      <c r="H1677" t="s">
        <v>1891</v>
      </c>
      <c r="I1677" t="s">
        <v>1840</v>
      </c>
      <c r="J1677" t="s">
        <v>1943</v>
      </c>
    </row>
    <row r="1678" spans="1:10" x14ac:dyDescent="0.2">
      <c r="A1678" t="s">
        <v>5063</v>
      </c>
      <c r="E1678" t="str">
        <f>HYPERLINK("http://nlpdeep.cs.uic.edu:8080/proofing/t5/88005-findings-6-2.pdf","t5/88005-findings-6-2.pdf")</f>
        <v>t5/88005-findings-6-2.pdf</v>
      </c>
      <c r="F1678">
        <v>110002</v>
      </c>
      <c r="G1678">
        <v>88005</v>
      </c>
      <c r="H1678" t="s">
        <v>1891</v>
      </c>
      <c r="I1678" t="s">
        <v>1840</v>
      </c>
      <c r="J1678" t="s">
        <v>5064</v>
      </c>
    </row>
    <row r="1679" spans="1:10" x14ac:dyDescent="0.2">
      <c r="A1679" t="s">
        <v>5063</v>
      </c>
      <c r="E1679" t="str">
        <f>HYPERLINK("http://nlpdeep.cs.uic.edu:8080/proofing/gsii/88005-findings-6-2.pdf","gsii/88005-findings-6-2.pdf")</f>
        <v>gsii/88005-findings-6-2.pdf</v>
      </c>
      <c r="F1679">
        <v>110002</v>
      </c>
      <c r="G1679">
        <v>88005</v>
      </c>
      <c r="H1679" t="s">
        <v>1891</v>
      </c>
      <c r="I1679" t="s">
        <v>1840</v>
      </c>
      <c r="J1679" t="s">
        <v>5064</v>
      </c>
    </row>
    <row r="1680" spans="1:10" x14ac:dyDescent="0.2">
      <c r="A1680" t="s">
        <v>5065</v>
      </c>
      <c r="E1680" t="str">
        <f>HYPERLINK("http://nlpdeep.cs.uic.edu:8080/proofing/t5/88005-findings-6-3.pdf","t5/88005-findings-6-3.pdf")</f>
        <v>t5/88005-findings-6-3.pdf</v>
      </c>
      <c r="F1680">
        <v>110002</v>
      </c>
      <c r="G1680">
        <v>88005</v>
      </c>
      <c r="H1680" t="s">
        <v>1891</v>
      </c>
      <c r="I1680" t="s">
        <v>1840</v>
      </c>
      <c r="J1680" t="s">
        <v>5066</v>
      </c>
    </row>
    <row r="1681" spans="1:10" x14ac:dyDescent="0.2">
      <c r="A1681" t="s">
        <v>5065</v>
      </c>
      <c r="E1681" t="str">
        <f>HYPERLINK("http://nlpdeep.cs.uic.edu:8080/proofing/gsii/88005-findings-6-3.pdf","gsii/88005-findings-6-3.pdf")</f>
        <v>gsii/88005-findings-6-3.pdf</v>
      </c>
      <c r="F1681">
        <v>110002</v>
      </c>
      <c r="G1681">
        <v>88005</v>
      </c>
      <c r="H1681" t="s">
        <v>1891</v>
      </c>
      <c r="I1681" t="s">
        <v>1840</v>
      </c>
      <c r="J1681" t="s">
        <v>5066</v>
      </c>
    </row>
    <row r="1682" spans="1:10" x14ac:dyDescent="0.2">
      <c r="A1682" t="s">
        <v>5067</v>
      </c>
      <c r="E1682" t="str">
        <f>HYPERLINK("http://nlpdeep.cs.uic.edu:8080/proofing/t5/88005-findings-7-0.pdf","t5/88005-findings-7-0.pdf")</f>
        <v>t5/88005-findings-7-0.pdf</v>
      </c>
      <c r="F1682">
        <v>110002</v>
      </c>
      <c r="G1682">
        <v>88005</v>
      </c>
      <c r="H1682" t="s">
        <v>1891</v>
      </c>
      <c r="I1682" t="s">
        <v>1840</v>
      </c>
      <c r="J1682" t="s">
        <v>5068</v>
      </c>
    </row>
    <row r="1683" spans="1:10" x14ac:dyDescent="0.2">
      <c r="A1683" t="s">
        <v>5067</v>
      </c>
      <c r="E1683" t="str">
        <f>HYPERLINK("http://nlpdeep.cs.uic.edu:8080/proofing/gsii/88005-findings-7-0.pdf","gsii/88005-findings-7-0.pdf")</f>
        <v>gsii/88005-findings-7-0.pdf</v>
      </c>
      <c r="F1683">
        <v>110002</v>
      </c>
      <c r="G1683">
        <v>88005</v>
      </c>
      <c r="H1683" t="s">
        <v>1891</v>
      </c>
      <c r="I1683" t="s">
        <v>1840</v>
      </c>
      <c r="J1683" t="s">
        <v>5068</v>
      </c>
    </row>
    <row r="1684" spans="1:10" x14ac:dyDescent="0.2">
      <c r="A1684" t="s">
        <v>5069</v>
      </c>
      <c r="E1684" t="str">
        <f>HYPERLINK("http://nlpdeep.cs.uic.edu:8080/proofing/t5/88005-findings-7-1.pdf","t5/88005-findings-7-1.pdf")</f>
        <v>t5/88005-findings-7-1.pdf</v>
      </c>
      <c r="F1684">
        <v>110002</v>
      </c>
      <c r="G1684">
        <v>88005</v>
      </c>
      <c r="H1684" t="s">
        <v>1891</v>
      </c>
      <c r="I1684" t="s">
        <v>1840</v>
      </c>
      <c r="J1684" t="s">
        <v>5070</v>
      </c>
    </row>
    <row r="1685" spans="1:10" x14ac:dyDescent="0.2">
      <c r="A1685" t="s">
        <v>5069</v>
      </c>
      <c r="E1685" t="str">
        <f>HYPERLINK("http://nlpdeep.cs.uic.edu:8080/proofing/gsii/88005-findings-7-1.pdf","gsii/88005-findings-7-1.pdf")</f>
        <v>gsii/88005-findings-7-1.pdf</v>
      </c>
      <c r="F1685">
        <v>110002</v>
      </c>
      <c r="G1685">
        <v>88005</v>
      </c>
      <c r="H1685" t="s">
        <v>1891</v>
      </c>
      <c r="I1685" t="s">
        <v>1840</v>
      </c>
      <c r="J1685" t="s">
        <v>5070</v>
      </c>
    </row>
    <row r="1686" spans="1:10" x14ac:dyDescent="0.2">
      <c r="A1686" t="s">
        <v>5071</v>
      </c>
      <c r="E1686" t="str">
        <f>HYPERLINK("http://nlpdeep.cs.uic.edu:8080/proofing/t5/88005-findings-7-2.pdf","t5/88005-findings-7-2.pdf")</f>
        <v>t5/88005-findings-7-2.pdf</v>
      </c>
      <c r="F1686">
        <v>110002</v>
      </c>
      <c r="G1686">
        <v>88005</v>
      </c>
      <c r="H1686" t="s">
        <v>1891</v>
      </c>
      <c r="I1686" t="s">
        <v>1840</v>
      </c>
      <c r="J1686" t="s">
        <v>1961</v>
      </c>
    </row>
    <row r="1687" spans="1:10" x14ac:dyDescent="0.2">
      <c r="A1687" t="s">
        <v>5071</v>
      </c>
      <c r="E1687" t="str">
        <f>HYPERLINK("http://nlpdeep.cs.uic.edu:8080/proofing/gsii/88005-findings-7-2.pdf","gsii/88005-findings-7-2.pdf")</f>
        <v>gsii/88005-findings-7-2.pdf</v>
      </c>
      <c r="F1687">
        <v>110002</v>
      </c>
      <c r="G1687">
        <v>88005</v>
      </c>
      <c r="H1687" t="s">
        <v>1891</v>
      </c>
      <c r="I1687" t="s">
        <v>1840</v>
      </c>
      <c r="J1687" t="s">
        <v>1961</v>
      </c>
    </row>
    <row r="1688" spans="1:10" x14ac:dyDescent="0.2">
      <c r="A1688" t="s">
        <v>5072</v>
      </c>
      <c r="E1688" t="str">
        <f>HYPERLINK("http://nlpdeep.cs.uic.edu:8080/proofing/t5/88005-findings-7-3.pdf","t5/88005-findings-7-3.pdf")</f>
        <v>t5/88005-findings-7-3.pdf</v>
      </c>
      <c r="F1688">
        <v>110002</v>
      </c>
      <c r="G1688">
        <v>88005</v>
      </c>
      <c r="H1688" t="s">
        <v>1891</v>
      </c>
      <c r="I1688" t="s">
        <v>1840</v>
      </c>
      <c r="J1688" t="s">
        <v>5073</v>
      </c>
    </row>
    <row r="1689" spans="1:10" x14ac:dyDescent="0.2">
      <c r="A1689" t="s">
        <v>5072</v>
      </c>
      <c r="E1689" t="str">
        <f>HYPERLINK("http://nlpdeep.cs.uic.edu:8080/proofing/gsii/88005-findings-7-3.pdf","gsii/88005-findings-7-3.pdf")</f>
        <v>gsii/88005-findings-7-3.pdf</v>
      </c>
      <c r="F1689">
        <v>110002</v>
      </c>
      <c r="G1689">
        <v>88005</v>
      </c>
      <c r="H1689" t="s">
        <v>1891</v>
      </c>
      <c r="I1689" t="s">
        <v>1840</v>
      </c>
      <c r="J1689" t="s">
        <v>5073</v>
      </c>
    </row>
    <row r="1690" spans="1:10" x14ac:dyDescent="0.2">
      <c r="A1690" t="s">
        <v>5074</v>
      </c>
      <c r="E1690" t="str">
        <f>HYPERLINK("http://nlpdeep.cs.uic.edu:8080/proofing/t5/88005-findings-8-0.pdf","t5/88005-findings-8-0.pdf")</f>
        <v>t5/88005-findings-8-0.pdf</v>
      </c>
      <c r="F1690">
        <v>110002</v>
      </c>
      <c r="G1690">
        <v>88005</v>
      </c>
      <c r="H1690" t="s">
        <v>1891</v>
      </c>
      <c r="I1690" t="s">
        <v>1840</v>
      </c>
      <c r="J1690" t="s">
        <v>1967</v>
      </c>
    </row>
    <row r="1691" spans="1:10" x14ac:dyDescent="0.2">
      <c r="A1691" t="s">
        <v>5074</v>
      </c>
      <c r="E1691" t="str">
        <f>HYPERLINK("http://nlpdeep.cs.uic.edu:8080/proofing/gsii/88005-findings-8-0.pdf","gsii/88005-findings-8-0.pdf")</f>
        <v>gsii/88005-findings-8-0.pdf</v>
      </c>
      <c r="F1691">
        <v>110002</v>
      </c>
      <c r="G1691">
        <v>88005</v>
      </c>
      <c r="H1691" t="s">
        <v>1891</v>
      </c>
      <c r="I1691" t="s">
        <v>1840</v>
      </c>
      <c r="J1691" t="s">
        <v>1967</v>
      </c>
    </row>
    <row r="1692" spans="1:10" x14ac:dyDescent="0.2">
      <c r="A1692" t="s">
        <v>5075</v>
      </c>
      <c r="E1692" t="str">
        <f>HYPERLINK("http://nlpdeep.cs.uic.edu:8080/proofing/t5/88005-findings-8-1.pdf","t5/88005-findings-8-1.pdf")</f>
        <v>t5/88005-findings-8-1.pdf</v>
      </c>
      <c r="F1692">
        <v>110002</v>
      </c>
      <c r="G1692">
        <v>88005</v>
      </c>
      <c r="H1692" t="s">
        <v>1891</v>
      </c>
      <c r="I1692" t="s">
        <v>1840</v>
      </c>
      <c r="J1692" t="s">
        <v>1969</v>
      </c>
    </row>
    <row r="1693" spans="1:10" x14ac:dyDescent="0.2">
      <c r="A1693" t="s">
        <v>5075</v>
      </c>
      <c r="E1693" t="str">
        <f>HYPERLINK("http://nlpdeep.cs.uic.edu:8080/proofing/gsii/88005-findings-8-1.pdf","gsii/88005-findings-8-1.pdf")</f>
        <v>gsii/88005-findings-8-1.pdf</v>
      </c>
      <c r="F1693">
        <v>110002</v>
      </c>
      <c r="G1693">
        <v>88005</v>
      </c>
      <c r="H1693" t="s">
        <v>1891</v>
      </c>
      <c r="I1693" t="s">
        <v>1840</v>
      </c>
      <c r="J1693" t="s">
        <v>1969</v>
      </c>
    </row>
    <row r="1694" spans="1:10" x14ac:dyDescent="0.2">
      <c r="A1694" t="s">
        <v>5076</v>
      </c>
      <c r="E1694" t="str">
        <f>HYPERLINK("http://nlpdeep.cs.uic.edu:8080/proofing/t5/88005-findings-8-2.pdf","t5/88005-findings-8-2.pdf")</f>
        <v>t5/88005-findings-8-2.pdf</v>
      </c>
      <c r="F1694">
        <v>110002</v>
      </c>
      <c r="G1694">
        <v>88005</v>
      </c>
      <c r="H1694" t="s">
        <v>1891</v>
      </c>
      <c r="I1694" t="s">
        <v>1840</v>
      </c>
      <c r="J1694" t="s">
        <v>1971</v>
      </c>
    </row>
    <row r="1695" spans="1:10" x14ac:dyDescent="0.2">
      <c r="A1695" t="s">
        <v>5076</v>
      </c>
      <c r="E1695" t="str">
        <f>HYPERLINK("http://nlpdeep.cs.uic.edu:8080/proofing/gsii/88005-findings-8-2.pdf","gsii/88005-findings-8-2.pdf")</f>
        <v>gsii/88005-findings-8-2.pdf</v>
      </c>
      <c r="F1695">
        <v>110002</v>
      </c>
      <c r="G1695">
        <v>88005</v>
      </c>
      <c r="H1695" t="s">
        <v>1891</v>
      </c>
      <c r="I1695" t="s">
        <v>1840</v>
      </c>
      <c r="J1695" t="s">
        <v>1971</v>
      </c>
    </row>
    <row r="1696" spans="1:10" x14ac:dyDescent="0.2">
      <c r="A1696" t="s">
        <v>5077</v>
      </c>
      <c r="E1696" t="str">
        <f>HYPERLINK("http://nlpdeep.cs.uic.edu:8080/proofing/t5/88005-findings-8-3.pdf","t5/88005-findings-8-3.pdf")</f>
        <v>t5/88005-findings-8-3.pdf</v>
      </c>
      <c r="F1696">
        <v>110002</v>
      </c>
      <c r="G1696">
        <v>88005</v>
      </c>
      <c r="H1696" t="s">
        <v>1891</v>
      </c>
      <c r="I1696" t="s">
        <v>1840</v>
      </c>
      <c r="J1696" t="s">
        <v>5078</v>
      </c>
    </row>
    <row r="1697" spans="1:10" x14ac:dyDescent="0.2">
      <c r="A1697" t="s">
        <v>5077</v>
      </c>
      <c r="E1697" t="str">
        <f>HYPERLINK("http://nlpdeep.cs.uic.edu:8080/proofing/gsii/88005-findings-8-3.pdf","gsii/88005-findings-8-3.pdf")</f>
        <v>gsii/88005-findings-8-3.pdf</v>
      </c>
      <c r="F1697">
        <v>110002</v>
      </c>
      <c r="G1697">
        <v>88005</v>
      </c>
      <c r="H1697" t="s">
        <v>1891</v>
      </c>
      <c r="I1697" t="s">
        <v>1840</v>
      </c>
      <c r="J1697" t="s">
        <v>5078</v>
      </c>
    </row>
    <row r="1698" spans="1:10" x14ac:dyDescent="0.2">
      <c r="A1698" t="s">
        <v>5079</v>
      </c>
      <c r="E1698" t="str">
        <f>HYPERLINK("http://nlpdeep.cs.uic.edu:8080/proofing/t5/88005-findings-9-0.pdf","t5/88005-findings-9-0.pdf")</f>
        <v>t5/88005-findings-9-0.pdf</v>
      </c>
      <c r="F1698">
        <v>110002</v>
      </c>
      <c r="G1698">
        <v>88005</v>
      </c>
      <c r="H1698" t="s">
        <v>1891</v>
      </c>
      <c r="I1698" t="s">
        <v>1840</v>
      </c>
      <c r="J1698" t="s">
        <v>3868</v>
      </c>
    </row>
    <row r="1699" spans="1:10" x14ac:dyDescent="0.2">
      <c r="A1699" t="s">
        <v>5079</v>
      </c>
      <c r="E1699" t="str">
        <f>HYPERLINK("http://nlpdeep.cs.uic.edu:8080/proofing/gsii/88005-findings-9-0.pdf","gsii/88005-findings-9-0.pdf")</f>
        <v>gsii/88005-findings-9-0.pdf</v>
      </c>
      <c r="F1699">
        <v>110002</v>
      </c>
      <c r="G1699">
        <v>88005</v>
      </c>
      <c r="H1699" t="s">
        <v>1891</v>
      </c>
      <c r="I1699" t="s">
        <v>1840</v>
      </c>
      <c r="J1699" t="s">
        <v>3868</v>
      </c>
    </row>
    <row r="1700" spans="1:10" x14ac:dyDescent="0.2">
      <c r="A1700" t="s">
        <v>5080</v>
      </c>
      <c r="E1700" t="str">
        <f>HYPERLINK("http://nlpdeep.cs.uic.edu:8080/proofing/t5/88005-findings-10-0.pdf","t5/88005-findings-10-0.pdf")</f>
        <v>t5/88005-findings-10-0.pdf</v>
      </c>
      <c r="F1700">
        <v>110002</v>
      </c>
      <c r="G1700">
        <v>88005</v>
      </c>
      <c r="H1700" t="s">
        <v>1891</v>
      </c>
      <c r="I1700" t="s">
        <v>1840</v>
      </c>
      <c r="J1700" t="s">
        <v>5081</v>
      </c>
    </row>
    <row r="1701" spans="1:10" x14ac:dyDescent="0.2">
      <c r="A1701" t="s">
        <v>5080</v>
      </c>
      <c r="E1701" t="str">
        <f>HYPERLINK("http://nlpdeep.cs.uic.edu:8080/proofing/gsii/88005-findings-10-0.pdf","gsii/88005-findings-10-0.pdf")</f>
        <v>gsii/88005-findings-10-0.pdf</v>
      </c>
      <c r="F1701">
        <v>110002</v>
      </c>
      <c r="G1701">
        <v>88005</v>
      </c>
      <c r="H1701" t="s">
        <v>1891</v>
      </c>
      <c r="I1701" t="s">
        <v>1840</v>
      </c>
      <c r="J1701" t="s">
        <v>5081</v>
      </c>
    </row>
    <row r="1702" spans="1:10" x14ac:dyDescent="0.2">
      <c r="A1702" t="s">
        <v>5082</v>
      </c>
      <c r="E1702" t="str">
        <f>HYPERLINK("http://nlpdeep.cs.uic.edu:8080/proofing/t5/88005-conclusions-0-0.pdf","t5/88005-conclusions-0-0.pdf")</f>
        <v>t5/88005-conclusions-0-0.pdf</v>
      </c>
      <c r="F1702">
        <v>110002</v>
      </c>
      <c r="G1702">
        <v>88005</v>
      </c>
      <c r="H1702" t="s">
        <v>1891</v>
      </c>
      <c r="I1702" t="s">
        <v>1979</v>
      </c>
      <c r="J1702" t="s">
        <v>5083</v>
      </c>
    </row>
    <row r="1703" spans="1:10" x14ac:dyDescent="0.2">
      <c r="A1703" t="s">
        <v>5082</v>
      </c>
      <c r="E1703" t="str">
        <f>HYPERLINK("http://nlpdeep.cs.uic.edu:8080/proofing/gsii/88005-conclusions-0-0.pdf","gsii/88005-conclusions-0-0.pdf")</f>
        <v>gsii/88005-conclusions-0-0.pdf</v>
      </c>
      <c r="F1703">
        <v>110002</v>
      </c>
      <c r="G1703">
        <v>88005</v>
      </c>
      <c r="H1703" t="s">
        <v>1891</v>
      </c>
      <c r="I1703" t="s">
        <v>1979</v>
      </c>
      <c r="J1703" t="s">
        <v>5083</v>
      </c>
    </row>
    <row r="1704" spans="1:10" x14ac:dyDescent="0.2">
      <c r="A1704" t="s">
        <v>5084</v>
      </c>
      <c r="E1704" t="str">
        <f>HYPERLINK("http://nlpdeep.cs.uic.edu:8080/proofing/t5/88005-conclusions-0-1.pdf","t5/88005-conclusions-0-1.pdf")</f>
        <v>t5/88005-conclusions-0-1.pdf</v>
      </c>
      <c r="F1704">
        <v>110002</v>
      </c>
      <c r="G1704">
        <v>88005</v>
      </c>
      <c r="H1704" t="s">
        <v>1891</v>
      </c>
      <c r="I1704" t="s">
        <v>1979</v>
      </c>
      <c r="J1704" t="s">
        <v>5085</v>
      </c>
    </row>
    <row r="1705" spans="1:10" x14ac:dyDescent="0.2">
      <c r="A1705" t="s">
        <v>5084</v>
      </c>
      <c r="E1705" t="str">
        <f>HYPERLINK("http://nlpdeep.cs.uic.edu:8080/proofing/gsii/88005-conclusions-0-1.pdf","gsii/88005-conclusions-0-1.pdf")</f>
        <v>gsii/88005-conclusions-0-1.pdf</v>
      </c>
      <c r="F1705">
        <v>110002</v>
      </c>
      <c r="G1705">
        <v>88005</v>
      </c>
      <c r="H1705" t="s">
        <v>1891</v>
      </c>
      <c r="I1705" t="s">
        <v>1979</v>
      </c>
      <c r="J1705" t="s">
        <v>5085</v>
      </c>
    </row>
    <row r="1706" spans="1:10" x14ac:dyDescent="0.2">
      <c r="A1706" t="s">
        <v>5086</v>
      </c>
      <c r="E1706" t="str">
        <f>HYPERLINK("http://nlpdeep.cs.uic.edu:8080/proofing/t5/88005-conclusions-0-2.pdf","t5/88005-conclusions-0-2.pdf")</f>
        <v>t5/88005-conclusions-0-2.pdf</v>
      </c>
      <c r="F1706">
        <v>110002</v>
      </c>
      <c r="G1706">
        <v>88005</v>
      </c>
      <c r="H1706" t="s">
        <v>1891</v>
      </c>
      <c r="I1706" t="s">
        <v>1979</v>
      </c>
      <c r="J1706" t="s">
        <v>5087</v>
      </c>
    </row>
    <row r="1707" spans="1:10" x14ac:dyDescent="0.2">
      <c r="A1707" t="s">
        <v>5086</v>
      </c>
      <c r="E1707" t="str">
        <f>HYPERLINK("http://nlpdeep.cs.uic.edu:8080/proofing/gsii/88005-conclusions-0-2.pdf","gsii/88005-conclusions-0-2.pdf")</f>
        <v>gsii/88005-conclusions-0-2.pdf</v>
      </c>
      <c r="F1707">
        <v>110002</v>
      </c>
      <c r="G1707">
        <v>88005</v>
      </c>
      <c r="H1707" t="s">
        <v>1891</v>
      </c>
      <c r="I1707" t="s">
        <v>1979</v>
      </c>
      <c r="J1707" t="s">
        <v>5087</v>
      </c>
    </row>
    <row r="1708" spans="1:10" x14ac:dyDescent="0.2">
      <c r="A1708" t="s">
        <v>5088</v>
      </c>
      <c r="E1708" t="str">
        <f>HYPERLINK("http://nlpdeep.cs.uic.edu:8080/proofing/t5/88005-conclusions-0-3.pdf","t5/88005-conclusions-0-3.pdf")</f>
        <v>t5/88005-conclusions-0-3.pdf</v>
      </c>
      <c r="F1708">
        <v>110002</v>
      </c>
      <c r="G1708">
        <v>88005</v>
      </c>
      <c r="H1708" t="s">
        <v>1891</v>
      </c>
      <c r="I1708" t="s">
        <v>1979</v>
      </c>
      <c r="J1708" t="s">
        <v>3877</v>
      </c>
    </row>
    <row r="1709" spans="1:10" x14ac:dyDescent="0.2">
      <c r="A1709" t="s">
        <v>5088</v>
      </c>
      <c r="E1709" t="str">
        <f>HYPERLINK("http://nlpdeep.cs.uic.edu:8080/proofing/gsii/88005-conclusions-0-3.pdf","gsii/88005-conclusions-0-3.pdf")</f>
        <v>gsii/88005-conclusions-0-3.pdf</v>
      </c>
      <c r="F1709">
        <v>110002</v>
      </c>
      <c r="G1709">
        <v>88005</v>
      </c>
      <c r="H1709" t="s">
        <v>1891</v>
      </c>
      <c r="I1709" t="s">
        <v>1979</v>
      </c>
      <c r="J1709" t="s">
        <v>3877</v>
      </c>
    </row>
    <row r="1710" spans="1:10" x14ac:dyDescent="0.2">
      <c r="A1710" t="s">
        <v>5089</v>
      </c>
      <c r="E1710" t="str">
        <f>HYPERLINK("http://nlpdeep.cs.uic.edu:8080/proofing/t5/88005-conclusions-0-4.pdf","t5/88005-conclusions-0-4.pdf")</f>
        <v>t5/88005-conclusions-0-4.pdf</v>
      </c>
      <c r="F1710">
        <v>110002</v>
      </c>
      <c r="G1710">
        <v>88005</v>
      </c>
      <c r="H1710" t="s">
        <v>1891</v>
      </c>
      <c r="I1710" t="s">
        <v>1979</v>
      </c>
      <c r="J1710" t="s">
        <v>5090</v>
      </c>
    </row>
    <row r="1711" spans="1:10" x14ac:dyDescent="0.2">
      <c r="A1711" t="s">
        <v>5089</v>
      </c>
      <c r="E1711" t="str">
        <f>HYPERLINK("http://nlpdeep.cs.uic.edu:8080/proofing/gsii/88005-conclusions-0-4.pdf","gsii/88005-conclusions-0-4.pdf")</f>
        <v>gsii/88005-conclusions-0-4.pdf</v>
      </c>
      <c r="F1711">
        <v>110002</v>
      </c>
      <c r="G1711">
        <v>88005</v>
      </c>
      <c r="H1711" t="s">
        <v>1891</v>
      </c>
      <c r="I1711" t="s">
        <v>1979</v>
      </c>
      <c r="J1711" t="s">
        <v>5090</v>
      </c>
    </row>
    <row r="1712" spans="1:10" x14ac:dyDescent="0.2">
      <c r="A1712" t="s">
        <v>5091</v>
      </c>
      <c r="E1712" t="str">
        <f>HYPERLINK("http://nlpdeep.cs.uic.edu:8080/proofing/t5/88005-conclusions-0-5.pdf","t5/88005-conclusions-0-5.pdf")</f>
        <v>t5/88005-conclusions-0-5.pdf</v>
      </c>
      <c r="F1712">
        <v>110002</v>
      </c>
      <c r="G1712">
        <v>88005</v>
      </c>
      <c r="H1712" t="s">
        <v>1891</v>
      </c>
      <c r="I1712" t="s">
        <v>1979</v>
      </c>
      <c r="J1712" t="s">
        <v>5092</v>
      </c>
    </row>
    <row r="1713" spans="1:10" x14ac:dyDescent="0.2">
      <c r="A1713" t="s">
        <v>5091</v>
      </c>
      <c r="E1713" t="str">
        <f>HYPERLINK("http://nlpdeep.cs.uic.edu:8080/proofing/gsii/88005-conclusions-0-5.pdf","gsii/88005-conclusions-0-5.pdf")</f>
        <v>gsii/88005-conclusions-0-5.pdf</v>
      </c>
      <c r="F1713">
        <v>110002</v>
      </c>
      <c r="G1713">
        <v>88005</v>
      </c>
      <c r="H1713" t="s">
        <v>1891</v>
      </c>
      <c r="I1713" t="s">
        <v>1979</v>
      </c>
      <c r="J1713" t="s">
        <v>5092</v>
      </c>
    </row>
    <row r="1714" spans="1:10" x14ac:dyDescent="0.2">
      <c r="A1714" t="s">
        <v>5093</v>
      </c>
      <c r="E1714" t="str">
        <f>HYPERLINK("http://nlpdeep.cs.uic.edu:8080/proofing/t5/88005-conclusions-0-6.pdf","t5/88005-conclusions-0-6.pdf")</f>
        <v>t5/88005-conclusions-0-6.pdf</v>
      </c>
      <c r="F1714">
        <v>110002</v>
      </c>
      <c r="G1714">
        <v>88005</v>
      </c>
      <c r="H1714" t="s">
        <v>1891</v>
      </c>
      <c r="I1714" t="s">
        <v>1979</v>
      </c>
      <c r="J1714" t="s">
        <v>5094</v>
      </c>
    </row>
    <row r="1715" spans="1:10" x14ac:dyDescent="0.2">
      <c r="A1715" t="s">
        <v>5093</v>
      </c>
      <c r="E1715" t="str">
        <f>HYPERLINK("http://nlpdeep.cs.uic.edu:8080/proofing/gsii/88005-conclusions-0-6.pdf","gsii/88005-conclusions-0-6.pdf")</f>
        <v>gsii/88005-conclusions-0-6.pdf</v>
      </c>
      <c r="F1715">
        <v>110002</v>
      </c>
      <c r="G1715">
        <v>88005</v>
      </c>
      <c r="H1715" t="s">
        <v>1891</v>
      </c>
      <c r="I1715" t="s">
        <v>1979</v>
      </c>
      <c r="J1715" t="s">
        <v>5094</v>
      </c>
    </row>
    <row r="1716" spans="1:10" x14ac:dyDescent="0.2">
      <c r="A1716" t="s">
        <v>5095</v>
      </c>
      <c r="E1716" t="str">
        <f>HYPERLINK("http://nlpdeep.cs.uic.edu:8080/proofing/t5/88005-conclusions-0-7.pdf","t5/88005-conclusions-0-7.pdf")</f>
        <v>t5/88005-conclusions-0-7.pdf</v>
      </c>
      <c r="F1716">
        <v>110002</v>
      </c>
      <c r="G1716">
        <v>88005</v>
      </c>
      <c r="H1716" t="s">
        <v>1891</v>
      </c>
      <c r="I1716" t="s">
        <v>1979</v>
      </c>
      <c r="J1716" t="s">
        <v>5096</v>
      </c>
    </row>
    <row r="1717" spans="1:10" x14ac:dyDescent="0.2">
      <c r="A1717" t="s">
        <v>5095</v>
      </c>
      <c r="E1717" t="str">
        <f>HYPERLINK("http://nlpdeep.cs.uic.edu:8080/proofing/gsii/88005-conclusions-0-7.pdf","gsii/88005-conclusions-0-7.pdf")</f>
        <v>gsii/88005-conclusions-0-7.pdf</v>
      </c>
      <c r="F1717">
        <v>110002</v>
      </c>
      <c r="G1717">
        <v>88005</v>
      </c>
      <c r="H1717" t="s">
        <v>1891</v>
      </c>
      <c r="I1717" t="s">
        <v>1979</v>
      </c>
      <c r="J1717" t="s">
        <v>5096</v>
      </c>
    </row>
    <row r="1718" spans="1:10" x14ac:dyDescent="0.2">
      <c r="A1718" t="s">
        <v>5097</v>
      </c>
      <c r="E1718" t="str">
        <f>HYPERLINK("http://nlpdeep.cs.uic.edu:8080/proofing/t5/88005-conclusions-0-8.pdf","t5/88005-conclusions-0-8.pdf")</f>
        <v>t5/88005-conclusions-0-8.pdf</v>
      </c>
      <c r="F1718">
        <v>110002</v>
      </c>
      <c r="G1718">
        <v>88005</v>
      </c>
      <c r="H1718" t="s">
        <v>1891</v>
      </c>
      <c r="I1718" t="s">
        <v>1979</v>
      </c>
      <c r="J1718" t="s">
        <v>5098</v>
      </c>
    </row>
    <row r="1719" spans="1:10" x14ac:dyDescent="0.2">
      <c r="A1719" t="s">
        <v>5097</v>
      </c>
      <c r="E1719" t="str">
        <f>HYPERLINK("http://nlpdeep.cs.uic.edu:8080/proofing/gsii/88005-conclusions-0-8.pdf","gsii/88005-conclusions-0-8.pdf")</f>
        <v>gsii/88005-conclusions-0-8.pdf</v>
      </c>
      <c r="F1719">
        <v>110002</v>
      </c>
      <c r="G1719">
        <v>88005</v>
      </c>
      <c r="H1719" t="s">
        <v>1891</v>
      </c>
      <c r="I1719" t="s">
        <v>1979</v>
      </c>
      <c r="J1719" t="s">
        <v>5098</v>
      </c>
    </row>
    <row r="1720" spans="1:10" x14ac:dyDescent="0.2">
      <c r="A1720" t="s">
        <v>5099</v>
      </c>
      <c r="E1720" t="str">
        <f>HYPERLINK("http://nlpdeep.cs.uic.edu:8080/proofing/t5/88005-conclusions-0-9.pdf","t5/88005-conclusions-0-9.pdf")</f>
        <v>t5/88005-conclusions-0-9.pdf</v>
      </c>
      <c r="F1720">
        <v>110002</v>
      </c>
      <c r="G1720">
        <v>88005</v>
      </c>
      <c r="H1720" t="s">
        <v>1891</v>
      </c>
      <c r="I1720" t="s">
        <v>1979</v>
      </c>
      <c r="J1720" t="s">
        <v>5100</v>
      </c>
    </row>
    <row r="1721" spans="1:10" x14ac:dyDescent="0.2">
      <c r="A1721" t="s">
        <v>5099</v>
      </c>
      <c r="E1721" t="str">
        <f>HYPERLINK("http://nlpdeep.cs.uic.edu:8080/proofing/gsii/88005-conclusions-0-9.pdf","gsii/88005-conclusions-0-9.pdf")</f>
        <v>gsii/88005-conclusions-0-9.pdf</v>
      </c>
      <c r="F1721">
        <v>110002</v>
      </c>
      <c r="G1721">
        <v>88005</v>
      </c>
      <c r="H1721" t="s">
        <v>1891</v>
      </c>
      <c r="I1721" t="s">
        <v>1979</v>
      </c>
      <c r="J1721" t="s">
        <v>5100</v>
      </c>
    </row>
    <row r="1722" spans="1:10" x14ac:dyDescent="0.2">
      <c r="A1722" t="s">
        <v>5101</v>
      </c>
      <c r="E1722" t="str">
        <f>HYPERLINK("http://nlpdeep.cs.uic.edu:8080/proofing/t5/88005-conclusions-0-10.pdf","t5/88005-conclusions-0-10.pdf")</f>
        <v>t5/88005-conclusions-0-10.pdf</v>
      </c>
      <c r="F1722">
        <v>110002</v>
      </c>
      <c r="G1722">
        <v>88005</v>
      </c>
      <c r="H1722" t="s">
        <v>1891</v>
      </c>
      <c r="I1722" t="s">
        <v>1979</v>
      </c>
      <c r="J1722" t="s">
        <v>5102</v>
      </c>
    </row>
    <row r="1723" spans="1:10" x14ac:dyDescent="0.2">
      <c r="A1723" t="s">
        <v>5101</v>
      </c>
      <c r="E1723" t="str">
        <f>HYPERLINK("http://nlpdeep.cs.uic.edu:8080/proofing/gsii/88005-conclusions-0-10.pdf","gsii/88005-conclusions-0-10.pdf")</f>
        <v>gsii/88005-conclusions-0-10.pdf</v>
      </c>
      <c r="F1723">
        <v>110002</v>
      </c>
      <c r="G1723">
        <v>88005</v>
      </c>
      <c r="H1723" t="s">
        <v>1891</v>
      </c>
      <c r="I1723" t="s">
        <v>1979</v>
      </c>
      <c r="J1723" t="s">
        <v>5102</v>
      </c>
    </row>
    <row r="1724" spans="1:10" x14ac:dyDescent="0.2">
      <c r="A1724" t="s">
        <v>5103</v>
      </c>
      <c r="E1724" t="str">
        <f>HYPERLINK("http://nlpdeep.cs.uic.edu:8080/proofing/t5/88005-conclusions-0-11.pdf","t5/88005-conclusions-0-11.pdf")</f>
        <v>t5/88005-conclusions-0-11.pdf</v>
      </c>
      <c r="F1724">
        <v>110002</v>
      </c>
      <c r="G1724">
        <v>88005</v>
      </c>
      <c r="H1724" t="s">
        <v>1891</v>
      </c>
      <c r="I1724" t="s">
        <v>1979</v>
      </c>
      <c r="J1724" t="s">
        <v>5104</v>
      </c>
    </row>
    <row r="1725" spans="1:10" x14ac:dyDescent="0.2">
      <c r="A1725" t="s">
        <v>5103</v>
      </c>
      <c r="E1725" t="str">
        <f>HYPERLINK("http://nlpdeep.cs.uic.edu:8080/proofing/gsii/88005-conclusions-0-11.pdf","gsii/88005-conclusions-0-11.pdf")</f>
        <v>gsii/88005-conclusions-0-11.pdf</v>
      </c>
      <c r="F1725">
        <v>110002</v>
      </c>
      <c r="G1725">
        <v>88005</v>
      </c>
      <c r="H1725" t="s">
        <v>1891</v>
      </c>
      <c r="I1725" t="s">
        <v>1979</v>
      </c>
      <c r="J1725" t="s">
        <v>5104</v>
      </c>
    </row>
    <row r="1726" spans="1:10" x14ac:dyDescent="0.2">
      <c r="A1726" t="s">
        <v>5105</v>
      </c>
      <c r="E1726" t="str">
        <f>HYPERLINK("http://nlpdeep.cs.uic.edu:8080/proofing/t5/88005-conclusions-0-12.pdf","t5/88005-conclusions-0-12.pdf")</f>
        <v>t5/88005-conclusions-0-12.pdf</v>
      </c>
      <c r="F1726">
        <v>110002</v>
      </c>
      <c r="G1726">
        <v>88005</v>
      </c>
      <c r="H1726" t="s">
        <v>1891</v>
      </c>
      <c r="I1726" t="s">
        <v>1979</v>
      </c>
      <c r="J1726" t="s">
        <v>5106</v>
      </c>
    </row>
    <row r="1727" spans="1:10" x14ac:dyDescent="0.2">
      <c r="A1727" t="s">
        <v>5105</v>
      </c>
      <c r="E1727" t="str">
        <f>HYPERLINK("http://nlpdeep.cs.uic.edu:8080/proofing/gsii/88005-conclusions-0-12.pdf","gsii/88005-conclusions-0-12.pdf")</f>
        <v>gsii/88005-conclusions-0-12.pdf</v>
      </c>
      <c r="F1727">
        <v>110002</v>
      </c>
      <c r="G1727">
        <v>88005</v>
      </c>
      <c r="H1727" t="s">
        <v>1891</v>
      </c>
      <c r="I1727" t="s">
        <v>1979</v>
      </c>
      <c r="J1727" t="s">
        <v>5106</v>
      </c>
    </row>
    <row r="1728" spans="1:10" x14ac:dyDescent="0.2">
      <c r="A1728" t="s">
        <v>5107</v>
      </c>
      <c r="E1728" t="str">
        <f>HYPERLINK("http://nlpdeep.cs.uic.edu:8080/proofing/t5/88005-conclusions-0-13.pdf","t5/88005-conclusions-0-13.pdf")</f>
        <v>t5/88005-conclusions-0-13.pdf</v>
      </c>
      <c r="F1728">
        <v>110002</v>
      </c>
      <c r="G1728">
        <v>88005</v>
      </c>
      <c r="H1728" t="s">
        <v>1891</v>
      </c>
      <c r="I1728" t="s">
        <v>1979</v>
      </c>
      <c r="J1728" t="s">
        <v>2016</v>
      </c>
    </row>
    <row r="1729" spans="1:10" x14ac:dyDescent="0.2">
      <c r="A1729" t="s">
        <v>5107</v>
      </c>
      <c r="E1729" t="str">
        <f>HYPERLINK("http://nlpdeep.cs.uic.edu:8080/proofing/gsii/88005-conclusions-0-13.pdf","gsii/88005-conclusions-0-13.pdf")</f>
        <v>gsii/88005-conclusions-0-13.pdf</v>
      </c>
      <c r="F1729">
        <v>110002</v>
      </c>
      <c r="G1729">
        <v>88005</v>
      </c>
      <c r="H1729" t="s">
        <v>1891</v>
      </c>
      <c r="I1729" t="s">
        <v>1979</v>
      </c>
      <c r="J1729" t="s">
        <v>2016</v>
      </c>
    </row>
    <row r="1730" spans="1:10" x14ac:dyDescent="0.2">
      <c r="A1730" t="s">
        <v>5108</v>
      </c>
      <c r="E1730" t="str">
        <f>HYPERLINK("http://nlpdeep.cs.uic.edu:8080/proofing/t5/323171-chief-complaint-0-0.pdf","t5/323171-chief-complaint-0-0.pdf")</f>
        <v>t5/323171-chief-complaint-0-0.pdf</v>
      </c>
      <c r="F1730">
        <v>146230</v>
      </c>
      <c r="G1730">
        <v>323171</v>
      </c>
      <c r="H1730" t="s">
        <v>9</v>
      </c>
      <c r="I1730" t="s">
        <v>10</v>
      </c>
      <c r="J1730" t="s">
        <v>5109</v>
      </c>
    </row>
    <row r="1731" spans="1:10" x14ac:dyDescent="0.2">
      <c r="A1731" t="s">
        <v>5108</v>
      </c>
      <c r="E1731" t="str">
        <f>HYPERLINK("http://nlpdeep.cs.uic.edu:8080/proofing/gsii/323171-chief-complaint-0-0.pdf","gsii/323171-chief-complaint-0-0.pdf")</f>
        <v>gsii/323171-chief-complaint-0-0.pdf</v>
      </c>
      <c r="F1731">
        <v>146230</v>
      </c>
      <c r="G1731">
        <v>323171</v>
      </c>
      <c r="H1731" t="s">
        <v>9</v>
      </c>
      <c r="I1731" t="s">
        <v>10</v>
      </c>
      <c r="J1731" t="s">
        <v>5109</v>
      </c>
    </row>
    <row r="1732" spans="1:10" x14ac:dyDescent="0.2">
      <c r="A1732" t="s">
        <v>5110</v>
      </c>
      <c r="E1732" t="str">
        <f>HYPERLINK("http://nlpdeep.cs.uic.edu:8080/proofing/t5/323171-history-of-present-illness-0-0.pdf","t5/323171-history-of-present-illness-0-0.pdf")</f>
        <v>t5/323171-history-of-present-illness-0-0.pdf</v>
      </c>
      <c r="F1732">
        <v>146230</v>
      </c>
      <c r="G1732">
        <v>323171</v>
      </c>
      <c r="H1732" t="s">
        <v>9</v>
      </c>
      <c r="I1732" t="s">
        <v>13</v>
      </c>
      <c r="J1732" t="s">
        <v>5111</v>
      </c>
    </row>
    <row r="1733" spans="1:10" x14ac:dyDescent="0.2">
      <c r="A1733" t="s">
        <v>5110</v>
      </c>
      <c r="E1733" t="str">
        <f>HYPERLINK("http://nlpdeep.cs.uic.edu:8080/proofing/gsii/323171-history-of-present-illness-0-0.pdf","gsii/323171-history-of-present-illness-0-0.pdf")</f>
        <v>gsii/323171-history-of-present-illness-0-0.pdf</v>
      </c>
      <c r="F1733">
        <v>146230</v>
      </c>
      <c r="G1733">
        <v>323171</v>
      </c>
      <c r="H1733" t="s">
        <v>9</v>
      </c>
      <c r="I1733" t="s">
        <v>13</v>
      </c>
      <c r="J1733" t="s">
        <v>5111</v>
      </c>
    </row>
    <row r="1734" spans="1:10" x14ac:dyDescent="0.2">
      <c r="A1734" t="s">
        <v>5112</v>
      </c>
      <c r="E1734" t="str">
        <f>HYPERLINK("http://nlpdeep.cs.uic.edu:8080/proofing/t5/323171-history-of-present-illness-0-1.pdf","t5/323171-history-of-present-illness-0-1.pdf")</f>
        <v>t5/323171-history-of-present-illness-0-1.pdf</v>
      </c>
      <c r="F1734">
        <v>146230</v>
      </c>
      <c r="G1734">
        <v>323171</v>
      </c>
      <c r="H1734" t="s">
        <v>9</v>
      </c>
      <c r="I1734" t="s">
        <v>13</v>
      </c>
      <c r="J1734" t="s">
        <v>5113</v>
      </c>
    </row>
    <row r="1735" spans="1:10" x14ac:dyDescent="0.2">
      <c r="A1735" t="s">
        <v>5112</v>
      </c>
      <c r="E1735" t="str">
        <f>HYPERLINK("http://nlpdeep.cs.uic.edu:8080/proofing/gsii/323171-history-of-present-illness-0-1.pdf","gsii/323171-history-of-present-illness-0-1.pdf")</f>
        <v>gsii/323171-history-of-present-illness-0-1.pdf</v>
      </c>
      <c r="F1735">
        <v>146230</v>
      </c>
      <c r="G1735">
        <v>323171</v>
      </c>
      <c r="H1735" t="s">
        <v>9</v>
      </c>
      <c r="I1735" t="s">
        <v>13</v>
      </c>
      <c r="J1735" t="s">
        <v>5113</v>
      </c>
    </row>
    <row r="1736" spans="1:10" x14ac:dyDescent="0.2">
      <c r="A1736" t="s">
        <v>5114</v>
      </c>
      <c r="E1736" t="str">
        <f>HYPERLINK("http://nlpdeep.cs.uic.edu:8080/proofing/t5/323171-history-of-present-illness-0-2.pdf","t5/323171-history-of-present-illness-0-2.pdf")</f>
        <v>t5/323171-history-of-present-illness-0-2.pdf</v>
      </c>
      <c r="F1736">
        <v>146230</v>
      </c>
      <c r="G1736">
        <v>323171</v>
      </c>
      <c r="H1736" t="s">
        <v>9</v>
      </c>
      <c r="I1736" t="s">
        <v>13</v>
      </c>
      <c r="J1736" t="s">
        <v>5115</v>
      </c>
    </row>
    <row r="1737" spans="1:10" x14ac:dyDescent="0.2">
      <c r="A1737" t="s">
        <v>5114</v>
      </c>
      <c r="E1737" t="str">
        <f>HYPERLINK("http://nlpdeep.cs.uic.edu:8080/proofing/gsii/323171-history-of-present-illness-0-2.pdf","gsii/323171-history-of-present-illness-0-2.pdf")</f>
        <v>gsii/323171-history-of-present-illness-0-2.pdf</v>
      </c>
      <c r="F1737">
        <v>146230</v>
      </c>
      <c r="G1737">
        <v>323171</v>
      </c>
      <c r="H1737" t="s">
        <v>9</v>
      </c>
      <c r="I1737" t="s">
        <v>13</v>
      </c>
      <c r="J1737" t="s">
        <v>5115</v>
      </c>
    </row>
    <row r="1738" spans="1:10" x14ac:dyDescent="0.2">
      <c r="A1738" t="s">
        <v>5116</v>
      </c>
      <c r="E1738" t="str">
        <f>HYPERLINK("http://nlpdeep.cs.uic.edu:8080/proofing/t5/323171-history-of-present-illness-0-3.pdf","t5/323171-history-of-present-illness-0-3.pdf")</f>
        <v>t5/323171-history-of-present-illness-0-3.pdf</v>
      </c>
      <c r="F1738">
        <v>146230</v>
      </c>
      <c r="G1738">
        <v>323171</v>
      </c>
      <c r="H1738" t="s">
        <v>9</v>
      </c>
      <c r="I1738" t="s">
        <v>13</v>
      </c>
      <c r="J1738" t="s">
        <v>5117</v>
      </c>
    </row>
    <row r="1739" spans="1:10" x14ac:dyDescent="0.2">
      <c r="A1739" t="s">
        <v>5116</v>
      </c>
      <c r="E1739" t="str">
        <f>HYPERLINK("http://nlpdeep.cs.uic.edu:8080/proofing/gsii/323171-history-of-present-illness-0-3.pdf","gsii/323171-history-of-present-illness-0-3.pdf")</f>
        <v>gsii/323171-history-of-present-illness-0-3.pdf</v>
      </c>
      <c r="F1739">
        <v>146230</v>
      </c>
      <c r="G1739">
        <v>323171</v>
      </c>
      <c r="H1739" t="s">
        <v>9</v>
      </c>
      <c r="I1739" t="s">
        <v>13</v>
      </c>
      <c r="J1739" t="s">
        <v>5117</v>
      </c>
    </row>
    <row r="1740" spans="1:10" x14ac:dyDescent="0.2">
      <c r="A1740" t="s">
        <v>5118</v>
      </c>
      <c r="E1740" t="str">
        <f>HYPERLINK("http://nlpdeep.cs.uic.edu:8080/proofing/t5/323171-history-of-present-illness-0-4.pdf","t5/323171-history-of-present-illness-0-4.pdf")</f>
        <v>t5/323171-history-of-present-illness-0-4.pdf</v>
      </c>
      <c r="F1740">
        <v>146230</v>
      </c>
      <c r="G1740">
        <v>323171</v>
      </c>
      <c r="H1740" t="s">
        <v>9</v>
      </c>
      <c r="I1740" t="s">
        <v>13</v>
      </c>
      <c r="J1740" t="s">
        <v>5119</v>
      </c>
    </row>
    <row r="1741" spans="1:10" x14ac:dyDescent="0.2">
      <c r="A1741" t="s">
        <v>5118</v>
      </c>
      <c r="E1741" t="str">
        <f>HYPERLINK("http://nlpdeep.cs.uic.edu:8080/proofing/gsii/323171-history-of-present-illness-0-4.pdf","gsii/323171-history-of-present-illness-0-4.pdf")</f>
        <v>gsii/323171-history-of-present-illness-0-4.pdf</v>
      </c>
      <c r="F1741">
        <v>146230</v>
      </c>
      <c r="G1741">
        <v>323171</v>
      </c>
      <c r="H1741" t="s">
        <v>9</v>
      </c>
      <c r="I1741" t="s">
        <v>13</v>
      </c>
      <c r="J1741" t="s">
        <v>5119</v>
      </c>
    </row>
    <row r="1742" spans="1:10" x14ac:dyDescent="0.2">
      <c r="A1742" t="s">
        <v>5120</v>
      </c>
      <c r="E1742" t="str">
        <f>HYPERLINK("http://nlpdeep.cs.uic.edu:8080/proofing/t5/323171-history-of-present-illness-0-5.pdf","t5/323171-history-of-present-illness-0-5.pdf")</f>
        <v>t5/323171-history-of-present-illness-0-5.pdf</v>
      </c>
      <c r="F1742">
        <v>146230</v>
      </c>
      <c r="G1742">
        <v>323171</v>
      </c>
      <c r="H1742" t="s">
        <v>9</v>
      </c>
      <c r="I1742" t="s">
        <v>13</v>
      </c>
      <c r="J1742" t="s">
        <v>5121</v>
      </c>
    </row>
    <row r="1743" spans="1:10" x14ac:dyDescent="0.2">
      <c r="A1743" t="s">
        <v>5120</v>
      </c>
      <c r="E1743" t="str">
        <f>HYPERLINK("http://nlpdeep.cs.uic.edu:8080/proofing/gsii/323171-history-of-present-illness-0-5.pdf","gsii/323171-history-of-present-illness-0-5.pdf")</f>
        <v>gsii/323171-history-of-present-illness-0-5.pdf</v>
      </c>
      <c r="F1743">
        <v>146230</v>
      </c>
      <c r="G1743">
        <v>323171</v>
      </c>
      <c r="H1743" t="s">
        <v>9</v>
      </c>
      <c r="I1743" t="s">
        <v>13</v>
      </c>
      <c r="J1743" t="s">
        <v>5121</v>
      </c>
    </row>
    <row r="1744" spans="1:10" x14ac:dyDescent="0.2">
      <c r="A1744" t="s">
        <v>5122</v>
      </c>
      <c r="E1744" t="str">
        <f>HYPERLINK("http://nlpdeep.cs.uic.edu:8080/proofing/t5/323171-allergies-0-0.pdf","t5/323171-allergies-0-0.pdf")</f>
        <v>t5/323171-allergies-0-0.pdf</v>
      </c>
      <c r="F1744">
        <v>146230</v>
      </c>
      <c r="G1744">
        <v>323171</v>
      </c>
      <c r="H1744" t="s">
        <v>9</v>
      </c>
      <c r="I1744" t="s">
        <v>64</v>
      </c>
      <c r="J1744" t="s">
        <v>5123</v>
      </c>
    </row>
    <row r="1745" spans="1:10" x14ac:dyDescent="0.2">
      <c r="A1745" t="s">
        <v>5122</v>
      </c>
      <c r="E1745" t="str">
        <f>HYPERLINK("http://nlpdeep.cs.uic.edu:8080/proofing/gsii/323171-allergies-0-0.pdf","gsii/323171-allergies-0-0.pdf")</f>
        <v>gsii/323171-allergies-0-0.pdf</v>
      </c>
      <c r="F1745">
        <v>146230</v>
      </c>
      <c r="G1745">
        <v>323171</v>
      </c>
      <c r="H1745" t="s">
        <v>9</v>
      </c>
      <c r="I1745" t="s">
        <v>64</v>
      </c>
      <c r="J1745" t="s">
        <v>5123</v>
      </c>
    </row>
    <row r="1746" spans="1:10" x14ac:dyDescent="0.2">
      <c r="A1746" t="s">
        <v>5124</v>
      </c>
      <c r="E1746" t="str">
        <f>HYPERLINK("http://nlpdeep.cs.uic.edu:8080/proofing/t5/323171-other-medications-0-0.pdf","t5/323171-other-medications-0-0.pdf")</f>
        <v>t5/323171-other-medications-0-0.pdf</v>
      </c>
      <c r="F1746">
        <v>146230</v>
      </c>
      <c r="G1746">
        <v>323171</v>
      </c>
      <c r="H1746" t="s">
        <v>9</v>
      </c>
      <c r="I1746" t="s">
        <v>67</v>
      </c>
      <c r="J1746" t="s">
        <v>5125</v>
      </c>
    </row>
    <row r="1747" spans="1:10" x14ac:dyDescent="0.2">
      <c r="A1747" t="s">
        <v>5124</v>
      </c>
      <c r="E1747" t="str">
        <f>HYPERLINK("http://nlpdeep.cs.uic.edu:8080/proofing/gsii/323171-other-medications-0-0.pdf","gsii/323171-other-medications-0-0.pdf")</f>
        <v>gsii/323171-other-medications-0-0.pdf</v>
      </c>
      <c r="F1747">
        <v>146230</v>
      </c>
      <c r="G1747">
        <v>323171</v>
      </c>
      <c r="H1747" t="s">
        <v>9</v>
      </c>
      <c r="I1747" t="s">
        <v>67</v>
      </c>
      <c r="J1747" t="s">
        <v>5125</v>
      </c>
    </row>
    <row r="1748" spans="1:10" x14ac:dyDescent="0.2">
      <c r="A1748" t="s">
        <v>5126</v>
      </c>
      <c r="E1748" t="str">
        <f>HYPERLINK("http://nlpdeep.cs.uic.edu:8080/proofing/t5/323171-past-medical-history-0-0.pdf","t5/323171-past-medical-history-0-0.pdf")</f>
        <v>t5/323171-past-medical-history-0-0.pdf</v>
      </c>
      <c r="F1748">
        <v>146230</v>
      </c>
      <c r="G1748">
        <v>323171</v>
      </c>
      <c r="H1748" t="s">
        <v>9</v>
      </c>
      <c r="I1748" t="s">
        <v>76</v>
      </c>
      <c r="J1748" t="s">
        <v>5127</v>
      </c>
    </row>
    <row r="1749" spans="1:10" x14ac:dyDescent="0.2">
      <c r="A1749" t="s">
        <v>5126</v>
      </c>
      <c r="E1749" t="str">
        <f>HYPERLINK("http://nlpdeep.cs.uic.edu:8080/proofing/gsii/323171-past-medical-history-0-0.pdf","gsii/323171-past-medical-history-0-0.pdf")</f>
        <v>gsii/323171-past-medical-history-0-0.pdf</v>
      </c>
      <c r="F1749">
        <v>146230</v>
      </c>
      <c r="G1749">
        <v>323171</v>
      </c>
      <c r="H1749" t="s">
        <v>9</v>
      </c>
      <c r="I1749" t="s">
        <v>76</v>
      </c>
      <c r="J1749" t="s">
        <v>5127</v>
      </c>
    </row>
    <row r="1750" spans="1:10" x14ac:dyDescent="0.2">
      <c r="A1750" t="s">
        <v>5128</v>
      </c>
      <c r="E1750" t="str">
        <f>HYPERLINK("http://nlpdeep.cs.uic.edu:8080/proofing/t5/323171-flowsheet-data-vitals-0-0.pdf","t5/323171-flowsheet-data-vitals-0-0.pdf")</f>
        <v>t5/323171-flowsheet-data-vitals-0-0.pdf</v>
      </c>
      <c r="F1750">
        <v>146230</v>
      </c>
      <c r="G1750">
        <v>323171</v>
      </c>
      <c r="H1750" t="s">
        <v>9</v>
      </c>
      <c r="I1750" t="s">
        <v>135</v>
      </c>
      <c r="J1750" t="s">
        <v>5129</v>
      </c>
    </row>
    <row r="1751" spans="1:10" x14ac:dyDescent="0.2">
      <c r="A1751" t="s">
        <v>5128</v>
      </c>
      <c r="E1751" t="str">
        <f>HYPERLINK("http://nlpdeep.cs.uic.edu:8080/proofing/gsii/323171-flowsheet-data-vitals-0-0.pdf","gsii/323171-flowsheet-data-vitals-0-0.pdf")</f>
        <v>gsii/323171-flowsheet-data-vitals-0-0.pdf</v>
      </c>
      <c r="F1751">
        <v>146230</v>
      </c>
      <c r="G1751">
        <v>323171</v>
      </c>
      <c r="H1751" t="s">
        <v>9</v>
      </c>
      <c r="I1751" t="s">
        <v>135</v>
      </c>
      <c r="J1751" t="s">
        <v>5129</v>
      </c>
    </row>
    <row r="1752" spans="1:10" x14ac:dyDescent="0.2">
      <c r="A1752" t="s">
        <v>5130</v>
      </c>
      <c r="E1752" t="str">
        <f>HYPERLINK("http://nlpdeep.cs.uic.edu:8080/proofing/t5/323171-physical-examination-0-0.pdf","t5/323171-physical-examination-0-0.pdf")</f>
        <v>t5/323171-physical-examination-0-0.pdf</v>
      </c>
      <c r="F1752">
        <v>146230</v>
      </c>
      <c r="G1752">
        <v>323171</v>
      </c>
      <c r="H1752" t="s">
        <v>9</v>
      </c>
      <c r="I1752" t="s">
        <v>138</v>
      </c>
      <c r="J1752" t="s">
        <v>5131</v>
      </c>
    </row>
    <row r="1753" spans="1:10" x14ac:dyDescent="0.2">
      <c r="A1753" t="s">
        <v>5130</v>
      </c>
      <c r="E1753" t="str">
        <f>HYPERLINK("http://nlpdeep.cs.uic.edu:8080/proofing/gsii/323171-physical-examination-0-0.pdf","gsii/323171-physical-examination-0-0.pdf")</f>
        <v>gsii/323171-physical-examination-0-0.pdf</v>
      </c>
      <c r="F1753">
        <v>146230</v>
      </c>
      <c r="G1753">
        <v>323171</v>
      </c>
      <c r="H1753" t="s">
        <v>9</v>
      </c>
      <c r="I1753" t="s">
        <v>138</v>
      </c>
      <c r="J1753" t="s">
        <v>5131</v>
      </c>
    </row>
    <row r="1754" spans="1:10" x14ac:dyDescent="0.2">
      <c r="A1754" t="s">
        <v>5132</v>
      </c>
      <c r="E1754" t="str">
        <f>HYPERLINK("http://nlpdeep.cs.uic.edu:8080/proofing/t5/323171-assessment-and-plan-0-0.pdf","t5/323171-assessment-and-plan-0-0.pdf")</f>
        <v>t5/323171-assessment-and-plan-0-0.pdf</v>
      </c>
      <c r="F1754">
        <v>146230</v>
      </c>
      <c r="G1754">
        <v>323171</v>
      </c>
      <c r="H1754" t="s">
        <v>9</v>
      </c>
      <c r="I1754" t="s">
        <v>195</v>
      </c>
      <c r="J1754" t="s">
        <v>5133</v>
      </c>
    </row>
    <row r="1755" spans="1:10" x14ac:dyDescent="0.2">
      <c r="A1755" t="s">
        <v>5132</v>
      </c>
      <c r="E1755" t="str">
        <f>HYPERLINK("http://nlpdeep.cs.uic.edu:8080/proofing/gsii/323171-assessment-and-plan-0-0.pdf","gsii/323171-assessment-and-plan-0-0.pdf")</f>
        <v>gsii/323171-assessment-and-plan-0-0.pdf</v>
      </c>
      <c r="F1755">
        <v>146230</v>
      </c>
      <c r="G1755">
        <v>323171</v>
      </c>
      <c r="H1755" t="s">
        <v>9</v>
      </c>
      <c r="I1755" t="s">
        <v>195</v>
      </c>
      <c r="J1755" t="s">
        <v>5133</v>
      </c>
    </row>
    <row r="1756" spans="1:10" x14ac:dyDescent="0.2">
      <c r="A1756" t="s">
        <v>5134</v>
      </c>
      <c r="E1756" t="str">
        <f>HYPERLINK("http://nlpdeep.cs.uic.edu:8080/proofing/t5/323171-assessment-and-plan-0-1.pdf","t5/323171-assessment-and-plan-0-1.pdf")</f>
        <v>t5/323171-assessment-and-plan-0-1.pdf</v>
      </c>
      <c r="F1756">
        <v>146230</v>
      </c>
      <c r="G1756">
        <v>323171</v>
      </c>
      <c r="H1756" t="s">
        <v>9</v>
      </c>
      <c r="I1756" t="s">
        <v>195</v>
      </c>
      <c r="J1756" t="s">
        <v>5135</v>
      </c>
    </row>
    <row r="1757" spans="1:10" x14ac:dyDescent="0.2">
      <c r="A1757" t="s">
        <v>5134</v>
      </c>
      <c r="E1757" t="str">
        <f>HYPERLINK("http://nlpdeep.cs.uic.edu:8080/proofing/gsii/323171-assessment-and-plan-0-1.pdf","gsii/323171-assessment-and-plan-0-1.pdf")</f>
        <v>gsii/323171-assessment-and-plan-0-1.pdf</v>
      </c>
      <c r="F1757">
        <v>146230</v>
      </c>
      <c r="G1757">
        <v>323171</v>
      </c>
      <c r="H1757" t="s">
        <v>9</v>
      </c>
      <c r="I1757" t="s">
        <v>195</v>
      </c>
      <c r="J1757" t="s">
        <v>5135</v>
      </c>
    </row>
    <row r="1758" spans="1:10" x14ac:dyDescent="0.2">
      <c r="A1758" t="s">
        <v>5136</v>
      </c>
      <c r="E1758" t="str">
        <f>HYPERLINK("http://nlpdeep.cs.uic.edu:8080/proofing/t5/323171-assessment-and-plan-0-2.pdf","t5/323171-assessment-and-plan-0-2.pdf")</f>
        <v>t5/323171-assessment-and-plan-0-2.pdf</v>
      </c>
      <c r="F1758">
        <v>146230</v>
      </c>
      <c r="G1758">
        <v>323171</v>
      </c>
      <c r="H1758" t="s">
        <v>9</v>
      </c>
      <c r="I1758" t="s">
        <v>195</v>
      </c>
      <c r="J1758" t="s">
        <v>5137</v>
      </c>
    </row>
    <row r="1759" spans="1:10" x14ac:dyDescent="0.2">
      <c r="A1759" t="s">
        <v>5136</v>
      </c>
      <c r="E1759" t="str">
        <f>HYPERLINK("http://nlpdeep.cs.uic.edu:8080/proofing/gsii/323171-assessment-and-plan-0-2.pdf","gsii/323171-assessment-and-plan-0-2.pdf")</f>
        <v>gsii/323171-assessment-and-plan-0-2.pdf</v>
      </c>
      <c r="F1759">
        <v>146230</v>
      </c>
      <c r="G1759">
        <v>323171</v>
      </c>
      <c r="H1759" t="s">
        <v>9</v>
      </c>
      <c r="I1759" t="s">
        <v>195</v>
      </c>
      <c r="J1759" t="s">
        <v>5137</v>
      </c>
    </row>
    <row r="1760" spans="1:10" x14ac:dyDescent="0.2">
      <c r="A1760" t="s">
        <v>5138</v>
      </c>
      <c r="E1760" t="str">
        <f>HYPERLINK("http://nlpdeep.cs.uic.edu:8080/proofing/t5/323171-assessment-and-plan-0-3.pdf","t5/323171-assessment-and-plan-0-3.pdf")</f>
        <v>t5/323171-assessment-and-plan-0-3.pdf</v>
      </c>
      <c r="F1760">
        <v>146230</v>
      </c>
      <c r="G1760">
        <v>323171</v>
      </c>
      <c r="H1760" t="s">
        <v>9</v>
      </c>
      <c r="I1760" t="s">
        <v>195</v>
      </c>
      <c r="J1760" t="s">
        <v>5139</v>
      </c>
    </row>
    <row r="1761" spans="1:10" x14ac:dyDescent="0.2">
      <c r="A1761" t="s">
        <v>5138</v>
      </c>
      <c r="E1761" t="str">
        <f>HYPERLINK("http://nlpdeep.cs.uic.edu:8080/proofing/gsii/323171-assessment-and-plan-0-3.pdf","gsii/323171-assessment-and-plan-0-3.pdf")</f>
        <v>gsii/323171-assessment-and-plan-0-3.pdf</v>
      </c>
      <c r="F1761">
        <v>146230</v>
      </c>
      <c r="G1761">
        <v>323171</v>
      </c>
      <c r="H1761" t="s">
        <v>9</v>
      </c>
      <c r="I1761" t="s">
        <v>195</v>
      </c>
      <c r="J1761" t="s">
        <v>5139</v>
      </c>
    </row>
    <row r="1762" spans="1:10" x14ac:dyDescent="0.2">
      <c r="A1762" t="s">
        <v>5140</v>
      </c>
      <c r="E1762" t="str">
        <f>HYPERLINK("http://nlpdeep.cs.uic.edu:8080/proofing/t5/323171-assessment-and-plan-0-4.pdf","t5/323171-assessment-and-plan-0-4.pdf")</f>
        <v>t5/323171-assessment-and-plan-0-4.pdf</v>
      </c>
      <c r="F1762">
        <v>146230</v>
      </c>
      <c r="G1762">
        <v>323171</v>
      </c>
      <c r="H1762" t="s">
        <v>9</v>
      </c>
      <c r="I1762" t="s">
        <v>195</v>
      </c>
      <c r="J1762" t="s">
        <v>5141</v>
      </c>
    </row>
    <row r="1763" spans="1:10" x14ac:dyDescent="0.2">
      <c r="A1763" t="s">
        <v>5140</v>
      </c>
      <c r="E1763" t="str">
        <f>HYPERLINK("http://nlpdeep.cs.uic.edu:8080/proofing/gsii/323171-assessment-and-plan-0-4.pdf","gsii/323171-assessment-and-plan-0-4.pdf")</f>
        <v>gsii/323171-assessment-and-plan-0-4.pdf</v>
      </c>
      <c r="F1763">
        <v>146230</v>
      </c>
      <c r="G1763">
        <v>323171</v>
      </c>
      <c r="H1763" t="s">
        <v>9</v>
      </c>
      <c r="I1763" t="s">
        <v>195</v>
      </c>
      <c r="J1763" t="s">
        <v>5141</v>
      </c>
    </row>
    <row r="1764" spans="1:10" x14ac:dyDescent="0.2">
      <c r="A1764" t="s">
        <v>5142</v>
      </c>
      <c r="E1764" t="str">
        <f>HYPERLINK("http://nlpdeep.cs.uic.edu:8080/proofing/t5/323171-assessment-and-plan-0-5.pdf","t5/323171-assessment-and-plan-0-5.pdf")</f>
        <v>t5/323171-assessment-and-plan-0-5.pdf</v>
      </c>
      <c r="F1764">
        <v>146230</v>
      </c>
      <c r="G1764">
        <v>323171</v>
      </c>
      <c r="H1764" t="s">
        <v>9</v>
      </c>
      <c r="I1764" t="s">
        <v>195</v>
      </c>
      <c r="J1764" t="s">
        <v>5143</v>
      </c>
    </row>
    <row r="1765" spans="1:10" x14ac:dyDescent="0.2">
      <c r="A1765" t="s">
        <v>5142</v>
      </c>
      <c r="E1765" t="str">
        <f>HYPERLINK("http://nlpdeep.cs.uic.edu:8080/proofing/gsii/323171-assessment-and-plan-0-5.pdf","gsii/323171-assessment-and-plan-0-5.pdf")</f>
        <v>gsii/323171-assessment-and-plan-0-5.pdf</v>
      </c>
      <c r="F1765">
        <v>146230</v>
      </c>
      <c r="G1765">
        <v>323171</v>
      </c>
      <c r="H1765" t="s">
        <v>9</v>
      </c>
      <c r="I1765" t="s">
        <v>195</v>
      </c>
      <c r="J1765" t="s">
        <v>5143</v>
      </c>
    </row>
    <row r="1766" spans="1:10" x14ac:dyDescent="0.2">
      <c r="A1766" t="s">
        <v>5144</v>
      </c>
      <c r="E1766" t="str">
        <f>HYPERLINK("http://nlpdeep.cs.uic.edu:8080/proofing/t5/323171-assessment-and-plan-0-6.pdf","t5/323171-assessment-and-plan-0-6.pdf")</f>
        <v>t5/323171-assessment-and-plan-0-6.pdf</v>
      </c>
      <c r="F1766">
        <v>146230</v>
      </c>
      <c r="G1766">
        <v>323171</v>
      </c>
      <c r="H1766" t="s">
        <v>9</v>
      </c>
      <c r="I1766" t="s">
        <v>195</v>
      </c>
      <c r="J1766" t="s">
        <v>5145</v>
      </c>
    </row>
    <row r="1767" spans="1:10" x14ac:dyDescent="0.2">
      <c r="A1767" t="s">
        <v>5144</v>
      </c>
      <c r="E1767" t="str">
        <f>HYPERLINK("http://nlpdeep.cs.uic.edu:8080/proofing/gsii/323171-assessment-and-plan-0-6.pdf","gsii/323171-assessment-and-plan-0-6.pdf")</f>
        <v>gsii/323171-assessment-and-plan-0-6.pdf</v>
      </c>
      <c r="F1767">
        <v>146230</v>
      </c>
      <c r="G1767">
        <v>323171</v>
      </c>
      <c r="H1767" t="s">
        <v>9</v>
      </c>
      <c r="I1767" t="s">
        <v>195</v>
      </c>
      <c r="J1767" t="s">
        <v>5145</v>
      </c>
    </row>
    <row r="1768" spans="1:10" x14ac:dyDescent="0.2">
      <c r="A1768" t="s">
        <v>5146</v>
      </c>
      <c r="E1768" t="str">
        <f>HYPERLINK("http://nlpdeep.cs.uic.edu:8080/proofing/t5/323171-communication-0-0.pdf","t5/323171-communication-0-0.pdf")</f>
        <v>t5/323171-communication-0-0.pdf</v>
      </c>
      <c r="F1768">
        <v>146230</v>
      </c>
      <c r="G1768">
        <v>323171</v>
      </c>
      <c r="H1768" t="s">
        <v>9</v>
      </c>
      <c r="I1768" t="s">
        <v>198</v>
      </c>
      <c r="J1768" t="s">
        <v>5147</v>
      </c>
    </row>
    <row r="1769" spans="1:10" x14ac:dyDescent="0.2">
      <c r="A1769" t="s">
        <v>5146</v>
      </c>
      <c r="E1769" t="str">
        <f>HYPERLINK("http://nlpdeep.cs.uic.edu:8080/proofing/gsii/323171-communication-0-0.pdf","gsii/323171-communication-0-0.pdf")</f>
        <v>gsii/323171-communication-0-0.pdf</v>
      </c>
      <c r="F1769">
        <v>146230</v>
      </c>
      <c r="G1769">
        <v>323171</v>
      </c>
      <c r="H1769" t="s">
        <v>9</v>
      </c>
      <c r="I1769" t="s">
        <v>198</v>
      </c>
      <c r="J1769" t="s">
        <v>5147</v>
      </c>
    </row>
    <row r="1770" spans="1:10" x14ac:dyDescent="0.2">
      <c r="A1770" t="s">
        <v>5148</v>
      </c>
      <c r="E1770" t="str">
        <f>HYPERLINK("http://nlpdeep.cs.uic.edu:8080/proofing/t5/323171-code-status-0-0.pdf","t5/323171-code-status-0-0.pdf")</f>
        <v>t5/323171-code-status-0-0.pdf</v>
      </c>
      <c r="F1770">
        <v>146230</v>
      </c>
      <c r="G1770">
        <v>323171</v>
      </c>
      <c r="H1770" t="s">
        <v>9</v>
      </c>
      <c r="I1770" t="s">
        <v>201</v>
      </c>
      <c r="J1770" t="s">
        <v>536</v>
      </c>
    </row>
    <row r="1771" spans="1:10" x14ac:dyDescent="0.2">
      <c r="A1771" t="s">
        <v>5148</v>
      </c>
      <c r="E1771" t="str">
        <f>HYPERLINK("http://nlpdeep.cs.uic.edu:8080/proofing/gsii/323171-code-status-0-0.pdf","gsii/323171-code-status-0-0.pdf")</f>
        <v>gsii/323171-code-status-0-0.pdf</v>
      </c>
      <c r="F1771">
        <v>146230</v>
      </c>
      <c r="G1771">
        <v>323171</v>
      </c>
      <c r="H1771" t="s">
        <v>9</v>
      </c>
      <c r="I1771" t="s">
        <v>201</v>
      </c>
      <c r="J1771" t="s">
        <v>536</v>
      </c>
    </row>
    <row r="1772" spans="1:10" x14ac:dyDescent="0.2">
      <c r="A1772" t="s">
        <v>5149</v>
      </c>
      <c r="E1772" t="str">
        <f>HYPERLINK("http://nlpdeep.cs.uic.edu:8080/proofing/t5/323171-disposition-0-0.pdf","t5/323171-disposition-0-0.pdf")</f>
        <v>t5/323171-disposition-0-0.pdf</v>
      </c>
      <c r="F1772">
        <v>146230</v>
      </c>
      <c r="G1772">
        <v>323171</v>
      </c>
      <c r="H1772" t="s">
        <v>9</v>
      </c>
      <c r="I1772" t="s">
        <v>204</v>
      </c>
      <c r="J1772" t="s">
        <v>5150</v>
      </c>
    </row>
    <row r="1773" spans="1:10" x14ac:dyDescent="0.2">
      <c r="A1773" t="s">
        <v>5149</v>
      </c>
      <c r="E1773" t="str">
        <f>HYPERLINK("http://nlpdeep.cs.uic.edu:8080/proofing/gsii/323171-disposition-0-0.pdf","gsii/323171-disposition-0-0.pdf")</f>
        <v>gsii/323171-disposition-0-0.pdf</v>
      </c>
      <c r="F1773">
        <v>146230</v>
      </c>
      <c r="G1773">
        <v>323171</v>
      </c>
      <c r="H1773" t="s">
        <v>9</v>
      </c>
      <c r="I1773" t="s">
        <v>204</v>
      </c>
      <c r="J1773" t="s">
        <v>5150</v>
      </c>
    </row>
    <row r="1774" spans="1:10" x14ac:dyDescent="0.2">
      <c r="A1774" t="s">
        <v>5151</v>
      </c>
      <c r="E1774" t="str">
        <f>HYPERLINK("http://nlpdeep.cs.uic.edu:8080/proofing/t5/323048-chief-complaint-0-0.pdf","t5/323048-chief-complaint-0-0.pdf")</f>
        <v>t5/323048-chief-complaint-0-0.pdf</v>
      </c>
      <c r="F1774">
        <v>146230</v>
      </c>
      <c r="G1774">
        <v>323048</v>
      </c>
      <c r="H1774" t="s">
        <v>9</v>
      </c>
      <c r="I1774" t="s">
        <v>10</v>
      </c>
      <c r="J1774" t="s">
        <v>11</v>
      </c>
    </row>
    <row r="1775" spans="1:10" x14ac:dyDescent="0.2">
      <c r="A1775" t="s">
        <v>5151</v>
      </c>
      <c r="E1775" t="str">
        <f>HYPERLINK("http://nlpdeep.cs.uic.edu:8080/proofing/gsii/323048-chief-complaint-0-0.pdf","gsii/323048-chief-complaint-0-0.pdf")</f>
        <v>gsii/323048-chief-complaint-0-0.pdf</v>
      </c>
      <c r="F1775">
        <v>146230</v>
      </c>
      <c r="G1775">
        <v>323048</v>
      </c>
      <c r="H1775" t="s">
        <v>9</v>
      </c>
      <c r="I1775" t="s">
        <v>10</v>
      </c>
      <c r="J1775" t="s">
        <v>11</v>
      </c>
    </row>
    <row r="1776" spans="1:10" x14ac:dyDescent="0.2">
      <c r="A1776" t="s">
        <v>5152</v>
      </c>
      <c r="E1776" t="str">
        <f>HYPERLINK("http://nlpdeep.cs.uic.edu:8080/proofing/t5/323048-history-of-present-illness-0-0.pdf","t5/323048-history-of-present-illness-0-0.pdf")</f>
        <v>t5/323048-history-of-present-illness-0-0.pdf</v>
      </c>
      <c r="F1776">
        <v>146230</v>
      </c>
      <c r="G1776">
        <v>323048</v>
      </c>
      <c r="H1776" t="s">
        <v>9</v>
      </c>
      <c r="I1776" t="s">
        <v>13</v>
      </c>
      <c r="J1776" t="s">
        <v>5153</v>
      </c>
    </row>
    <row r="1777" spans="1:10" x14ac:dyDescent="0.2">
      <c r="A1777" t="s">
        <v>5152</v>
      </c>
      <c r="E1777" t="str">
        <f>HYPERLINK("http://nlpdeep.cs.uic.edu:8080/proofing/gsii/323048-history-of-present-illness-0-0.pdf","gsii/323048-history-of-present-illness-0-0.pdf")</f>
        <v>gsii/323048-history-of-present-illness-0-0.pdf</v>
      </c>
      <c r="F1777">
        <v>146230</v>
      </c>
      <c r="G1777">
        <v>323048</v>
      </c>
      <c r="H1777" t="s">
        <v>9</v>
      </c>
      <c r="I1777" t="s">
        <v>13</v>
      </c>
      <c r="J1777" t="s">
        <v>5153</v>
      </c>
    </row>
    <row r="1778" spans="1:10" x14ac:dyDescent="0.2">
      <c r="A1778" t="s">
        <v>5154</v>
      </c>
      <c r="E1778" t="str">
        <f>HYPERLINK("http://nlpdeep.cs.uic.edu:8080/proofing/t5/323048-history-of-present-illness-0-1.pdf","t5/323048-history-of-present-illness-0-1.pdf")</f>
        <v>t5/323048-history-of-present-illness-0-1.pdf</v>
      </c>
      <c r="F1778">
        <v>146230</v>
      </c>
      <c r="G1778">
        <v>323048</v>
      </c>
      <c r="H1778" t="s">
        <v>9</v>
      </c>
      <c r="I1778" t="s">
        <v>13</v>
      </c>
      <c r="J1778" t="s">
        <v>5155</v>
      </c>
    </row>
    <row r="1779" spans="1:10" x14ac:dyDescent="0.2">
      <c r="A1779" t="s">
        <v>5154</v>
      </c>
      <c r="E1779" t="str">
        <f>HYPERLINK("http://nlpdeep.cs.uic.edu:8080/proofing/gsii/323048-history-of-present-illness-0-1.pdf","gsii/323048-history-of-present-illness-0-1.pdf")</f>
        <v>gsii/323048-history-of-present-illness-0-1.pdf</v>
      </c>
      <c r="F1779">
        <v>146230</v>
      </c>
      <c r="G1779">
        <v>323048</v>
      </c>
      <c r="H1779" t="s">
        <v>9</v>
      </c>
      <c r="I1779" t="s">
        <v>13</v>
      </c>
      <c r="J1779" t="s">
        <v>5155</v>
      </c>
    </row>
    <row r="1780" spans="1:10" x14ac:dyDescent="0.2">
      <c r="A1780" t="s">
        <v>5156</v>
      </c>
      <c r="E1780" t="str">
        <f>HYPERLINK("http://nlpdeep.cs.uic.edu:8080/proofing/t5/323048-history-of-present-illness-0-2.pdf","t5/323048-history-of-present-illness-0-2.pdf")</f>
        <v>t5/323048-history-of-present-illness-0-2.pdf</v>
      </c>
      <c r="F1780">
        <v>146230</v>
      </c>
      <c r="G1780">
        <v>323048</v>
      </c>
      <c r="H1780" t="s">
        <v>9</v>
      </c>
      <c r="I1780" t="s">
        <v>13</v>
      </c>
      <c r="J1780" t="s">
        <v>5157</v>
      </c>
    </row>
    <row r="1781" spans="1:10" x14ac:dyDescent="0.2">
      <c r="A1781" t="s">
        <v>5156</v>
      </c>
      <c r="E1781" t="str">
        <f>HYPERLINK("http://nlpdeep.cs.uic.edu:8080/proofing/gsii/323048-history-of-present-illness-0-2.pdf","gsii/323048-history-of-present-illness-0-2.pdf")</f>
        <v>gsii/323048-history-of-present-illness-0-2.pdf</v>
      </c>
      <c r="F1781">
        <v>146230</v>
      </c>
      <c r="G1781">
        <v>323048</v>
      </c>
      <c r="H1781" t="s">
        <v>9</v>
      </c>
      <c r="I1781" t="s">
        <v>13</v>
      </c>
      <c r="J1781" t="s">
        <v>5157</v>
      </c>
    </row>
    <row r="1782" spans="1:10" x14ac:dyDescent="0.2">
      <c r="A1782" t="s">
        <v>5158</v>
      </c>
      <c r="E1782" t="str">
        <f>HYPERLINK("http://nlpdeep.cs.uic.edu:8080/proofing/t5/323048-history-of-present-illness-0-3.pdf","t5/323048-history-of-present-illness-0-3.pdf")</f>
        <v>t5/323048-history-of-present-illness-0-3.pdf</v>
      </c>
      <c r="F1782">
        <v>146230</v>
      </c>
      <c r="G1782">
        <v>323048</v>
      </c>
      <c r="H1782" t="s">
        <v>9</v>
      </c>
      <c r="I1782" t="s">
        <v>13</v>
      </c>
      <c r="J1782" t="s">
        <v>5159</v>
      </c>
    </row>
    <row r="1783" spans="1:10" x14ac:dyDescent="0.2">
      <c r="A1783" t="s">
        <v>5158</v>
      </c>
      <c r="E1783" t="str">
        <f>HYPERLINK("http://nlpdeep.cs.uic.edu:8080/proofing/gsii/323048-history-of-present-illness-0-3.pdf","gsii/323048-history-of-present-illness-0-3.pdf")</f>
        <v>gsii/323048-history-of-present-illness-0-3.pdf</v>
      </c>
      <c r="F1783">
        <v>146230</v>
      </c>
      <c r="G1783">
        <v>323048</v>
      </c>
      <c r="H1783" t="s">
        <v>9</v>
      </c>
      <c r="I1783" t="s">
        <v>13</v>
      </c>
      <c r="J1783" t="s">
        <v>5159</v>
      </c>
    </row>
    <row r="1784" spans="1:10" x14ac:dyDescent="0.2">
      <c r="A1784" t="s">
        <v>5160</v>
      </c>
      <c r="E1784" t="str">
        <f>HYPERLINK("http://nlpdeep.cs.uic.edu:8080/proofing/t5/323048-history-of-present-illness-0-4.pdf","t5/323048-history-of-present-illness-0-4.pdf")</f>
        <v>t5/323048-history-of-present-illness-0-4.pdf</v>
      </c>
      <c r="F1784">
        <v>146230</v>
      </c>
      <c r="G1784">
        <v>323048</v>
      </c>
      <c r="H1784" t="s">
        <v>9</v>
      </c>
      <c r="I1784" t="s">
        <v>13</v>
      </c>
      <c r="J1784" t="s">
        <v>5161</v>
      </c>
    </row>
    <row r="1785" spans="1:10" x14ac:dyDescent="0.2">
      <c r="A1785" t="s">
        <v>5160</v>
      </c>
      <c r="E1785" t="str">
        <f>HYPERLINK("http://nlpdeep.cs.uic.edu:8080/proofing/gsii/323048-history-of-present-illness-0-4.pdf","gsii/323048-history-of-present-illness-0-4.pdf")</f>
        <v>gsii/323048-history-of-present-illness-0-4.pdf</v>
      </c>
      <c r="F1785">
        <v>146230</v>
      </c>
      <c r="G1785">
        <v>323048</v>
      </c>
      <c r="H1785" t="s">
        <v>9</v>
      </c>
      <c r="I1785" t="s">
        <v>13</v>
      </c>
      <c r="J1785" t="s">
        <v>5161</v>
      </c>
    </row>
    <row r="1786" spans="1:10" x14ac:dyDescent="0.2">
      <c r="A1786" t="s">
        <v>5162</v>
      </c>
      <c r="E1786" t="str">
        <f>HYPERLINK("http://nlpdeep.cs.uic.edu:8080/proofing/t5/323048-history-of-present-illness-0-5.pdf","t5/323048-history-of-present-illness-0-5.pdf")</f>
        <v>t5/323048-history-of-present-illness-0-5.pdf</v>
      </c>
      <c r="F1786">
        <v>146230</v>
      </c>
      <c r="G1786">
        <v>323048</v>
      </c>
      <c r="H1786" t="s">
        <v>9</v>
      </c>
      <c r="I1786" t="s">
        <v>13</v>
      </c>
      <c r="J1786" t="s">
        <v>5163</v>
      </c>
    </row>
    <row r="1787" spans="1:10" x14ac:dyDescent="0.2">
      <c r="A1787" t="s">
        <v>5162</v>
      </c>
      <c r="E1787" t="str">
        <f>HYPERLINK("http://nlpdeep.cs.uic.edu:8080/proofing/gsii/323048-history-of-present-illness-0-5.pdf","gsii/323048-history-of-present-illness-0-5.pdf")</f>
        <v>gsii/323048-history-of-present-illness-0-5.pdf</v>
      </c>
      <c r="F1787">
        <v>146230</v>
      </c>
      <c r="G1787">
        <v>323048</v>
      </c>
      <c r="H1787" t="s">
        <v>9</v>
      </c>
      <c r="I1787" t="s">
        <v>13</v>
      </c>
      <c r="J1787" t="s">
        <v>5163</v>
      </c>
    </row>
    <row r="1788" spans="1:10" x14ac:dyDescent="0.2">
      <c r="A1788" t="s">
        <v>5164</v>
      </c>
      <c r="E1788" t="str">
        <f>HYPERLINK("http://nlpdeep.cs.uic.edu:8080/proofing/t5/323048-allergies-0-0.pdf","t5/323048-allergies-0-0.pdf")</f>
        <v>t5/323048-allergies-0-0.pdf</v>
      </c>
      <c r="F1788">
        <v>146230</v>
      </c>
      <c r="G1788">
        <v>323048</v>
      </c>
      <c r="H1788" t="s">
        <v>9</v>
      </c>
      <c r="I1788" t="s">
        <v>64</v>
      </c>
      <c r="J1788" t="s">
        <v>5123</v>
      </c>
    </row>
    <row r="1789" spans="1:10" x14ac:dyDescent="0.2">
      <c r="A1789" t="s">
        <v>5164</v>
      </c>
      <c r="E1789" t="str">
        <f>HYPERLINK("http://nlpdeep.cs.uic.edu:8080/proofing/gsii/323048-allergies-0-0.pdf","gsii/323048-allergies-0-0.pdf")</f>
        <v>gsii/323048-allergies-0-0.pdf</v>
      </c>
      <c r="F1789">
        <v>146230</v>
      </c>
      <c r="G1789">
        <v>323048</v>
      </c>
      <c r="H1789" t="s">
        <v>9</v>
      </c>
      <c r="I1789" t="s">
        <v>64</v>
      </c>
      <c r="J1789" t="s">
        <v>5123</v>
      </c>
    </row>
    <row r="1790" spans="1:10" x14ac:dyDescent="0.2">
      <c r="A1790" t="s">
        <v>5165</v>
      </c>
      <c r="E1790" t="str">
        <f>HYPERLINK("http://nlpdeep.cs.uic.edu:8080/proofing/t5/323048-other-medications-0-0.pdf","t5/323048-other-medications-0-0.pdf")</f>
        <v>t5/323048-other-medications-0-0.pdf</v>
      </c>
      <c r="F1790">
        <v>146230</v>
      </c>
      <c r="G1790">
        <v>323048</v>
      </c>
      <c r="H1790" t="s">
        <v>9</v>
      </c>
      <c r="I1790" t="s">
        <v>67</v>
      </c>
      <c r="J1790" t="s">
        <v>5166</v>
      </c>
    </row>
    <row r="1791" spans="1:10" x14ac:dyDescent="0.2">
      <c r="A1791" t="s">
        <v>5165</v>
      </c>
      <c r="E1791" t="str">
        <f>HYPERLINK("http://nlpdeep.cs.uic.edu:8080/proofing/gsii/323048-other-medications-0-0.pdf","gsii/323048-other-medications-0-0.pdf")</f>
        <v>gsii/323048-other-medications-0-0.pdf</v>
      </c>
      <c r="F1791">
        <v>146230</v>
      </c>
      <c r="G1791">
        <v>323048</v>
      </c>
      <c r="H1791" t="s">
        <v>9</v>
      </c>
      <c r="I1791" t="s">
        <v>67</v>
      </c>
      <c r="J1791" t="s">
        <v>5166</v>
      </c>
    </row>
    <row r="1792" spans="1:10" x14ac:dyDescent="0.2">
      <c r="A1792" t="s">
        <v>5167</v>
      </c>
      <c r="E1792" t="str">
        <f>HYPERLINK("http://nlpdeep.cs.uic.edu:8080/proofing/t5/323048-past-medical-history-0-0.pdf","t5/323048-past-medical-history-0-0.pdf")</f>
        <v>t5/323048-past-medical-history-0-0.pdf</v>
      </c>
      <c r="F1792">
        <v>146230</v>
      </c>
      <c r="G1792">
        <v>323048</v>
      </c>
      <c r="H1792" t="s">
        <v>9</v>
      </c>
      <c r="I1792" t="s">
        <v>76</v>
      </c>
      <c r="J1792" t="s">
        <v>5168</v>
      </c>
    </row>
    <row r="1793" spans="1:10" x14ac:dyDescent="0.2">
      <c r="A1793" t="s">
        <v>5167</v>
      </c>
      <c r="E1793" t="str">
        <f>HYPERLINK("http://nlpdeep.cs.uic.edu:8080/proofing/gsii/323048-past-medical-history-0-0.pdf","gsii/323048-past-medical-history-0-0.pdf")</f>
        <v>gsii/323048-past-medical-history-0-0.pdf</v>
      </c>
      <c r="F1793">
        <v>146230</v>
      </c>
      <c r="G1793">
        <v>323048</v>
      </c>
      <c r="H1793" t="s">
        <v>9</v>
      </c>
      <c r="I1793" t="s">
        <v>76</v>
      </c>
      <c r="J1793" t="s">
        <v>5168</v>
      </c>
    </row>
    <row r="1794" spans="1:10" x14ac:dyDescent="0.2">
      <c r="A1794" t="s">
        <v>5169</v>
      </c>
      <c r="E1794" t="str">
        <f>HYPERLINK("http://nlpdeep.cs.uic.edu:8080/proofing/t5/323048-social-history-0-0.pdf","t5/323048-social-history-0-0.pdf")</f>
        <v>t5/323048-social-history-0-0.pdf</v>
      </c>
      <c r="F1794">
        <v>146230</v>
      </c>
      <c r="G1794">
        <v>323048</v>
      </c>
      <c r="H1794" t="s">
        <v>9</v>
      </c>
      <c r="I1794" t="s">
        <v>118</v>
      </c>
      <c r="J1794" t="s">
        <v>5170</v>
      </c>
    </row>
    <row r="1795" spans="1:10" x14ac:dyDescent="0.2">
      <c r="A1795" t="s">
        <v>5169</v>
      </c>
      <c r="E1795" t="str">
        <f>HYPERLINK("http://nlpdeep.cs.uic.edu:8080/proofing/gsii/323048-social-history-0-0.pdf","gsii/323048-social-history-0-0.pdf")</f>
        <v>gsii/323048-social-history-0-0.pdf</v>
      </c>
      <c r="F1795">
        <v>146230</v>
      </c>
      <c r="G1795">
        <v>323048</v>
      </c>
      <c r="H1795" t="s">
        <v>9</v>
      </c>
      <c r="I1795" t="s">
        <v>118</v>
      </c>
      <c r="J1795" t="s">
        <v>5170</v>
      </c>
    </row>
    <row r="1796" spans="1:10" x14ac:dyDescent="0.2">
      <c r="A1796" t="s">
        <v>5171</v>
      </c>
      <c r="E1796" t="str">
        <f>HYPERLINK("http://nlpdeep.cs.uic.edu:8080/proofing/t5/323048-medication-history-0-0.pdf","t5/323048-medication-history-0-0.pdf")</f>
        <v>t5/323048-medication-history-0-0.pdf</v>
      </c>
      <c r="F1796">
        <v>146230</v>
      </c>
      <c r="G1796">
        <v>323048</v>
      </c>
      <c r="H1796" t="s">
        <v>9</v>
      </c>
      <c r="I1796" t="s">
        <v>336</v>
      </c>
      <c r="J1796" t="s">
        <v>5172</v>
      </c>
    </row>
    <row r="1797" spans="1:10" x14ac:dyDescent="0.2">
      <c r="A1797" t="s">
        <v>5171</v>
      </c>
      <c r="E1797" t="str">
        <f>HYPERLINK("http://nlpdeep.cs.uic.edu:8080/proofing/gsii/323048-medication-history-0-0.pdf","gsii/323048-medication-history-0-0.pdf")</f>
        <v>gsii/323048-medication-history-0-0.pdf</v>
      </c>
      <c r="F1797">
        <v>146230</v>
      </c>
      <c r="G1797">
        <v>323048</v>
      </c>
      <c r="H1797" t="s">
        <v>9</v>
      </c>
      <c r="I1797" t="s">
        <v>336</v>
      </c>
      <c r="J1797" t="s">
        <v>5172</v>
      </c>
    </row>
    <row r="1798" spans="1:10" x14ac:dyDescent="0.2">
      <c r="A1798" t="s">
        <v>5173</v>
      </c>
      <c r="E1798" t="str">
        <f>HYPERLINK("http://nlpdeep.cs.uic.edu:8080/proofing/t5/323048-flowsheet-data-vitals-0-0.pdf","t5/323048-flowsheet-data-vitals-0-0.pdf")</f>
        <v>t5/323048-flowsheet-data-vitals-0-0.pdf</v>
      </c>
      <c r="F1798">
        <v>146230</v>
      </c>
      <c r="G1798">
        <v>323048</v>
      </c>
      <c r="H1798" t="s">
        <v>9</v>
      </c>
      <c r="I1798" t="s">
        <v>135</v>
      </c>
      <c r="J1798" t="s">
        <v>5174</v>
      </c>
    </row>
    <row r="1799" spans="1:10" x14ac:dyDescent="0.2">
      <c r="A1799" t="s">
        <v>5173</v>
      </c>
      <c r="E1799" t="str">
        <f>HYPERLINK("http://nlpdeep.cs.uic.edu:8080/proofing/gsii/323048-flowsheet-data-vitals-0-0.pdf","gsii/323048-flowsheet-data-vitals-0-0.pdf")</f>
        <v>gsii/323048-flowsheet-data-vitals-0-0.pdf</v>
      </c>
      <c r="F1799">
        <v>146230</v>
      </c>
      <c r="G1799">
        <v>323048</v>
      </c>
      <c r="H1799" t="s">
        <v>9</v>
      </c>
      <c r="I1799" t="s">
        <v>135</v>
      </c>
      <c r="J1799" t="s">
        <v>5174</v>
      </c>
    </row>
    <row r="1800" spans="1:10" x14ac:dyDescent="0.2">
      <c r="A1800" t="s">
        <v>5175</v>
      </c>
      <c r="E1800" t="str">
        <f>HYPERLINK("http://nlpdeep.cs.uic.edu:8080/proofing/t5/323048-physical-examination-0-0.pdf","t5/323048-physical-examination-0-0.pdf")</f>
        <v>t5/323048-physical-examination-0-0.pdf</v>
      </c>
      <c r="F1800">
        <v>146230</v>
      </c>
      <c r="G1800">
        <v>323048</v>
      </c>
      <c r="H1800" t="s">
        <v>9</v>
      </c>
      <c r="I1800" t="s">
        <v>138</v>
      </c>
      <c r="J1800" t="s">
        <v>5176</v>
      </c>
    </row>
    <row r="1801" spans="1:10" x14ac:dyDescent="0.2">
      <c r="A1801" t="s">
        <v>5175</v>
      </c>
      <c r="E1801" t="str">
        <f>HYPERLINK("http://nlpdeep.cs.uic.edu:8080/proofing/gsii/323048-physical-examination-0-0.pdf","gsii/323048-physical-examination-0-0.pdf")</f>
        <v>gsii/323048-physical-examination-0-0.pdf</v>
      </c>
      <c r="F1801">
        <v>146230</v>
      </c>
      <c r="G1801">
        <v>323048</v>
      </c>
      <c r="H1801" t="s">
        <v>9</v>
      </c>
      <c r="I1801" t="s">
        <v>138</v>
      </c>
      <c r="J1801" t="s">
        <v>5176</v>
      </c>
    </row>
    <row r="1802" spans="1:10" x14ac:dyDescent="0.2">
      <c r="A1802" t="s">
        <v>5177</v>
      </c>
      <c r="E1802" t="str">
        <f>HYPERLINK("http://nlpdeep.cs.uic.edu:8080/proofing/t5/323048-labs-imaging-0-0.pdf","t5/323048-labs-imaging-0-0.pdf")</f>
        <v>t5/323048-labs-imaging-0-0.pdf</v>
      </c>
      <c r="F1802">
        <v>146230</v>
      </c>
      <c r="G1802">
        <v>323048</v>
      </c>
      <c r="H1802" t="s">
        <v>9</v>
      </c>
      <c r="I1802" t="s">
        <v>147</v>
      </c>
      <c r="J1802" t="s">
        <v>5178</v>
      </c>
    </row>
    <row r="1803" spans="1:10" x14ac:dyDescent="0.2">
      <c r="A1803" t="s">
        <v>5177</v>
      </c>
      <c r="E1803" t="str">
        <f>HYPERLINK("http://nlpdeep.cs.uic.edu:8080/proofing/gsii/323048-labs-imaging-0-0.pdf","gsii/323048-labs-imaging-0-0.pdf")</f>
        <v>gsii/323048-labs-imaging-0-0.pdf</v>
      </c>
      <c r="F1803">
        <v>146230</v>
      </c>
      <c r="G1803">
        <v>323048</v>
      </c>
      <c r="H1803" t="s">
        <v>9</v>
      </c>
      <c r="I1803" t="s">
        <v>147</v>
      </c>
      <c r="J1803" t="s">
        <v>5178</v>
      </c>
    </row>
    <row r="1804" spans="1:10" x14ac:dyDescent="0.2">
      <c r="A1804" t="s">
        <v>5179</v>
      </c>
      <c r="E1804" t="str">
        <f>HYPERLINK("http://nlpdeep.cs.uic.edu:8080/proofing/t5/323048-labs-imaging-0-1.pdf","t5/323048-labs-imaging-0-1.pdf")</f>
        <v>t5/323048-labs-imaging-0-1.pdf</v>
      </c>
      <c r="F1804">
        <v>146230</v>
      </c>
      <c r="G1804">
        <v>323048</v>
      </c>
      <c r="H1804" t="s">
        <v>9</v>
      </c>
      <c r="I1804" t="s">
        <v>147</v>
      </c>
      <c r="J1804" t="s">
        <v>5180</v>
      </c>
    </row>
    <row r="1805" spans="1:10" x14ac:dyDescent="0.2">
      <c r="A1805" t="s">
        <v>5179</v>
      </c>
      <c r="E1805" t="str">
        <f>HYPERLINK("http://nlpdeep.cs.uic.edu:8080/proofing/gsii/323048-labs-imaging-0-1.pdf","gsii/323048-labs-imaging-0-1.pdf")</f>
        <v>gsii/323048-labs-imaging-0-1.pdf</v>
      </c>
      <c r="F1805">
        <v>146230</v>
      </c>
      <c r="G1805">
        <v>323048</v>
      </c>
      <c r="H1805" t="s">
        <v>9</v>
      </c>
      <c r="I1805" t="s">
        <v>147</v>
      </c>
      <c r="J1805" t="s">
        <v>5180</v>
      </c>
    </row>
    <row r="1806" spans="1:10" x14ac:dyDescent="0.2">
      <c r="A1806" t="s">
        <v>5181</v>
      </c>
      <c r="E1806" t="str">
        <f>HYPERLINK("http://nlpdeep.cs.uic.edu:8080/proofing/t5/323048-labs-imaging-0-2.pdf","t5/323048-labs-imaging-0-2.pdf")</f>
        <v>t5/323048-labs-imaging-0-2.pdf</v>
      </c>
      <c r="F1806">
        <v>146230</v>
      </c>
      <c r="G1806">
        <v>323048</v>
      </c>
      <c r="H1806" t="s">
        <v>9</v>
      </c>
      <c r="I1806" t="s">
        <v>147</v>
      </c>
      <c r="J1806" t="s">
        <v>5182</v>
      </c>
    </row>
    <row r="1807" spans="1:10" x14ac:dyDescent="0.2">
      <c r="A1807" t="s">
        <v>5181</v>
      </c>
      <c r="E1807" t="str">
        <f>HYPERLINK("http://nlpdeep.cs.uic.edu:8080/proofing/gsii/323048-labs-imaging-0-2.pdf","gsii/323048-labs-imaging-0-2.pdf")</f>
        <v>gsii/323048-labs-imaging-0-2.pdf</v>
      </c>
      <c r="F1807">
        <v>146230</v>
      </c>
      <c r="G1807">
        <v>323048</v>
      </c>
      <c r="H1807" t="s">
        <v>9</v>
      </c>
      <c r="I1807" t="s">
        <v>147</v>
      </c>
      <c r="J1807" t="s">
        <v>5182</v>
      </c>
    </row>
    <row r="1808" spans="1:10" x14ac:dyDescent="0.2">
      <c r="A1808" t="s">
        <v>5183</v>
      </c>
      <c r="E1808" t="str">
        <f>HYPERLINK("http://nlpdeep.cs.uic.edu:8080/proofing/t5/323048-assessment-and-plan-0-0.pdf","t5/323048-assessment-and-plan-0-0.pdf")</f>
        <v>t5/323048-assessment-and-plan-0-0.pdf</v>
      </c>
      <c r="F1808">
        <v>146230</v>
      </c>
      <c r="G1808">
        <v>323048</v>
      </c>
      <c r="H1808" t="s">
        <v>9</v>
      </c>
      <c r="I1808" t="s">
        <v>195</v>
      </c>
      <c r="J1808" t="s">
        <v>5184</v>
      </c>
    </row>
    <row r="1809" spans="1:10" x14ac:dyDescent="0.2">
      <c r="A1809" t="s">
        <v>5183</v>
      </c>
      <c r="E1809" t="str">
        <f>HYPERLINK("http://nlpdeep.cs.uic.edu:8080/proofing/gsii/323048-assessment-and-plan-0-0.pdf","gsii/323048-assessment-and-plan-0-0.pdf")</f>
        <v>gsii/323048-assessment-and-plan-0-0.pdf</v>
      </c>
      <c r="F1809">
        <v>146230</v>
      </c>
      <c r="G1809">
        <v>323048</v>
      </c>
      <c r="H1809" t="s">
        <v>9</v>
      </c>
      <c r="I1809" t="s">
        <v>195</v>
      </c>
      <c r="J1809" t="s">
        <v>5184</v>
      </c>
    </row>
    <row r="1810" spans="1:10" x14ac:dyDescent="0.2">
      <c r="A1810" t="s">
        <v>5185</v>
      </c>
      <c r="E1810" t="str">
        <f>HYPERLINK("http://nlpdeep.cs.uic.edu:8080/proofing/t5/323048-assessment-and-plan-0-1.pdf","t5/323048-assessment-and-plan-0-1.pdf")</f>
        <v>t5/323048-assessment-and-plan-0-1.pdf</v>
      </c>
      <c r="F1810">
        <v>146230</v>
      </c>
      <c r="G1810">
        <v>323048</v>
      </c>
      <c r="H1810" t="s">
        <v>9</v>
      </c>
      <c r="I1810" t="s">
        <v>195</v>
      </c>
      <c r="J1810" t="s">
        <v>5186</v>
      </c>
    </row>
    <row r="1811" spans="1:10" x14ac:dyDescent="0.2">
      <c r="A1811" t="s">
        <v>5185</v>
      </c>
      <c r="E1811" t="str">
        <f>HYPERLINK("http://nlpdeep.cs.uic.edu:8080/proofing/gsii/323048-assessment-and-plan-0-1.pdf","gsii/323048-assessment-and-plan-0-1.pdf")</f>
        <v>gsii/323048-assessment-and-plan-0-1.pdf</v>
      </c>
      <c r="F1811">
        <v>146230</v>
      </c>
      <c r="G1811">
        <v>323048</v>
      </c>
      <c r="H1811" t="s">
        <v>9</v>
      </c>
      <c r="I1811" t="s">
        <v>195</v>
      </c>
      <c r="J1811" t="s">
        <v>5186</v>
      </c>
    </row>
    <row r="1812" spans="1:10" x14ac:dyDescent="0.2">
      <c r="A1812" t="s">
        <v>5187</v>
      </c>
      <c r="E1812" t="str">
        <f>HYPERLINK("http://nlpdeep.cs.uic.edu:8080/proofing/t5/323048-assessment-and-plan-0-2.pdf","t5/323048-assessment-and-plan-0-2.pdf")</f>
        <v>t5/323048-assessment-and-plan-0-2.pdf</v>
      </c>
      <c r="F1812">
        <v>146230</v>
      </c>
      <c r="G1812">
        <v>323048</v>
      </c>
      <c r="H1812" t="s">
        <v>9</v>
      </c>
      <c r="I1812" t="s">
        <v>195</v>
      </c>
      <c r="J1812" t="s">
        <v>5188</v>
      </c>
    </row>
    <row r="1813" spans="1:10" x14ac:dyDescent="0.2">
      <c r="A1813" t="s">
        <v>5187</v>
      </c>
      <c r="E1813" t="str">
        <f>HYPERLINK("http://nlpdeep.cs.uic.edu:8080/proofing/gsii/323048-assessment-and-plan-0-2.pdf","gsii/323048-assessment-and-plan-0-2.pdf")</f>
        <v>gsii/323048-assessment-and-plan-0-2.pdf</v>
      </c>
      <c r="F1813">
        <v>146230</v>
      </c>
      <c r="G1813">
        <v>323048</v>
      </c>
      <c r="H1813" t="s">
        <v>9</v>
      </c>
      <c r="I1813" t="s">
        <v>195</v>
      </c>
      <c r="J1813" t="s">
        <v>5188</v>
      </c>
    </row>
    <row r="1814" spans="1:10" x14ac:dyDescent="0.2">
      <c r="A1814" t="s">
        <v>5189</v>
      </c>
      <c r="E1814" t="str">
        <f>HYPERLINK("http://nlpdeep.cs.uic.edu:8080/proofing/t5/323048-assessment-and-plan-0-3.pdf","t5/323048-assessment-and-plan-0-3.pdf")</f>
        <v>t5/323048-assessment-and-plan-0-3.pdf</v>
      </c>
      <c r="F1814">
        <v>146230</v>
      </c>
      <c r="G1814">
        <v>323048</v>
      </c>
      <c r="H1814" t="s">
        <v>9</v>
      </c>
      <c r="I1814" t="s">
        <v>195</v>
      </c>
      <c r="J1814" t="s">
        <v>5190</v>
      </c>
    </row>
    <row r="1815" spans="1:10" x14ac:dyDescent="0.2">
      <c r="A1815" t="s">
        <v>5189</v>
      </c>
      <c r="E1815" t="str">
        <f>HYPERLINK("http://nlpdeep.cs.uic.edu:8080/proofing/gsii/323048-assessment-and-plan-0-3.pdf","gsii/323048-assessment-and-plan-0-3.pdf")</f>
        <v>gsii/323048-assessment-and-plan-0-3.pdf</v>
      </c>
      <c r="F1815">
        <v>146230</v>
      </c>
      <c r="G1815">
        <v>323048</v>
      </c>
      <c r="H1815" t="s">
        <v>9</v>
      </c>
      <c r="I1815" t="s">
        <v>195</v>
      </c>
      <c r="J1815" t="s">
        <v>5190</v>
      </c>
    </row>
    <row r="1816" spans="1:10" x14ac:dyDescent="0.2">
      <c r="A1816" t="s">
        <v>5191</v>
      </c>
      <c r="E1816" t="str">
        <f>HYPERLINK("http://nlpdeep.cs.uic.edu:8080/proofing/t5/323048-assessment-and-plan-0-4.pdf","t5/323048-assessment-and-plan-0-4.pdf")</f>
        <v>t5/323048-assessment-and-plan-0-4.pdf</v>
      </c>
      <c r="F1816">
        <v>146230</v>
      </c>
      <c r="G1816">
        <v>323048</v>
      </c>
      <c r="H1816" t="s">
        <v>9</v>
      </c>
      <c r="I1816" t="s">
        <v>195</v>
      </c>
      <c r="J1816" t="s">
        <v>5192</v>
      </c>
    </row>
    <row r="1817" spans="1:10" x14ac:dyDescent="0.2">
      <c r="A1817" t="s">
        <v>5191</v>
      </c>
      <c r="E1817" t="str">
        <f>HYPERLINK("http://nlpdeep.cs.uic.edu:8080/proofing/gsii/323048-assessment-and-plan-0-4.pdf","gsii/323048-assessment-and-plan-0-4.pdf")</f>
        <v>gsii/323048-assessment-and-plan-0-4.pdf</v>
      </c>
      <c r="F1817">
        <v>146230</v>
      </c>
      <c r="G1817">
        <v>323048</v>
      </c>
      <c r="H1817" t="s">
        <v>9</v>
      </c>
      <c r="I1817" t="s">
        <v>195</v>
      </c>
      <c r="J1817" t="s">
        <v>5192</v>
      </c>
    </row>
    <row r="1818" spans="1:10" x14ac:dyDescent="0.2">
      <c r="A1818" t="s">
        <v>5193</v>
      </c>
      <c r="E1818" t="str">
        <f>HYPERLINK("http://nlpdeep.cs.uic.edu:8080/proofing/t5/323048-assessment-and-plan-0-5.pdf","t5/323048-assessment-and-plan-0-5.pdf")</f>
        <v>t5/323048-assessment-and-plan-0-5.pdf</v>
      </c>
      <c r="F1818">
        <v>146230</v>
      </c>
      <c r="G1818">
        <v>323048</v>
      </c>
      <c r="H1818" t="s">
        <v>9</v>
      </c>
      <c r="I1818" t="s">
        <v>195</v>
      </c>
      <c r="J1818" t="s">
        <v>5194</v>
      </c>
    </row>
    <row r="1819" spans="1:10" x14ac:dyDescent="0.2">
      <c r="A1819" t="s">
        <v>5193</v>
      </c>
      <c r="E1819" t="str">
        <f>HYPERLINK("http://nlpdeep.cs.uic.edu:8080/proofing/gsii/323048-assessment-and-plan-0-5.pdf","gsii/323048-assessment-and-plan-0-5.pdf")</f>
        <v>gsii/323048-assessment-and-plan-0-5.pdf</v>
      </c>
      <c r="F1819">
        <v>146230</v>
      </c>
      <c r="G1819">
        <v>323048</v>
      </c>
      <c r="H1819" t="s">
        <v>9</v>
      </c>
      <c r="I1819" t="s">
        <v>195</v>
      </c>
      <c r="J1819" t="s">
        <v>5194</v>
      </c>
    </row>
    <row r="1820" spans="1:10" x14ac:dyDescent="0.2">
      <c r="A1820" t="s">
        <v>5195</v>
      </c>
      <c r="E1820" t="str">
        <f>HYPERLINK("http://nlpdeep.cs.uic.edu:8080/proofing/t5/323048-assessment-and-plan-0-6.pdf","t5/323048-assessment-and-plan-0-6.pdf")</f>
        <v>t5/323048-assessment-and-plan-0-6.pdf</v>
      </c>
      <c r="F1820">
        <v>146230</v>
      </c>
      <c r="G1820">
        <v>323048</v>
      </c>
      <c r="H1820" t="s">
        <v>9</v>
      </c>
      <c r="I1820" t="s">
        <v>195</v>
      </c>
      <c r="J1820" t="s">
        <v>5196</v>
      </c>
    </row>
    <row r="1821" spans="1:10" x14ac:dyDescent="0.2">
      <c r="A1821" t="s">
        <v>5195</v>
      </c>
      <c r="E1821" t="str">
        <f>HYPERLINK("http://nlpdeep.cs.uic.edu:8080/proofing/gsii/323048-assessment-and-plan-0-6.pdf","gsii/323048-assessment-and-plan-0-6.pdf")</f>
        <v>gsii/323048-assessment-and-plan-0-6.pdf</v>
      </c>
      <c r="F1821">
        <v>146230</v>
      </c>
      <c r="G1821">
        <v>323048</v>
      </c>
      <c r="H1821" t="s">
        <v>9</v>
      </c>
      <c r="I1821" t="s">
        <v>195</v>
      </c>
      <c r="J1821" t="s">
        <v>5196</v>
      </c>
    </row>
    <row r="1822" spans="1:10" x14ac:dyDescent="0.2">
      <c r="A1822" t="s">
        <v>5197</v>
      </c>
      <c r="E1822" t="str">
        <f>HYPERLINK("http://nlpdeep.cs.uic.edu:8080/proofing/t5/323048-assessment-and-plan-0-7.pdf","t5/323048-assessment-and-plan-0-7.pdf")</f>
        <v>t5/323048-assessment-and-plan-0-7.pdf</v>
      </c>
      <c r="F1822">
        <v>146230</v>
      </c>
      <c r="G1822">
        <v>323048</v>
      </c>
      <c r="H1822" t="s">
        <v>9</v>
      </c>
      <c r="I1822" t="s">
        <v>195</v>
      </c>
      <c r="J1822" t="s">
        <v>5198</v>
      </c>
    </row>
    <row r="1823" spans="1:10" x14ac:dyDescent="0.2">
      <c r="A1823" t="s">
        <v>5197</v>
      </c>
      <c r="E1823" t="str">
        <f>HYPERLINK("http://nlpdeep.cs.uic.edu:8080/proofing/gsii/323048-assessment-and-plan-0-7.pdf","gsii/323048-assessment-and-plan-0-7.pdf")</f>
        <v>gsii/323048-assessment-and-plan-0-7.pdf</v>
      </c>
      <c r="F1823">
        <v>146230</v>
      </c>
      <c r="G1823">
        <v>323048</v>
      </c>
      <c r="H1823" t="s">
        <v>9</v>
      </c>
      <c r="I1823" t="s">
        <v>195</v>
      </c>
      <c r="J1823" t="s">
        <v>5198</v>
      </c>
    </row>
    <row r="1824" spans="1:10" x14ac:dyDescent="0.2">
      <c r="A1824" t="s">
        <v>5199</v>
      </c>
      <c r="E1824" t="str">
        <f>HYPERLINK("http://nlpdeep.cs.uic.edu:8080/proofing/t5/323048-communication-0-0.pdf","t5/323048-communication-0-0.pdf")</f>
        <v>t5/323048-communication-0-0.pdf</v>
      </c>
      <c r="F1824">
        <v>146230</v>
      </c>
      <c r="G1824">
        <v>323048</v>
      </c>
      <c r="H1824" t="s">
        <v>9</v>
      </c>
      <c r="I1824" t="s">
        <v>198</v>
      </c>
      <c r="J1824" t="s">
        <v>534</v>
      </c>
    </row>
    <row r="1825" spans="1:10" x14ac:dyDescent="0.2">
      <c r="A1825" t="s">
        <v>5199</v>
      </c>
      <c r="E1825" t="str">
        <f>HYPERLINK("http://nlpdeep.cs.uic.edu:8080/proofing/gsii/323048-communication-0-0.pdf","gsii/323048-communication-0-0.pdf")</f>
        <v>gsii/323048-communication-0-0.pdf</v>
      </c>
      <c r="F1825">
        <v>146230</v>
      </c>
      <c r="G1825">
        <v>323048</v>
      </c>
      <c r="H1825" t="s">
        <v>9</v>
      </c>
      <c r="I1825" t="s">
        <v>198</v>
      </c>
      <c r="J1825" t="s">
        <v>534</v>
      </c>
    </row>
    <row r="1826" spans="1:10" x14ac:dyDescent="0.2">
      <c r="A1826" t="s">
        <v>5200</v>
      </c>
      <c r="E1826" t="str">
        <f>HYPERLINK("http://nlpdeep.cs.uic.edu:8080/proofing/t5/323048-code-status-0-0.pdf","t5/323048-code-status-0-0.pdf")</f>
        <v>t5/323048-code-status-0-0.pdf</v>
      </c>
      <c r="F1826">
        <v>146230</v>
      </c>
      <c r="G1826">
        <v>323048</v>
      </c>
      <c r="H1826" t="s">
        <v>9</v>
      </c>
      <c r="I1826" t="s">
        <v>201</v>
      </c>
      <c r="J1826" t="s">
        <v>536</v>
      </c>
    </row>
    <row r="1827" spans="1:10" x14ac:dyDescent="0.2">
      <c r="A1827" t="s">
        <v>5200</v>
      </c>
      <c r="E1827" t="str">
        <f>HYPERLINK("http://nlpdeep.cs.uic.edu:8080/proofing/gsii/323048-code-status-0-0.pdf","gsii/323048-code-status-0-0.pdf")</f>
        <v>gsii/323048-code-status-0-0.pdf</v>
      </c>
      <c r="F1827">
        <v>146230</v>
      </c>
      <c r="G1827">
        <v>323048</v>
      </c>
      <c r="H1827" t="s">
        <v>9</v>
      </c>
      <c r="I1827" t="s">
        <v>201</v>
      </c>
      <c r="J1827" t="s">
        <v>536</v>
      </c>
    </row>
    <row r="1828" spans="1:10" x14ac:dyDescent="0.2">
      <c r="A1828" t="s">
        <v>5201</v>
      </c>
      <c r="E1828" t="str">
        <f>HYPERLINK("http://nlpdeep.cs.uic.edu:8080/proofing/t5/323048-disposition-0-0.pdf","t5/323048-disposition-0-0.pdf")</f>
        <v>t5/323048-disposition-0-0.pdf</v>
      </c>
      <c r="F1828">
        <v>146230</v>
      </c>
      <c r="G1828">
        <v>323048</v>
      </c>
      <c r="H1828" t="s">
        <v>9</v>
      </c>
      <c r="I1828" t="s">
        <v>204</v>
      </c>
      <c r="J1828" t="s">
        <v>5202</v>
      </c>
    </row>
    <row r="1829" spans="1:10" x14ac:dyDescent="0.2">
      <c r="A1829" t="s">
        <v>5201</v>
      </c>
      <c r="E1829" t="str">
        <f>HYPERLINK("http://nlpdeep.cs.uic.edu:8080/proofing/gsii/323048-disposition-0-0.pdf","gsii/323048-disposition-0-0.pdf")</f>
        <v>gsii/323048-disposition-0-0.pdf</v>
      </c>
      <c r="F1829">
        <v>146230</v>
      </c>
      <c r="G1829">
        <v>323048</v>
      </c>
      <c r="H1829" t="s">
        <v>9</v>
      </c>
      <c r="I1829" t="s">
        <v>204</v>
      </c>
      <c r="J1829" t="s">
        <v>5202</v>
      </c>
    </row>
    <row r="1830" spans="1:10" x14ac:dyDescent="0.2">
      <c r="A1830" t="s">
        <v>5203</v>
      </c>
      <c r="E1830" t="str">
        <f>HYPERLINK("http://nlpdeep.cs.uic.edu:8080/proofing/t5/323041-chief-complaint-0-0.pdf","t5/323041-chief-complaint-0-0.pdf")</f>
        <v>t5/323041-chief-complaint-0-0.pdf</v>
      </c>
      <c r="F1830">
        <v>146230</v>
      </c>
      <c r="G1830">
        <v>323041</v>
      </c>
      <c r="H1830" t="s">
        <v>9</v>
      </c>
      <c r="I1830" t="s">
        <v>10</v>
      </c>
      <c r="J1830" t="s">
        <v>5204</v>
      </c>
    </row>
    <row r="1831" spans="1:10" x14ac:dyDescent="0.2">
      <c r="A1831" t="s">
        <v>5203</v>
      </c>
      <c r="E1831" t="str">
        <f>HYPERLINK("http://nlpdeep.cs.uic.edu:8080/proofing/gsii/323041-chief-complaint-0-0.pdf","gsii/323041-chief-complaint-0-0.pdf")</f>
        <v>gsii/323041-chief-complaint-0-0.pdf</v>
      </c>
      <c r="F1831">
        <v>146230</v>
      </c>
      <c r="G1831">
        <v>323041</v>
      </c>
      <c r="H1831" t="s">
        <v>9</v>
      </c>
      <c r="I1831" t="s">
        <v>10</v>
      </c>
      <c r="J1831" t="s">
        <v>5204</v>
      </c>
    </row>
    <row r="1832" spans="1:10" x14ac:dyDescent="0.2">
      <c r="A1832" t="s">
        <v>5205</v>
      </c>
      <c r="E1832" t="str">
        <f>HYPERLINK("http://nlpdeep.cs.uic.edu:8080/proofing/t5/323041-history-of-present-illness-0-0.pdf","t5/323041-history-of-present-illness-0-0.pdf")</f>
        <v>t5/323041-history-of-present-illness-0-0.pdf</v>
      </c>
      <c r="F1832">
        <v>146230</v>
      </c>
      <c r="G1832">
        <v>323041</v>
      </c>
      <c r="H1832" t="s">
        <v>9</v>
      </c>
      <c r="I1832" t="s">
        <v>13</v>
      </c>
      <c r="J1832" t="s">
        <v>5206</v>
      </c>
    </row>
    <row r="1833" spans="1:10" x14ac:dyDescent="0.2">
      <c r="A1833" t="s">
        <v>5205</v>
      </c>
      <c r="E1833" t="str">
        <f>HYPERLINK("http://nlpdeep.cs.uic.edu:8080/proofing/gsii/323041-history-of-present-illness-0-0.pdf","gsii/323041-history-of-present-illness-0-0.pdf")</f>
        <v>gsii/323041-history-of-present-illness-0-0.pdf</v>
      </c>
      <c r="F1833">
        <v>146230</v>
      </c>
      <c r="G1833">
        <v>323041</v>
      </c>
      <c r="H1833" t="s">
        <v>9</v>
      </c>
      <c r="I1833" t="s">
        <v>13</v>
      </c>
      <c r="J1833" t="s">
        <v>5206</v>
      </c>
    </row>
    <row r="1834" spans="1:10" x14ac:dyDescent="0.2">
      <c r="A1834" t="s">
        <v>5207</v>
      </c>
      <c r="E1834" t="str">
        <f>HYPERLINK("http://nlpdeep.cs.uic.edu:8080/proofing/t5/323041-history-of-present-illness-0-1.pdf","t5/323041-history-of-present-illness-0-1.pdf")</f>
        <v>t5/323041-history-of-present-illness-0-1.pdf</v>
      </c>
      <c r="F1834">
        <v>146230</v>
      </c>
      <c r="G1834">
        <v>323041</v>
      </c>
      <c r="H1834" t="s">
        <v>9</v>
      </c>
      <c r="I1834" t="s">
        <v>13</v>
      </c>
      <c r="J1834" t="s">
        <v>5208</v>
      </c>
    </row>
    <row r="1835" spans="1:10" x14ac:dyDescent="0.2">
      <c r="A1835" t="s">
        <v>5207</v>
      </c>
      <c r="E1835" t="str">
        <f>HYPERLINK("http://nlpdeep.cs.uic.edu:8080/proofing/gsii/323041-history-of-present-illness-0-1.pdf","gsii/323041-history-of-present-illness-0-1.pdf")</f>
        <v>gsii/323041-history-of-present-illness-0-1.pdf</v>
      </c>
      <c r="F1835">
        <v>146230</v>
      </c>
      <c r="G1835">
        <v>323041</v>
      </c>
      <c r="H1835" t="s">
        <v>9</v>
      </c>
      <c r="I1835" t="s">
        <v>13</v>
      </c>
      <c r="J1835" t="s">
        <v>5208</v>
      </c>
    </row>
    <row r="1836" spans="1:10" x14ac:dyDescent="0.2">
      <c r="A1836" t="s">
        <v>5209</v>
      </c>
      <c r="E1836" t="str">
        <f>HYPERLINK("http://nlpdeep.cs.uic.edu:8080/proofing/t5/323041-history-of-present-illness-0-2.pdf","t5/323041-history-of-present-illness-0-2.pdf")</f>
        <v>t5/323041-history-of-present-illness-0-2.pdf</v>
      </c>
      <c r="F1836">
        <v>146230</v>
      </c>
      <c r="G1836">
        <v>323041</v>
      </c>
      <c r="H1836" t="s">
        <v>9</v>
      </c>
      <c r="I1836" t="s">
        <v>13</v>
      </c>
      <c r="J1836" t="s">
        <v>5210</v>
      </c>
    </row>
    <row r="1837" spans="1:10" x14ac:dyDescent="0.2">
      <c r="A1837" t="s">
        <v>5209</v>
      </c>
      <c r="E1837" t="str">
        <f>HYPERLINK("http://nlpdeep.cs.uic.edu:8080/proofing/gsii/323041-history-of-present-illness-0-2.pdf","gsii/323041-history-of-present-illness-0-2.pdf")</f>
        <v>gsii/323041-history-of-present-illness-0-2.pdf</v>
      </c>
      <c r="F1837">
        <v>146230</v>
      </c>
      <c r="G1837">
        <v>323041</v>
      </c>
      <c r="H1837" t="s">
        <v>9</v>
      </c>
      <c r="I1837" t="s">
        <v>13</v>
      </c>
      <c r="J1837" t="s">
        <v>5210</v>
      </c>
    </row>
    <row r="1838" spans="1:10" x14ac:dyDescent="0.2">
      <c r="A1838" t="s">
        <v>5211</v>
      </c>
      <c r="E1838" t="str">
        <f>HYPERLINK("http://nlpdeep.cs.uic.edu:8080/proofing/t5/323041-history-of-present-illness-0-3.pdf","t5/323041-history-of-present-illness-0-3.pdf")</f>
        <v>t5/323041-history-of-present-illness-0-3.pdf</v>
      </c>
      <c r="F1838">
        <v>146230</v>
      </c>
      <c r="G1838">
        <v>323041</v>
      </c>
      <c r="H1838" t="s">
        <v>9</v>
      </c>
      <c r="I1838" t="s">
        <v>13</v>
      </c>
      <c r="J1838" t="s">
        <v>5212</v>
      </c>
    </row>
    <row r="1839" spans="1:10" x14ac:dyDescent="0.2">
      <c r="A1839" t="s">
        <v>5211</v>
      </c>
      <c r="E1839" t="str">
        <f>HYPERLINK("http://nlpdeep.cs.uic.edu:8080/proofing/gsii/323041-history-of-present-illness-0-3.pdf","gsii/323041-history-of-present-illness-0-3.pdf")</f>
        <v>gsii/323041-history-of-present-illness-0-3.pdf</v>
      </c>
      <c r="F1839">
        <v>146230</v>
      </c>
      <c r="G1839">
        <v>323041</v>
      </c>
      <c r="H1839" t="s">
        <v>9</v>
      </c>
      <c r="I1839" t="s">
        <v>13</v>
      </c>
      <c r="J1839" t="s">
        <v>5212</v>
      </c>
    </row>
    <row r="1840" spans="1:10" x14ac:dyDescent="0.2">
      <c r="A1840" t="s">
        <v>5213</v>
      </c>
      <c r="E1840" t="str">
        <f>HYPERLINK("http://nlpdeep.cs.uic.edu:8080/proofing/t5/323041-history-of-present-illness-0-4.pdf","t5/323041-history-of-present-illness-0-4.pdf")</f>
        <v>t5/323041-history-of-present-illness-0-4.pdf</v>
      </c>
      <c r="F1840">
        <v>146230</v>
      </c>
      <c r="G1840">
        <v>323041</v>
      </c>
      <c r="H1840" t="s">
        <v>9</v>
      </c>
      <c r="I1840" t="s">
        <v>13</v>
      </c>
      <c r="J1840" t="s">
        <v>5214</v>
      </c>
    </row>
    <row r="1841" spans="1:10" x14ac:dyDescent="0.2">
      <c r="A1841" t="s">
        <v>5213</v>
      </c>
      <c r="E1841" t="str">
        <f>HYPERLINK("http://nlpdeep.cs.uic.edu:8080/proofing/gsii/323041-history-of-present-illness-0-4.pdf","gsii/323041-history-of-present-illness-0-4.pdf")</f>
        <v>gsii/323041-history-of-present-illness-0-4.pdf</v>
      </c>
      <c r="F1841">
        <v>146230</v>
      </c>
      <c r="G1841">
        <v>323041</v>
      </c>
      <c r="H1841" t="s">
        <v>9</v>
      </c>
      <c r="I1841" t="s">
        <v>13</v>
      </c>
      <c r="J1841" t="s">
        <v>5214</v>
      </c>
    </row>
    <row r="1842" spans="1:10" x14ac:dyDescent="0.2">
      <c r="A1842" t="s">
        <v>5215</v>
      </c>
      <c r="E1842" t="str">
        <f>HYPERLINK("http://nlpdeep.cs.uic.edu:8080/proofing/t5/323041-history-of-present-illness-0-5.pdf","t5/323041-history-of-present-illness-0-5.pdf")</f>
        <v>t5/323041-history-of-present-illness-0-5.pdf</v>
      </c>
      <c r="F1842">
        <v>146230</v>
      </c>
      <c r="G1842">
        <v>323041</v>
      </c>
      <c r="H1842" t="s">
        <v>9</v>
      </c>
      <c r="I1842" t="s">
        <v>13</v>
      </c>
      <c r="J1842" t="s">
        <v>5216</v>
      </c>
    </row>
    <row r="1843" spans="1:10" x14ac:dyDescent="0.2">
      <c r="A1843" t="s">
        <v>5215</v>
      </c>
      <c r="E1843" t="str">
        <f>HYPERLINK("http://nlpdeep.cs.uic.edu:8080/proofing/gsii/323041-history-of-present-illness-0-5.pdf","gsii/323041-history-of-present-illness-0-5.pdf")</f>
        <v>gsii/323041-history-of-present-illness-0-5.pdf</v>
      </c>
      <c r="F1843">
        <v>146230</v>
      </c>
      <c r="G1843">
        <v>323041</v>
      </c>
      <c r="H1843" t="s">
        <v>9</v>
      </c>
      <c r="I1843" t="s">
        <v>13</v>
      </c>
      <c r="J1843" t="s">
        <v>5216</v>
      </c>
    </row>
    <row r="1844" spans="1:10" x14ac:dyDescent="0.2">
      <c r="A1844" t="s">
        <v>5217</v>
      </c>
      <c r="E1844" t="str">
        <f>HYPERLINK("http://nlpdeep.cs.uic.edu:8080/proofing/t5/323041-history-of-present-illness-0-6.pdf","t5/323041-history-of-present-illness-0-6.pdf")</f>
        <v>t5/323041-history-of-present-illness-0-6.pdf</v>
      </c>
      <c r="F1844">
        <v>146230</v>
      </c>
      <c r="G1844">
        <v>323041</v>
      </c>
      <c r="H1844" t="s">
        <v>9</v>
      </c>
      <c r="I1844" t="s">
        <v>13</v>
      </c>
      <c r="J1844" t="s">
        <v>5218</v>
      </c>
    </row>
    <row r="1845" spans="1:10" x14ac:dyDescent="0.2">
      <c r="A1845" t="s">
        <v>5217</v>
      </c>
      <c r="E1845" t="str">
        <f>HYPERLINK("http://nlpdeep.cs.uic.edu:8080/proofing/gsii/323041-history-of-present-illness-0-6.pdf","gsii/323041-history-of-present-illness-0-6.pdf")</f>
        <v>gsii/323041-history-of-present-illness-0-6.pdf</v>
      </c>
      <c r="F1845">
        <v>146230</v>
      </c>
      <c r="G1845">
        <v>323041</v>
      </c>
      <c r="H1845" t="s">
        <v>9</v>
      </c>
      <c r="I1845" t="s">
        <v>13</v>
      </c>
      <c r="J1845" t="s">
        <v>5218</v>
      </c>
    </row>
    <row r="1846" spans="1:10" x14ac:dyDescent="0.2">
      <c r="A1846" t="s">
        <v>5219</v>
      </c>
      <c r="E1846" t="str">
        <f>HYPERLINK("http://nlpdeep.cs.uic.edu:8080/proofing/t5/323041-history-of-present-illness-0-7.pdf","t5/323041-history-of-present-illness-0-7.pdf")</f>
        <v>t5/323041-history-of-present-illness-0-7.pdf</v>
      </c>
      <c r="F1846">
        <v>146230</v>
      </c>
      <c r="G1846">
        <v>323041</v>
      </c>
      <c r="H1846" t="s">
        <v>9</v>
      </c>
      <c r="I1846" t="s">
        <v>13</v>
      </c>
      <c r="J1846" t="s">
        <v>5220</v>
      </c>
    </row>
    <row r="1847" spans="1:10" x14ac:dyDescent="0.2">
      <c r="A1847" t="s">
        <v>5219</v>
      </c>
      <c r="E1847" t="str">
        <f>HYPERLINK("http://nlpdeep.cs.uic.edu:8080/proofing/gsii/323041-history-of-present-illness-0-7.pdf","gsii/323041-history-of-present-illness-0-7.pdf")</f>
        <v>gsii/323041-history-of-present-illness-0-7.pdf</v>
      </c>
      <c r="F1847">
        <v>146230</v>
      </c>
      <c r="G1847">
        <v>323041</v>
      </c>
      <c r="H1847" t="s">
        <v>9</v>
      </c>
      <c r="I1847" t="s">
        <v>13</v>
      </c>
      <c r="J1847" t="s">
        <v>5220</v>
      </c>
    </row>
    <row r="1848" spans="1:10" x14ac:dyDescent="0.2">
      <c r="A1848" t="s">
        <v>5221</v>
      </c>
      <c r="E1848" t="str">
        <f>HYPERLINK("http://nlpdeep.cs.uic.edu:8080/proofing/t5/323041-history-of-present-illness-0-8.pdf","t5/323041-history-of-present-illness-0-8.pdf")</f>
        <v>t5/323041-history-of-present-illness-0-8.pdf</v>
      </c>
      <c r="F1848">
        <v>146230</v>
      </c>
      <c r="G1848">
        <v>323041</v>
      </c>
      <c r="H1848" t="s">
        <v>9</v>
      </c>
      <c r="I1848" t="s">
        <v>13</v>
      </c>
      <c r="J1848" t="s">
        <v>5222</v>
      </c>
    </row>
    <row r="1849" spans="1:10" x14ac:dyDescent="0.2">
      <c r="A1849" t="s">
        <v>5221</v>
      </c>
      <c r="E1849" t="str">
        <f>HYPERLINK("http://nlpdeep.cs.uic.edu:8080/proofing/gsii/323041-history-of-present-illness-0-8.pdf","gsii/323041-history-of-present-illness-0-8.pdf")</f>
        <v>gsii/323041-history-of-present-illness-0-8.pdf</v>
      </c>
      <c r="F1849">
        <v>146230</v>
      </c>
      <c r="G1849">
        <v>323041</v>
      </c>
      <c r="H1849" t="s">
        <v>9</v>
      </c>
      <c r="I1849" t="s">
        <v>13</v>
      </c>
      <c r="J1849" t="s">
        <v>5222</v>
      </c>
    </row>
    <row r="1850" spans="1:10" x14ac:dyDescent="0.2">
      <c r="A1850" t="s">
        <v>5223</v>
      </c>
      <c r="E1850" t="str">
        <f>HYPERLINK("http://nlpdeep.cs.uic.edu:8080/proofing/t5/323041-history-of-present-illness-0-9.pdf","t5/323041-history-of-present-illness-0-9.pdf")</f>
        <v>t5/323041-history-of-present-illness-0-9.pdf</v>
      </c>
      <c r="F1850">
        <v>146230</v>
      </c>
      <c r="G1850">
        <v>323041</v>
      </c>
      <c r="H1850" t="s">
        <v>9</v>
      </c>
      <c r="I1850" t="s">
        <v>13</v>
      </c>
      <c r="J1850" t="s">
        <v>5224</v>
      </c>
    </row>
    <row r="1851" spans="1:10" x14ac:dyDescent="0.2">
      <c r="A1851" t="s">
        <v>5223</v>
      </c>
      <c r="E1851" t="str">
        <f>HYPERLINK("http://nlpdeep.cs.uic.edu:8080/proofing/gsii/323041-history-of-present-illness-0-9.pdf","gsii/323041-history-of-present-illness-0-9.pdf")</f>
        <v>gsii/323041-history-of-present-illness-0-9.pdf</v>
      </c>
      <c r="F1851">
        <v>146230</v>
      </c>
      <c r="G1851">
        <v>323041</v>
      </c>
      <c r="H1851" t="s">
        <v>9</v>
      </c>
      <c r="I1851" t="s">
        <v>13</v>
      </c>
      <c r="J1851" t="s">
        <v>5224</v>
      </c>
    </row>
    <row r="1852" spans="1:10" x14ac:dyDescent="0.2">
      <c r="A1852" t="s">
        <v>5225</v>
      </c>
      <c r="E1852" t="str">
        <f>HYPERLINK("http://nlpdeep.cs.uic.edu:8080/proofing/t5/323041-history-of-present-illness-0-10.pdf","t5/323041-history-of-present-illness-0-10.pdf")</f>
        <v>t5/323041-history-of-present-illness-0-10.pdf</v>
      </c>
      <c r="F1852">
        <v>146230</v>
      </c>
      <c r="G1852">
        <v>323041</v>
      </c>
      <c r="H1852" t="s">
        <v>9</v>
      </c>
      <c r="I1852" t="s">
        <v>13</v>
      </c>
      <c r="J1852" t="s">
        <v>5226</v>
      </c>
    </row>
    <row r="1853" spans="1:10" x14ac:dyDescent="0.2">
      <c r="A1853" t="s">
        <v>5225</v>
      </c>
      <c r="E1853" t="str">
        <f>HYPERLINK("http://nlpdeep.cs.uic.edu:8080/proofing/gsii/323041-history-of-present-illness-0-10.pdf","gsii/323041-history-of-present-illness-0-10.pdf")</f>
        <v>gsii/323041-history-of-present-illness-0-10.pdf</v>
      </c>
      <c r="F1853">
        <v>146230</v>
      </c>
      <c r="G1853">
        <v>323041</v>
      </c>
      <c r="H1853" t="s">
        <v>9</v>
      </c>
      <c r="I1853" t="s">
        <v>13</v>
      </c>
      <c r="J1853" t="s">
        <v>5226</v>
      </c>
    </row>
    <row r="1854" spans="1:10" x14ac:dyDescent="0.2">
      <c r="A1854" t="s">
        <v>5227</v>
      </c>
      <c r="E1854" t="str">
        <f>HYPERLINK("http://nlpdeep.cs.uic.edu:8080/proofing/t5/323041-history-of-present-illness-0-11.pdf","t5/323041-history-of-present-illness-0-11.pdf")</f>
        <v>t5/323041-history-of-present-illness-0-11.pdf</v>
      </c>
      <c r="F1854">
        <v>146230</v>
      </c>
      <c r="G1854">
        <v>323041</v>
      </c>
      <c r="H1854" t="s">
        <v>9</v>
      </c>
      <c r="I1854" t="s">
        <v>13</v>
      </c>
      <c r="J1854" t="s">
        <v>5228</v>
      </c>
    </row>
    <row r="1855" spans="1:10" x14ac:dyDescent="0.2">
      <c r="A1855" t="s">
        <v>5227</v>
      </c>
      <c r="E1855" t="str">
        <f>HYPERLINK("http://nlpdeep.cs.uic.edu:8080/proofing/gsii/323041-history-of-present-illness-0-11.pdf","gsii/323041-history-of-present-illness-0-11.pdf")</f>
        <v>gsii/323041-history-of-present-illness-0-11.pdf</v>
      </c>
      <c r="F1855">
        <v>146230</v>
      </c>
      <c r="G1855">
        <v>323041</v>
      </c>
      <c r="H1855" t="s">
        <v>9</v>
      </c>
      <c r="I1855" t="s">
        <v>13</v>
      </c>
      <c r="J1855" t="s">
        <v>5228</v>
      </c>
    </row>
    <row r="1856" spans="1:10" x14ac:dyDescent="0.2">
      <c r="A1856" t="s">
        <v>5229</v>
      </c>
      <c r="E1856" t="str">
        <f>HYPERLINK("http://nlpdeep.cs.uic.edu:8080/proofing/t5/323041-history-of-present-illness-0-12.pdf","t5/323041-history-of-present-illness-0-12.pdf")</f>
        <v>t5/323041-history-of-present-illness-0-12.pdf</v>
      </c>
      <c r="F1856">
        <v>146230</v>
      </c>
      <c r="G1856">
        <v>323041</v>
      </c>
      <c r="H1856" t="s">
        <v>9</v>
      </c>
      <c r="I1856" t="s">
        <v>13</v>
      </c>
      <c r="J1856" t="s">
        <v>5230</v>
      </c>
    </row>
    <row r="1857" spans="1:10" x14ac:dyDescent="0.2">
      <c r="A1857" t="s">
        <v>5229</v>
      </c>
      <c r="E1857" t="str">
        <f>HYPERLINK("http://nlpdeep.cs.uic.edu:8080/proofing/gsii/323041-history-of-present-illness-0-12.pdf","gsii/323041-history-of-present-illness-0-12.pdf")</f>
        <v>gsii/323041-history-of-present-illness-0-12.pdf</v>
      </c>
      <c r="F1857">
        <v>146230</v>
      </c>
      <c r="G1857">
        <v>323041</v>
      </c>
      <c r="H1857" t="s">
        <v>9</v>
      </c>
      <c r="I1857" t="s">
        <v>13</v>
      </c>
      <c r="J1857" t="s">
        <v>5230</v>
      </c>
    </row>
    <row r="1858" spans="1:10" x14ac:dyDescent="0.2">
      <c r="A1858" t="s">
        <v>5231</v>
      </c>
      <c r="E1858" t="str">
        <f>HYPERLINK("http://nlpdeep.cs.uic.edu:8080/proofing/t5/323041-history-of-present-illness-0-13.pdf","t5/323041-history-of-present-illness-0-13.pdf")</f>
        <v>t5/323041-history-of-present-illness-0-13.pdf</v>
      </c>
      <c r="F1858">
        <v>146230</v>
      </c>
      <c r="G1858">
        <v>323041</v>
      </c>
      <c r="H1858" t="s">
        <v>9</v>
      </c>
      <c r="I1858" t="s">
        <v>13</v>
      </c>
      <c r="J1858" t="s">
        <v>5232</v>
      </c>
    </row>
    <row r="1859" spans="1:10" x14ac:dyDescent="0.2">
      <c r="A1859" t="s">
        <v>5231</v>
      </c>
      <c r="E1859" t="str">
        <f>HYPERLINK("http://nlpdeep.cs.uic.edu:8080/proofing/gsii/323041-history-of-present-illness-0-13.pdf","gsii/323041-history-of-present-illness-0-13.pdf")</f>
        <v>gsii/323041-history-of-present-illness-0-13.pdf</v>
      </c>
      <c r="F1859">
        <v>146230</v>
      </c>
      <c r="G1859">
        <v>323041</v>
      </c>
      <c r="H1859" t="s">
        <v>9</v>
      </c>
      <c r="I1859" t="s">
        <v>13</v>
      </c>
      <c r="J1859" t="s">
        <v>5232</v>
      </c>
    </row>
    <row r="1860" spans="1:10" x14ac:dyDescent="0.2">
      <c r="A1860" t="s">
        <v>5233</v>
      </c>
      <c r="E1860" t="str">
        <f>HYPERLINK("http://nlpdeep.cs.uic.edu:8080/proofing/t5/323041-history-of-present-illness-0-14.pdf","t5/323041-history-of-present-illness-0-14.pdf")</f>
        <v>t5/323041-history-of-present-illness-0-14.pdf</v>
      </c>
      <c r="F1860">
        <v>146230</v>
      </c>
      <c r="G1860">
        <v>323041</v>
      </c>
      <c r="H1860" t="s">
        <v>9</v>
      </c>
      <c r="I1860" t="s">
        <v>13</v>
      </c>
      <c r="J1860" t="s">
        <v>5234</v>
      </c>
    </row>
    <row r="1861" spans="1:10" x14ac:dyDescent="0.2">
      <c r="A1861" t="s">
        <v>5233</v>
      </c>
      <c r="E1861" t="str">
        <f>HYPERLINK("http://nlpdeep.cs.uic.edu:8080/proofing/gsii/323041-history-of-present-illness-0-14.pdf","gsii/323041-history-of-present-illness-0-14.pdf")</f>
        <v>gsii/323041-history-of-present-illness-0-14.pdf</v>
      </c>
      <c r="F1861">
        <v>146230</v>
      </c>
      <c r="G1861">
        <v>323041</v>
      </c>
      <c r="H1861" t="s">
        <v>9</v>
      </c>
      <c r="I1861" t="s">
        <v>13</v>
      </c>
      <c r="J1861" t="s">
        <v>5234</v>
      </c>
    </row>
    <row r="1862" spans="1:10" x14ac:dyDescent="0.2">
      <c r="A1862" t="s">
        <v>5235</v>
      </c>
      <c r="E1862" t="str">
        <f>HYPERLINK("http://nlpdeep.cs.uic.edu:8080/proofing/t5/323041-history-of-present-illness-0-15.pdf","t5/323041-history-of-present-illness-0-15.pdf")</f>
        <v>t5/323041-history-of-present-illness-0-15.pdf</v>
      </c>
      <c r="F1862">
        <v>146230</v>
      </c>
      <c r="G1862">
        <v>323041</v>
      </c>
      <c r="H1862" t="s">
        <v>9</v>
      </c>
      <c r="I1862" t="s">
        <v>13</v>
      </c>
      <c r="J1862" t="s">
        <v>5236</v>
      </c>
    </row>
    <row r="1863" spans="1:10" x14ac:dyDescent="0.2">
      <c r="A1863" t="s">
        <v>5235</v>
      </c>
      <c r="E1863" t="str">
        <f>HYPERLINK("http://nlpdeep.cs.uic.edu:8080/proofing/gsii/323041-history-of-present-illness-0-15.pdf","gsii/323041-history-of-present-illness-0-15.pdf")</f>
        <v>gsii/323041-history-of-present-illness-0-15.pdf</v>
      </c>
      <c r="F1863">
        <v>146230</v>
      </c>
      <c r="G1863">
        <v>323041</v>
      </c>
      <c r="H1863" t="s">
        <v>9</v>
      </c>
      <c r="I1863" t="s">
        <v>13</v>
      </c>
      <c r="J1863" t="s">
        <v>5236</v>
      </c>
    </row>
    <row r="1864" spans="1:10" x14ac:dyDescent="0.2">
      <c r="A1864" t="s">
        <v>5237</v>
      </c>
      <c r="E1864" t="str">
        <f>HYPERLINK("http://nlpdeep.cs.uic.edu:8080/proofing/t5/323041-history-of-present-illness-0-16.pdf","t5/323041-history-of-present-illness-0-16.pdf")</f>
        <v>t5/323041-history-of-present-illness-0-16.pdf</v>
      </c>
      <c r="F1864">
        <v>146230</v>
      </c>
      <c r="G1864">
        <v>323041</v>
      </c>
      <c r="H1864" t="s">
        <v>9</v>
      </c>
      <c r="I1864" t="s">
        <v>13</v>
      </c>
      <c r="J1864" t="s">
        <v>5238</v>
      </c>
    </row>
    <row r="1865" spans="1:10" x14ac:dyDescent="0.2">
      <c r="A1865" t="s">
        <v>5237</v>
      </c>
      <c r="E1865" t="str">
        <f>HYPERLINK("http://nlpdeep.cs.uic.edu:8080/proofing/gsii/323041-history-of-present-illness-0-16.pdf","gsii/323041-history-of-present-illness-0-16.pdf")</f>
        <v>gsii/323041-history-of-present-illness-0-16.pdf</v>
      </c>
      <c r="F1865">
        <v>146230</v>
      </c>
      <c r="G1865">
        <v>323041</v>
      </c>
      <c r="H1865" t="s">
        <v>9</v>
      </c>
      <c r="I1865" t="s">
        <v>13</v>
      </c>
      <c r="J1865" t="s">
        <v>5238</v>
      </c>
    </row>
    <row r="1866" spans="1:10" x14ac:dyDescent="0.2">
      <c r="A1866" t="s">
        <v>5239</v>
      </c>
      <c r="E1866" t="str">
        <f>HYPERLINK("http://nlpdeep.cs.uic.edu:8080/proofing/t5/323041-history-of-present-illness-0-17.pdf","t5/323041-history-of-present-illness-0-17.pdf")</f>
        <v>t5/323041-history-of-present-illness-0-17.pdf</v>
      </c>
      <c r="F1866">
        <v>146230</v>
      </c>
      <c r="G1866">
        <v>323041</v>
      </c>
      <c r="H1866" t="s">
        <v>9</v>
      </c>
      <c r="I1866" t="s">
        <v>13</v>
      </c>
      <c r="J1866" t="s">
        <v>5240</v>
      </c>
    </row>
    <row r="1867" spans="1:10" x14ac:dyDescent="0.2">
      <c r="A1867" t="s">
        <v>5239</v>
      </c>
      <c r="E1867" t="str">
        <f>HYPERLINK("http://nlpdeep.cs.uic.edu:8080/proofing/gsii/323041-history-of-present-illness-0-17.pdf","gsii/323041-history-of-present-illness-0-17.pdf")</f>
        <v>gsii/323041-history-of-present-illness-0-17.pdf</v>
      </c>
      <c r="F1867">
        <v>146230</v>
      </c>
      <c r="G1867">
        <v>323041</v>
      </c>
      <c r="H1867" t="s">
        <v>9</v>
      </c>
      <c r="I1867" t="s">
        <v>13</v>
      </c>
      <c r="J1867" t="s">
        <v>5240</v>
      </c>
    </row>
    <row r="1868" spans="1:10" x14ac:dyDescent="0.2">
      <c r="A1868" t="s">
        <v>5241</v>
      </c>
      <c r="E1868" t="str">
        <f>HYPERLINK("http://nlpdeep.cs.uic.edu:8080/proofing/t5/323041-history-of-present-illness-0-18.pdf","t5/323041-history-of-present-illness-0-18.pdf")</f>
        <v>t5/323041-history-of-present-illness-0-18.pdf</v>
      </c>
      <c r="F1868">
        <v>146230</v>
      </c>
      <c r="G1868">
        <v>323041</v>
      </c>
      <c r="H1868" t="s">
        <v>9</v>
      </c>
      <c r="I1868" t="s">
        <v>13</v>
      </c>
      <c r="J1868" t="s">
        <v>5242</v>
      </c>
    </row>
    <row r="1869" spans="1:10" x14ac:dyDescent="0.2">
      <c r="A1869" t="s">
        <v>5241</v>
      </c>
      <c r="E1869" t="str">
        <f>HYPERLINK("http://nlpdeep.cs.uic.edu:8080/proofing/gsii/323041-history-of-present-illness-0-18.pdf","gsii/323041-history-of-present-illness-0-18.pdf")</f>
        <v>gsii/323041-history-of-present-illness-0-18.pdf</v>
      </c>
      <c r="F1869">
        <v>146230</v>
      </c>
      <c r="G1869">
        <v>323041</v>
      </c>
      <c r="H1869" t="s">
        <v>9</v>
      </c>
      <c r="I1869" t="s">
        <v>13</v>
      </c>
      <c r="J1869" t="s">
        <v>5242</v>
      </c>
    </row>
    <row r="1870" spans="1:10" x14ac:dyDescent="0.2">
      <c r="A1870" t="s">
        <v>5243</v>
      </c>
      <c r="E1870" t="str">
        <f>HYPERLINK("http://nlpdeep.cs.uic.edu:8080/proofing/t5/323041-history-of-present-illness-0-19.pdf","t5/323041-history-of-present-illness-0-19.pdf")</f>
        <v>t5/323041-history-of-present-illness-0-19.pdf</v>
      </c>
      <c r="F1870">
        <v>146230</v>
      </c>
      <c r="G1870">
        <v>323041</v>
      </c>
      <c r="H1870" t="s">
        <v>9</v>
      </c>
      <c r="I1870" t="s">
        <v>13</v>
      </c>
      <c r="J1870" t="s">
        <v>5244</v>
      </c>
    </row>
    <row r="1871" spans="1:10" x14ac:dyDescent="0.2">
      <c r="A1871" t="s">
        <v>5243</v>
      </c>
      <c r="E1871" t="str">
        <f>HYPERLINK("http://nlpdeep.cs.uic.edu:8080/proofing/gsii/323041-history-of-present-illness-0-19.pdf","gsii/323041-history-of-present-illness-0-19.pdf")</f>
        <v>gsii/323041-history-of-present-illness-0-19.pdf</v>
      </c>
      <c r="F1871">
        <v>146230</v>
      </c>
      <c r="G1871">
        <v>323041</v>
      </c>
      <c r="H1871" t="s">
        <v>9</v>
      </c>
      <c r="I1871" t="s">
        <v>13</v>
      </c>
      <c r="J1871" t="s">
        <v>5244</v>
      </c>
    </row>
    <row r="1872" spans="1:10" x14ac:dyDescent="0.2">
      <c r="A1872" t="s">
        <v>5245</v>
      </c>
      <c r="E1872" t="str">
        <f>HYPERLINK("http://nlpdeep.cs.uic.edu:8080/proofing/t5/323041-allergies-0-0.pdf","t5/323041-allergies-0-0.pdf")</f>
        <v>t5/323041-allergies-0-0.pdf</v>
      </c>
      <c r="F1872">
        <v>146230</v>
      </c>
      <c r="G1872">
        <v>323041</v>
      </c>
      <c r="H1872" t="s">
        <v>9</v>
      </c>
      <c r="I1872" t="s">
        <v>64</v>
      </c>
      <c r="J1872" t="s">
        <v>5123</v>
      </c>
    </row>
    <row r="1873" spans="1:10" x14ac:dyDescent="0.2">
      <c r="A1873" t="s">
        <v>5245</v>
      </c>
      <c r="E1873" t="str">
        <f>HYPERLINK("http://nlpdeep.cs.uic.edu:8080/proofing/gsii/323041-allergies-0-0.pdf","gsii/323041-allergies-0-0.pdf")</f>
        <v>gsii/323041-allergies-0-0.pdf</v>
      </c>
      <c r="F1873">
        <v>146230</v>
      </c>
      <c r="G1873">
        <v>323041</v>
      </c>
      <c r="H1873" t="s">
        <v>9</v>
      </c>
      <c r="I1873" t="s">
        <v>64</v>
      </c>
      <c r="J1873" t="s">
        <v>5123</v>
      </c>
    </row>
    <row r="1874" spans="1:10" x14ac:dyDescent="0.2">
      <c r="A1874" t="s">
        <v>5246</v>
      </c>
      <c r="E1874" t="str">
        <f>HYPERLINK("http://nlpdeep.cs.uic.edu:8080/proofing/t5/323041-infusions-0-0.pdf","t5/323041-infusions-0-0.pdf")</f>
        <v>t5/323041-infusions-0-0.pdf</v>
      </c>
      <c r="F1874">
        <v>146230</v>
      </c>
      <c r="G1874">
        <v>323041</v>
      </c>
      <c r="H1874" t="s">
        <v>9</v>
      </c>
      <c r="I1874" t="s">
        <v>5247</v>
      </c>
      <c r="J1874" t="s">
        <v>5248</v>
      </c>
    </row>
    <row r="1875" spans="1:10" x14ac:dyDescent="0.2">
      <c r="A1875" t="s">
        <v>5246</v>
      </c>
      <c r="E1875" t="str">
        <f>HYPERLINK("http://nlpdeep.cs.uic.edu:8080/proofing/gsii/323041-infusions-0-0.pdf","gsii/323041-infusions-0-0.pdf")</f>
        <v>gsii/323041-infusions-0-0.pdf</v>
      </c>
      <c r="F1875">
        <v>146230</v>
      </c>
      <c r="G1875">
        <v>323041</v>
      </c>
      <c r="H1875" t="s">
        <v>9</v>
      </c>
      <c r="I1875" t="s">
        <v>5247</v>
      </c>
      <c r="J1875" t="s">
        <v>5248</v>
      </c>
    </row>
    <row r="1876" spans="1:10" x14ac:dyDescent="0.2">
      <c r="A1876" t="s">
        <v>5249</v>
      </c>
      <c r="E1876" t="str">
        <f>HYPERLINK("http://nlpdeep.cs.uic.edu:8080/proofing/t5/323041-other-medications-0-0.pdf","t5/323041-other-medications-0-0.pdf")</f>
        <v>t5/323041-other-medications-0-0.pdf</v>
      </c>
      <c r="F1876">
        <v>146230</v>
      </c>
      <c r="G1876">
        <v>323041</v>
      </c>
      <c r="H1876" t="s">
        <v>9</v>
      </c>
      <c r="I1876" t="s">
        <v>67</v>
      </c>
      <c r="J1876" t="s">
        <v>5250</v>
      </c>
    </row>
    <row r="1877" spans="1:10" x14ac:dyDescent="0.2">
      <c r="A1877" t="s">
        <v>5249</v>
      </c>
      <c r="E1877" t="str">
        <f>HYPERLINK("http://nlpdeep.cs.uic.edu:8080/proofing/gsii/323041-other-medications-0-0.pdf","gsii/323041-other-medications-0-0.pdf")</f>
        <v>gsii/323041-other-medications-0-0.pdf</v>
      </c>
      <c r="F1877">
        <v>146230</v>
      </c>
      <c r="G1877">
        <v>323041</v>
      </c>
      <c r="H1877" t="s">
        <v>9</v>
      </c>
      <c r="I1877" t="s">
        <v>67</v>
      </c>
      <c r="J1877" t="s">
        <v>5250</v>
      </c>
    </row>
    <row r="1878" spans="1:10" x14ac:dyDescent="0.2">
      <c r="A1878" t="s">
        <v>5251</v>
      </c>
      <c r="E1878" t="str">
        <f>HYPERLINK("http://nlpdeep.cs.uic.edu:8080/proofing/t5/323041-past-medical-history-0-0.pdf","t5/323041-past-medical-history-0-0.pdf")</f>
        <v>t5/323041-past-medical-history-0-0.pdf</v>
      </c>
      <c r="F1878">
        <v>146230</v>
      </c>
      <c r="G1878">
        <v>323041</v>
      </c>
      <c r="H1878" t="s">
        <v>9</v>
      </c>
      <c r="I1878" t="s">
        <v>76</v>
      </c>
      <c r="J1878" t="s">
        <v>5252</v>
      </c>
    </row>
    <row r="1879" spans="1:10" x14ac:dyDescent="0.2">
      <c r="A1879" t="s">
        <v>5251</v>
      </c>
      <c r="E1879" t="str">
        <f>HYPERLINK("http://nlpdeep.cs.uic.edu:8080/proofing/gsii/323041-past-medical-history-0-0.pdf","gsii/323041-past-medical-history-0-0.pdf")</f>
        <v>gsii/323041-past-medical-history-0-0.pdf</v>
      </c>
      <c r="F1879">
        <v>146230</v>
      </c>
      <c r="G1879">
        <v>323041</v>
      </c>
      <c r="H1879" t="s">
        <v>9</v>
      </c>
      <c r="I1879" t="s">
        <v>76</v>
      </c>
      <c r="J1879" t="s">
        <v>5252</v>
      </c>
    </row>
    <row r="1880" spans="1:10" x14ac:dyDescent="0.2">
      <c r="A1880" t="s">
        <v>5253</v>
      </c>
      <c r="E1880" t="str">
        <f>HYPERLINK("http://nlpdeep.cs.uic.edu:8080/proofing/t5/323041-social-history-0-0.pdf","t5/323041-social-history-0-0.pdf")</f>
        <v>t5/323041-social-history-0-0.pdf</v>
      </c>
      <c r="F1880">
        <v>146230</v>
      </c>
      <c r="G1880">
        <v>323041</v>
      </c>
      <c r="H1880" t="s">
        <v>9</v>
      </c>
      <c r="I1880" t="s">
        <v>118</v>
      </c>
      <c r="J1880" t="s">
        <v>5254</v>
      </c>
    </row>
    <row r="1881" spans="1:10" x14ac:dyDescent="0.2">
      <c r="A1881" t="s">
        <v>5253</v>
      </c>
      <c r="E1881" t="str">
        <f>HYPERLINK("http://nlpdeep.cs.uic.edu:8080/proofing/gsii/323041-social-history-0-0.pdf","gsii/323041-social-history-0-0.pdf")</f>
        <v>gsii/323041-social-history-0-0.pdf</v>
      </c>
      <c r="F1881">
        <v>146230</v>
      </c>
      <c r="G1881">
        <v>323041</v>
      </c>
      <c r="H1881" t="s">
        <v>9</v>
      </c>
      <c r="I1881" t="s">
        <v>118</v>
      </c>
      <c r="J1881" t="s">
        <v>5254</v>
      </c>
    </row>
    <row r="1882" spans="1:10" x14ac:dyDescent="0.2">
      <c r="A1882" t="s">
        <v>5255</v>
      </c>
      <c r="E1882" t="str">
        <f>HYPERLINK("http://nlpdeep.cs.uic.edu:8080/proofing/t5/323041-review-of-systems-0-0.pdf","t5/323041-review-of-systems-0-0.pdf")</f>
        <v>t5/323041-review-of-systems-0-0.pdf</v>
      </c>
      <c r="F1882">
        <v>146230</v>
      </c>
      <c r="G1882">
        <v>323041</v>
      </c>
      <c r="H1882" t="s">
        <v>9</v>
      </c>
      <c r="I1882" t="s">
        <v>393</v>
      </c>
      <c r="J1882" t="s">
        <v>5256</v>
      </c>
    </row>
    <row r="1883" spans="1:10" x14ac:dyDescent="0.2">
      <c r="A1883" t="s">
        <v>5255</v>
      </c>
      <c r="E1883" t="str">
        <f>HYPERLINK("http://nlpdeep.cs.uic.edu:8080/proofing/gsii/323041-review-of-systems-0-0.pdf","gsii/323041-review-of-systems-0-0.pdf")</f>
        <v>gsii/323041-review-of-systems-0-0.pdf</v>
      </c>
      <c r="F1883">
        <v>146230</v>
      </c>
      <c r="G1883">
        <v>323041</v>
      </c>
      <c r="H1883" t="s">
        <v>9</v>
      </c>
      <c r="I1883" t="s">
        <v>393</v>
      </c>
      <c r="J1883" t="s">
        <v>5256</v>
      </c>
    </row>
    <row r="1884" spans="1:10" x14ac:dyDescent="0.2">
      <c r="A1884" t="s">
        <v>5257</v>
      </c>
      <c r="E1884" t="str">
        <f>HYPERLINK("http://nlpdeep.cs.uic.edu:8080/proofing/t5/323041-flowsheet-data-vitals-0-0.pdf","t5/323041-flowsheet-data-vitals-0-0.pdf")</f>
        <v>t5/323041-flowsheet-data-vitals-0-0.pdf</v>
      </c>
      <c r="F1884">
        <v>146230</v>
      </c>
      <c r="G1884">
        <v>323041</v>
      </c>
      <c r="H1884" t="s">
        <v>9</v>
      </c>
      <c r="I1884" t="s">
        <v>135</v>
      </c>
      <c r="J1884" t="s">
        <v>5258</v>
      </c>
    </row>
    <row r="1885" spans="1:10" x14ac:dyDescent="0.2">
      <c r="A1885" t="s">
        <v>5257</v>
      </c>
      <c r="E1885" t="str">
        <f>HYPERLINK("http://nlpdeep.cs.uic.edu:8080/proofing/gsii/323041-flowsheet-data-vitals-0-0.pdf","gsii/323041-flowsheet-data-vitals-0-0.pdf")</f>
        <v>gsii/323041-flowsheet-data-vitals-0-0.pdf</v>
      </c>
      <c r="F1885">
        <v>146230</v>
      </c>
      <c r="G1885">
        <v>323041</v>
      </c>
      <c r="H1885" t="s">
        <v>9</v>
      </c>
      <c r="I1885" t="s">
        <v>135</v>
      </c>
      <c r="J1885" t="s">
        <v>5258</v>
      </c>
    </row>
    <row r="1886" spans="1:10" x14ac:dyDescent="0.2">
      <c r="A1886" t="s">
        <v>5259</v>
      </c>
      <c r="E1886" t="str">
        <f>HYPERLINK("http://nlpdeep.cs.uic.edu:8080/proofing/t5/323041-physical-examination-0-0.pdf","t5/323041-physical-examination-0-0.pdf")</f>
        <v>t5/323041-physical-examination-0-0.pdf</v>
      </c>
      <c r="F1886">
        <v>146230</v>
      </c>
      <c r="G1886">
        <v>323041</v>
      </c>
      <c r="H1886" t="s">
        <v>9</v>
      </c>
      <c r="I1886" t="s">
        <v>138</v>
      </c>
      <c r="J1886" t="s">
        <v>5260</v>
      </c>
    </row>
    <row r="1887" spans="1:10" x14ac:dyDescent="0.2">
      <c r="A1887" t="s">
        <v>5259</v>
      </c>
      <c r="E1887" t="str">
        <f>HYPERLINK("http://nlpdeep.cs.uic.edu:8080/proofing/gsii/323041-physical-examination-0-0.pdf","gsii/323041-physical-examination-0-0.pdf")</f>
        <v>gsii/323041-physical-examination-0-0.pdf</v>
      </c>
      <c r="F1887">
        <v>146230</v>
      </c>
      <c r="G1887">
        <v>323041</v>
      </c>
      <c r="H1887" t="s">
        <v>9</v>
      </c>
      <c r="I1887" t="s">
        <v>138</v>
      </c>
      <c r="J1887" t="s">
        <v>5260</v>
      </c>
    </row>
    <row r="1888" spans="1:10" x14ac:dyDescent="0.2">
      <c r="A1888" t="s">
        <v>5261</v>
      </c>
      <c r="E1888" t="str">
        <f>HYPERLINK("http://nlpdeep.cs.uic.edu:8080/proofing/t5/323041-labs-imaging-0-0.pdf","t5/323041-labs-imaging-0-0.pdf")</f>
        <v>t5/323041-labs-imaging-0-0.pdf</v>
      </c>
      <c r="F1888">
        <v>146230</v>
      </c>
      <c r="G1888">
        <v>323041</v>
      </c>
      <c r="H1888" t="s">
        <v>9</v>
      </c>
      <c r="I1888" t="s">
        <v>147</v>
      </c>
      <c r="J1888" t="s">
        <v>5262</v>
      </c>
    </row>
    <row r="1889" spans="1:10" x14ac:dyDescent="0.2">
      <c r="A1889" t="s">
        <v>5261</v>
      </c>
      <c r="E1889" t="str">
        <f>HYPERLINK("http://nlpdeep.cs.uic.edu:8080/proofing/gsii/323041-labs-imaging-0-0.pdf","gsii/323041-labs-imaging-0-0.pdf")</f>
        <v>gsii/323041-labs-imaging-0-0.pdf</v>
      </c>
      <c r="F1889">
        <v>146230</v>
      </c>
      <c r="G1889">
        <v>323041</v>
      </c>
      <c r="H1889" t="s">
        <v>9</v>
      </c>
      <c r="I1889" t="s">
        <v>147</v>
      </c>
      <c r="J1889" t="s">
        <v>5262</v>
      </c>
    </row>
    <row r="1890" spans="1:10" x14ac:dyDescent="0.2">
      <c r="A1890" t="s">
        <v>5263</v>
      </c>
      <c r="E1890" t="str">
        <f>HYPERLINK("http://nlpdeep.cs.uic.edu:8080/proofing/t5/323041-labs-imaging-0-1.pdf","t5/323041-labs-imaging-0-1.pdf")</f>
        <v>t5/323041-labs-imaging-0-1.pdf</v>
      </c>
      <c r="F1890">
        <v>146230</v>
      </c>
      <c r="G1890">
        <v>323041</v>
      </c>
      <c r="H1890" t="s">
        <v>9</v>
      </c>
      <c r="I1890" t="s">
        <v>147</v>
      </c>
      <c r="J1890" t="s">
        <v>5264</v>
      </c>
    </row>
    <row r="1891" spans="1:10" x14ac:dyDescent="0.2">
      <c r="A1891" t="s">
        <v>5263</v>
      </c>
      <c r="E1891" t="str">
        <f>HYPERLINK("http://nlpdeep.cs.uic.edu:8080/proofing/gsii/323041-labs-imaging-0-1.pdf","gsii/323041-labs-imaging-0-1.pdf")</f>
        <v>gsii/323041-labs-imaging-0-1.pdf</v>
      </c>
      <c r="F1891">
        <v>146230</v>
      </c>
      <c r="G1891">
        <v>323041</v>
      </c>
      <c r="H1891" t="s">
        <v>9</v>
      </c>
      <c r="I1891" t="s">
        <v>147</v>
      </c>
      <c r="J1891" t="s">
        <v>5264</v>
      </c>
    </row>
    <row r="1892" spans="1:10" x14ac:dyDescent="0.2">
      <c r="A1892" t="s">
        <v>5265</v>
      </c>
      <c r="E1892" t="str">
        <f>HYPERLINK("http://nlpdeep.cs.uic.edu:8080/proofing/t5/323041-labs-imaging-0-2.pdf","t5/323041-labs-imaging-0-2.pdf")</f>
        <v>t5/323041-labs-imaging-0-2.pdf</v>
      </c>
      <c r="F1892">
        <v>146230</v>
      </c>
      <c r="G1892">
        <v>323041</v>
      </c>
      <c r="H1892" t="s">
        <v>9</v>
      </c>
      <c r="I1892" t="s">
        <v>147</v>
      </c>
      <c r="J1892" t="s">
        <v>5266</v>
      </c>
    </row>
    <row r="1893" spans="1:10" x14ac:dyDescent="0.2">
      <c r="A1893" t="s">
        <v>5265</v>
      </c>
      <c r="E1893" t="str">
        <f>HYPERLINK("http://nlpdeep.cs.uic.edu:8080/proofing/gsii/323041-labs-imaging-0-2.pdf","gsii/323041-labs-imaging-0-2.pdf")</f>
        <v>gsii/323041-labs-imaging-0-2.pdf</v>
      </c>
      <c r="F1893">
        <v>146230</v>
      </c>
      <c r="G1893">
        <v>323041</v>
      </c>
      <c r="H1893" t="s">
        <v>9</v>
      </c>
      <c r="I1893" t="s">
        <v>147</v>
      </c>
      <c r="J1893" t="s">
        <v>5266</v>
      </c>
    </row>
    <row r="1894" spans="1:10" x14ac:dyDescent="0.2">
      <c r="A1894" t="s">
        <v>5267</v>
      </c>
      <c r="E1894" t="str">
        <f>HYPERLINK("http://nlpdeep.cs.uic.edu:8080/proofing/t5/323041-labs-imaging-0-3.pdf","t5/323041-labs-imaging-0-3.pdf")</f>
        <v>t5/323041-labs-imaging-0-3.pdf</v>
      </c>
      <c r="F1894">
        <v>146230</v>
      </c>
      <c r="G1894">
        <v>323041</v>
      </c>
      <c r="H1894" t="s">
        <v>9</v>
      </c>
      <c r="I1894" t="s">
        <v>147</v>
      </c>
      <c r="J1894" t="s">
        <v>5268</v>
      </c>
    </row>
    <row r="1895" spans="1:10" x14ac:dyDescent="0.2">
      <c r="A1895" t="s">
        <v>5267</v>
      </c>
      <c r="E1895" t="str">
        <f>HYPERLINK("http://nlpdeep.cs.uic.edu:8080/proofing/gsii/323041-labs-imaging-0-3.pdf","gsii/323041-labs-imaging-0-3.pdf")</f>
        <v>gsii/323041-labs-imaging-0-3.pdf</v>
      </c>
      <c r="F1895">
        <v>146230</v>
      </c>
      <c r="G1895">
        <v>323041</v>
      </c>
      <c r="H1895" t="s">
        <v>9</v>
      </c>
      <c r="I1895" t="s">
        <v>147</v>
      </c>
      <c r="J1895" t="s">
        <v>5268</v>
      </c>
    </row>
    <row r="1896" spans="1:10" x14ac:dyDescent="0.2">
      <c r="A1896" t="s">
        <v>5269</v>
      </c>
      <c r="E1896" t="str">
        <f>HYPERLINK("http://nlpdeep.cs.uic.edu:8080/proofing/t5/323041-labs-imaging-0-4.pdf","t5/323041-labs-imaging-0-4.pdf")</f>
        <v>t5/323041-labs-imaging-0-4.pdf</v>
      </c>
      <c r="F1896">
        <v>146230</v>
      </c>
      <c r="G1896">
        <v>323041</v>
      </c>
      <c r="H1896" t="s">
        <v>9</v>
      </c>
      <c r="I1896" t="s">
        <v>147</v>
      </c>
      <c r="J1896" t="s">
        <v>5270</v>
      </c>
    </row>
    <row r="1897" spans="1:10" x14ac:dyDescent="0.2">
      <c r="A1897" t="s">
        <v>5269</v>
      </c>
      <c r="E1897" t="str">
        <f>HYPERLINK("http://nlpdeep.cs.uic.edu:8080/proofing/gsii/323041-labs-imaging-0-4.pdf","gsii/323041-labs-imaging-0-4.pdf")</f>
        <v>gsii/323041-labs-imaging-0-4.pdf</v>
      </c>
      <c r="F1897">
        <v>146230</v>
      </c>
      <c r="G1897">
        <v>323041</v>
      </c>
      <c r="H1897" t="s">
        <v>9</v>
      </c>
      <c r="I1897" t="s">
        <v>147</v>
      </c>
      <c r="J1897" t="s">
        <v>5270</v>
      </c>
    </row>
    <row r="1898" spans="1:10" x14ac:dyDescent="0.2">
      <c r="A1898" t="s">
        <v>5271</v>
      </c>
      <c r="E1898" t="str">
        <f>HYPERLINK("http://nlpdeep.cs.uic.edu:8080/proofing/t5/323041-labs-imaging-0-5.pdf","t5/323041-labs-imaging-0-5.pdf")</f>
        <v>t5/323041-labs-imaging-0-5.pdf</v>
      </c>
      <c r="F1898">
        <v>146230</v>
      </c>
      <c r="G1898">
        <v>323041</v>
      </c>
      <c r="H1898" t="s">
        <v>9</v>
      </c>
      <c r="I1898" t="s">
        <v>147</v>
      </c>
      <c r="J1898" t="s">
        <v>5272</v>
      </c>
    </row>
    <row r="1899" spans="1:10" x14ac:dyDescent="0.2">
      <c r="A1899" t="s">
        <v>5271</v>
      </c>
      <c r="E1899" t="str">
        <f>HYPERLINK("http://nlpdeep.cs.uic.edu:8080/proofing/gsii/323041-labs-imaging-0-5.pdf","gsii/323041-labs-imaging-0-5.pdf")</f>
        <v>gsii/323041-labs-imaging-0-5.pdf</v>
      </c>
      <c r="F1899">
        <v>146230</v>
      </c>
      <c r="G1899">
        <v>323041</v>
      </c>
      <c r="H1899" t="s">
        <v>9</v>
      </c>
      <c r="I1899" t="s">
        <v>147</v>
      </c>
      <c r="J1899" t="s">
        <v>5272</v>
      </c>
    </row>
    <row r="1900" spans="1:10" x14ac:dyDescent="0.2">
      <c r="A1900" t="s">
        <v>5273</v>
      </c>
      <c r="E1900" t="str">
        <f>HYPERLINK("http://nlpdeep.cs.uic.edu:8080/proofing/t5/323041-labs-imaging-0-6.pdf","t5/323041-labs-imaging-0-6.pdf")</f>
        <v>t5/323041-labs-imaging-0-6.pdf</v>
      </c>
      <c r="F1900">
        <v>146230</v>
      </c>
      <c r="G1900">
        <v>323041</v>
      </c>
      <c r="H1900" t="s">
        <v>9</v>
      </c>
      <c r="I1900" t="s">
        <v>147</v>
      </c>
      <c r="J1900" t="s">
        <v>5274</v>
      </c>
    </row>
    <row r="1901" spans="1:10" x14ac:dyDescent="0.2">
      <c r="A1901" t="s">
        <v>5273</v>
      </c>
      <c r="E1901" t="str">
        <f>HYPERLINK("http://nlpdeep.cs.uic.edu:8080/proofing/gsii/323041-labs-imaging-0-6.pdf","gsii/323041-labs-imaging-0-6.pdf")</f>
        <v>gsii/323041-labs-imaging-0-6.pdf</v>
      </c>
      <c r="F1901">
        <v>146230</v>
      </c>
      <c r="G1901">
        <v>323041</v>
      </c>
      <c r="H1901" t="s">
        <v>9</v>
      </c>
      <c r="I1901" t="s">
        <v>147</v>
      </c>
      <c r="J1901" t="s">
        <v>5274</v>
      </c>
    </row>
    <row r="1902" spans="1:10" x14ac:dyDescent="0.2">
      <c r="A1902" t="s">
        <v>5275</v>
      </c>
      <c r="E1902" t="str">
        <f>HYPERLINK("http://nlpdeep.cs.uic.edu:8080/proofing/t5/323041-labs-imaging-0-7.pdf","t5/323041-labs-imaging-0-7.pdf")</f>
        <v>t5/323041-labs-imaging-0-7.pdf</v>
      </c>
      <c r="F1902">
        <v>146230</v>
      </c>
      <c r="G1902">
        <v>323041</v>
      </c>
      <c r="H1902" t="s">
        <v>9</v>
      </c>
      <c r="I1902" t="s">
        <v>147</v>
      </c>
      <c r="J1902" t="s">
        <v>5276</v>
      </c>
    </row>
    <row r="1903" spans="1:10" x14ac:dyDescent="0.2">
      <c r="A1903" t="s">
        <v>5275</v>
      </c>
      <c r="E1903" t="str">
        <f>HYPERLINK("http://nlpdeep.cs.uic.edu:8080/proofing/gsii/323041-labs-imaging-0-7.pdf","gsii/323041-labs-imaging-0-7.pdf")</f>
        <v>gsii/323041-labs-imaging-0-7.pdf</v>
      </c>
      <c r="F1903">
        <v>146230</v>
      </c>
      <c r="G1903">
        <v>323041</v>
      </c>
      <c r="H1903" t="s">
        <v>9</v>
      </c>
      <c r="I1903" t="s">
        <v>147</v>
      </c>
      <c r="J1903" t="s">
        <v>5276</v>
      </c>
    </row>
    <row r="1904" spans="1:10" x14ac:dyDescent="0.2">
      <c r="A1904" t="s">
        <v>5277</v>
      </c>
      <c r="E1904" t="str">
        <f>HYPERLINK("http://nlpdeep.cs.uic.edu:8080/proofing/t5/323041-labs-imaging-0-8.pdf","t5/323041-labs-imaging-0-8.pdf")</f>
        <v>t5/323041-labs-imaging-0-8.pdf</v>
      </c>
      <c r="F1904">
        <v>146230</v>
      </c>
      <c r="G1904">
        <v>323041</v>
      </c>
      <c r="H1904" t="s">
        <v>9</v>
      </c>
      <c r="I1904" t="s">
        <v>147</v>
      </c>
      <c r="J1904" t="s">
        <v>5278</v>
      </c>
    </row>
    <row r="1905" spans="1:10" x14ac:dyDescent="0.2">
      <c r="A1905" t="s">
        <v>5277</v>
      </c>
      <c r="E1905" t="str">
        <f>HYPERLINK("http://nlpdeep.cs.uic.edu:8080/proofing/gsii/323041-labs-imaging-0-8.pdf","gsii/323041-labs-imaging-0-8.pdf")</f>
        <v>gsii/323041-labs-imaging-0-8.pdf</v>
      </c>
      <c r="F1905">
        <v>146230</v>
      </c>
      <c r="G1905">
        <v>323041</v>
      </c>
      <c r="H1905" t="s">
        <v>9</v>
      </c>
      <c r="I1905" t="s">
        <v>147</v>
      </c>
      <c r="J1905" t="s">
        <v>5278</v>
      </c>
    </row>
    <row r="1906" spans="1:10" x14ac:dyDescent="0.2">
      <c r="A1906" t="s">
        <v>5279</v>
      </c>
      <c r="E1906" t="str">
        <f>HYPERLINK("http://nlpdeep.cs.uic.edu:8080/proofing/t5/323041-labs-imaging-0-9.pdf","t5/323041-labs-imaging-0-9.pdf")</f>
        <v>t5/323041-labs-imaging-0-9.pdf</v>
      </c>
      <c r="F1906">
        <v>146230</v>
      </c>
      <c r="G1906">
        <v>323041</v>
      </c>
      <c r="H1906" t="s">
        <v>9</v>
      </c>
      <c r="I1906" t="s">
        <v>147</v>
      </c>
      <c r="J1906" t="s">
        <v>5280</v>
      </c>
    </row>
    <row r="1907" spans="1:10" x14ac:dyDescent="0.2">
      <c r="A1907" t="s">
        <v>5279</v>
      </c>
      <c r="E1907" t="str">
        <f>HYPERLINK("http://nlpdeep.cs.uic.edu:8080/proofing/gsii/323041-labs-imaging-0-9.pdf","gsii/323041-labs-imaging-0-9.pdf")</f>
        <v>gsii/323041-labs-imaging-0-9.pdf</v>
      </c>
      <c r="F1907">
        <v>146230</v>
      </c>
      <c r="G1907">
        <v>323041</v>
      </c>
      <c r="H1907" t="s">
        <v>9</v>
      </c>
      <c r="I1907" t="s">
        <v>147</v>
      </c>
      <c r="J1907" t="s">
        <v>5280</v>
      </c>
    </row>
    <row r="1908" spans="1:10" x14ac:dyDescent="0.2">
      <c r="A1908" t="s">
        <v>5281</v>
      </c>
      <c r="E1908" t="str">
        <f>HYPERLINK("http://nlpdeep.cs.uic.edu:8080/proofing/t5/323041-labs-imaging-0-10.pdf","t5/323041-labs-imaging-0-10.pdf")</f>
        <v>t5/323041-labs-imaging-0-10.pdf</v>
      </c>
      <c r="F1908">
        <v>146230</v>
      </c>
      <c r="G1908">
        <v>323041</v>
      </c>
      <c r="H1908" t="s">
        <v>9</v>
      </c>
      <c r="I1908" t="s">
        <v>147</v>
      </c>
      <c r="J1908" t="s">
        <v>5282</v>
      </c>
    </row>
    <row r="1909" spans="1:10" x14ac:dyDescent="0.2">
      <c r="A1909" t="s">
        <v>5281</v>
      </c>
      <c r="E1909" t="str">
        <f>HYPERLINK("http://nlpdeep.cs.uic.edu:8080/proofing/gsii/323041-labs-imaging-0-10.pdf","gsii/323041-labs-imaging-0-10.pdf")</f>
        <v>gsii/323041-labs-imaging-0-10.pdf</v>
      </c>
      <c r="F1909">
        <v>146230</v>
      </c>
      <c r="G1909">
        <v>323041</v>
      </c>
      <c r="H1909" t="s">
        <v>9</v>
      </c>
      <c r="I1909" t="s">
        <v>147</v>
      </c>
      <c r="J1909" t="s">
        <v>5282</v>
      </c>
    </row>
    <row r="1910" spans="1:10" x14ac:dyDescent="0.2">
      <c r="A1910" t="s">
        <v>5283</v>
      </c>
      <c r="E1910" t="str">
        <f>HYPERLINK("http://nlpdeep.cs.uic.edu:8080/proofing/t5/323041-labs-imaging-0-11.pdf","t5/323041-labs-imaging-0-11.pdf")</f>
        <v>t5/323041-labs-imaging-0-11.pdf</v>
      </c>
      <c r="F1910">
        <v>146230</v>
      </c>
      <c r="G1910">
        <v>323041</v>
      </c>
      <c r="H1910" t="s">
        <v>9</v>
      </c>
      <c r="I1910" t="s">
        <v>147</v>
      </c>
      <c r="J1910" t="s">
        <v>5284</v>
      </c>
    </row>
    <row r="1911" spans="1:10" x14ac:dyDescent="0.2">
      <c r="A1911" t="s">
        <v>5283</v>
      </c>
      <c r="E1911" t="str">
        <f>HYPERLINK("http://nlpdeep.cs.uic.edu:8080/proofing/gsii/323041-labs-imaging-0-11.pdf","gsii/323041-labs-imaging-0-11.pdf")</f>
        <v>gsii/323041-labs-imaging-0-11.pdf</v>
      </c>
      <c r="F1911">
        <v>146230</v>
      </c>
      <c r="G1911">
        <v>323041</v>
      </c>
      <c r="H1911" t="s">
        <v>9</v>
      </c>
      <c r="I1911" t="s">
        <v>147</v>
      </c>
      <c r="J1911" t="s">
        <v>5284</v>
      </c>
    </row>
    <row r="1912" spans="1:10" x14ac:dyDescent="0.2">
      <c r="A1912" t="s">
        <v>5285</v>
      </c>
      <c r="E1912" t="str">
        <f>HYPERLINK("http://nlpdeep.cs.uic.edu:8080/proofing/t5/323041-labs-imaging-0-12.pdf","t5/323041-labs-imaging-0-12.pdf")</f>
        <v>t5/323041-labs-imaging-0-12.pdf</v>
      </c>
      <c r="F1912">
        <v>146230</v>
      </c>
      <c r="G1912">
        <v>323041</v>
      </c>
      <c r="H1912" t="s">
        <v>9</v>
      </c>
      <c r="I1912" t="s">
        <v>147</v>
      </c>
      <c r="J1912" t="s">
        <v>5286</v>
      </c>
    </row>
    <row r="1913" spans="1:10" x14ac:dyDescent="0.2">
      <c r="A1913" t="s">
        <v>5285</v>
      </c>
      <c r="E1913" t="str">
        <f>HYPERLINK("http://nlpdeep.cs.uic.edu:8080/proofing/gsii/323041-labs-imaging-0-12.pdf","gsii/323041-labs-imaging-0-12.pdf")</f>
        <v>gsii/323041-labs-imaging-0-12.pdf</v>
      </c>
      <c r="F1913">
        <v>146230</v>
      </c>
      <c r="G1913">
        <v>323041</v>
      </c>
      <c r="H1913" t="s">
        <v>9</v>
      </c>
      <c r="I1913" t="s">
        <v>147</v>
      </c>
      <c r="J1913" t="s">
        <v>5286</v>
      </c>
    </row>
    <row r="1914" spans="1:10" x14ac:dyDescent="0.2">
      <c r="A1914" t="s">
        <v>5287</v>
      </c>
      <c r="E1914" t="str">
        <f>HYPERLINK("http://nlpdeep.cs.uic.edu:8080/proofing/t5/323041-labs-imaging-0-13.pdf","t5/323041-labs-imaging-0-13.pdf")</f>
        <v>t5/323041-labs-imaging-0-13.pdf</v>
      </c>
      <c r="F1914">
        <v>146230</v>
      </c>
      <c r="G1914">
        <v>323041</v>
      </c>
      <c r="H1914" t="s">
        <v>9</v>
      </c>
      <c r="I1914" t="s">
        <v>147</v>
      </c>
      <c r="J1914" t="s">
        <v>5288</v>
      </c>
    </row>
    <row r="1915" spans="1:10" x14ac:dyDescent="0.2">
      <c r="A1915" t="s">
        <v>5287</v>
      </c>
      <c r="E1915" t="str">
        <f>HYPERLINK("http://nlpdeep.cs.uic.edu:8080/proofing/gsii/323041-labs-imaging-0-13.pdf","gsii/323041-labs-imaging-0-13.pdf")</f>
        <v>gsii/323041-labs-imaging-0-13.pdf</v>
      </c>
      <c r="F1915">
        <v>146230</v>
      </c>
      <c r="G1915">
        <v>323041</v>
      </c>
      <c r="H1915" t="s">
        <v>9</v>
      </c>
      <c r="I1915" t="s">
        <v>147</v>
      </c>
      <c r="J1915" t="s">
        <v>5288</v>
      </c>
    </row>
    <row r="1916" spans="1:10" x14ac:dyDescent="0.2">
      <c r="A1916" t="s">
        <v>5289</v>
      </c>
      <c r="E1916" t="str">
        <f>HYPERLINK("http://nlpdeep.cs.uic.edu:8080/proofing/t5/323041-labs-imaging-0-14.pdf","t5/323041-labs-imaging-0-14.pdf")</f>
        <v>t5/323041-labs-imaging-0-14.pdf</v>
      </c>
      <c r="F1916">
        <v>146230</v>
      </c>
      <c r="G1916">
        <v>323041</v>
      </c>
      <c r="H1916" t="s">
        <v>9</v>
      </c>
      <c r="I1916" t="s">
        <v>147</v>
      </c>
      <c r="J1916" t="s">
        <v>5290</v>
      </c>
    </row>
    <row r="1917" spans="1:10" x14ac:dyDescent="0.2">
      <c r="A1917" t="s">
        <v>5289</v>
      </c>
      <c r="E1917" t="str">
        <f>HYPERLINK("http://nlpdeep.cs.uic.edu:8080/proofing/gsii/323041-labs-imaging-0-14.pdf","gsii/323041-labs-imaging-0-14.pdf")</f>
        <v>gsii/323041-labs-imaging-0-14.pdf</v>
      </c>
      <c r="F1917">
        <v>146230</v>
      </c>
      <c r="G1917">
        <v>323041</v>
      </c>
      <c r="H1917" t="s">
        <v>9</v>
      </c>
      <c r="I1917" t="s">
        <v>147</v>
      </c>
      <c r="J1917" t="s">
        <v>5290</v>
      </c>
    </row>
    <row r="1918" spans="1:10" x14ac:dyDescent="0.2">
      <c r="A1918" t="s">
        <v>5291</v>
      </c>
      <c r="E1918" t="str">
        <f>HYPERLINK("http://nlpdeep.cs.uic.edu:8080/proofing/t5/323041-labs-imaging-0-15.pdf","t5/323041-labs-imaging-0-15.pdf")</f>
        <v>t5/323041-labs-imaging-0-15.pdf</v>
      </c>
      <c r="F1918">
        <v>146230</v>
      </c>
      <c r="G1918">
        <v>323041</v>
      </c>
      <c r="H1918" t="s">
        <v>9</v>
      </c>
      <c r="I1918" t="s">
        <v>147</v>
      </c>
      <c r="J1918" t="s">
        <v>5292</v>
      </c>
    </row>
    <row r="1919" spans="1:10" x14ac:dyDescent="0.2">
      <c r="A1919" t="s">
        <v>5291</v>
      </c>
      <c r="E1919" t="str">
        <f>HYPERLINK("http://nlpdeep.cs.uic.edu:8080/proofing/gsii/323041-labs-imaging-0-15.pdf","gsii/323041-labs-imaging-0-15.pdf")</f>
        <v>gsii/323041-labs-imaging-0-15.pdf</v>
      </c>
      <c r="F1919">
        <v>146230</v>
      </c>
      <c r="G1919">
        <v>323041</v>
      </c>
      <c r="H1919" t="s">
        <v>9</v>
      </c>
      <c r="I1919" t="s">
        <v>147</v>
      </c>
      <c r="J1919" t="s">
        <v>5292</v>
      </c>
    </row>
    <row r="1920" spans="1:10" x14ac:dyDescent="0.2">
      <c r="A1920" t="s">
        <v>5293</v>
      </c>
      <c r="E1920" t="str">
        <f>HYPERLINK("http://nlpdeep.cs.uic.edu:8080/proofing/t5/323041-labs-imaging-0-16.pdf","t5/323041-labs-imaging-0-16.pdf")</f>
        <v>t5/323041-labs-imaging-0-16.pdf</v>
      </c>
      <c r="F1920">
        <v>146230</v>
      </c>
      <c r="G1920">
        <v>323041</v>
      </c>
      <c r="H1920" t="s">
        <v>9</v>
      </c>
      <c r="I1920" t="s">
        <v>147</v>
      </c>
      <c r="J1920" t="s">
        <v>5294</v>
      </c>
    </row>
    <row r="1921" spans="1:10" x14ac:dyDescent="0.2">
      <c r="A1921" t="s">
        <v>5293</v>
      </c>
      <c r="E1921" t="str">
        <f>HYPERLINK("http://nlpdeep.cs.uic.edu:8080/proofing/gsii/323041-labs-imaging-0-16.pdf","gsii/323041-labs-imaging-0-16.pdf")</f>
        <v>gsii/323041-labs-imaging-0-16.pdf</v>
      </c>
      <c r="F1921">
        <v>146230</v>
      </c>
      <c r="G1921">
        <v>323041</v>
      </c>
      <c r="H1921" t="s">
        <v>9</v>
      </c>
      <c r="I1921" t="s">
        <v>147</v>
      </c>
      <c r="J1921" t="s">
        <v>5294</v>
      </c>
    </row>
    <row r="1922" spans="1:10" x14ac:dyDescent="0.2">
      <c r="A1922" t="s">
        <v>5295</v>
      </c>
      <c r="E1922" t="str">
        <f>HYPERLINK("http://nlpdeep.cs.uic.edu:8080/proofing/t5/323041-labs-imaging-0-17.pdf","t5/323041-labs-imaging-0-17.pdf")</f>
        <v>t5/323041-labs-imaging-0-17.pdf</v>
      </c>
      <c r="F1922">
        <v>146230</v>
      </c>
      <c r="G1922">
        <v>323041</v>
      </c>
      <c r="H1922" t="s">
        <v>9</v>
      </c>
      <c r="I1922" t="s">
        <v>147</v>
      </c>
      <c r="J1922" t="s">
        <v>5296</v>
      </c>
    </row>
    <row r="1923" spans="1:10" x14ac:dyDescent="0.2">
      <c r="A1923" t="s">
        <v>5295</v>
      </c>
      <c r="E1923" t="str">
        <f>HYPERLINK("http://nlpdeep.cs.uic.edu:8080/proofing/gsii/323041-labs-imaging-0-17.pdf","gsii/323041-labs-imaging-0-17.pdf")</f>
        <v>gsii/323041-labs-imaging-0-17.pdf</v>
      </c>
      <c r="F1923">
        <v>146230</v>
      </c>
      <c r="G1923">
        <v>323041</v>
      </c>
      <c r="H1923" t="s">
        <v>9</v>
      </c>
      <c r="I1923" t="s">
        <v>147</v>
      </c>
      <c r="J1923" t="s">
        <v>5296</v>
      </c>
    </row>
    <row r="1924" spans="1:10" x14ac:dyDescent="0.2">
      <c r="A1924" t="s">
        <v>5297</v>
      </c>
      <c r="E1924" t="str">
        <f>HYPERLINK("http://nlpdeep.cs.uic.edu:8080/proofing/t5/323041-labs-imaging-0-18.pdf","t5/323041-labs-imaging-0-18.pdf")</f>
        <v>t5/323041-labs-imaging-0-18.pdf</v>
      </c>
      <c r="F1924">
        <v>146230</v>
      </c>
      <c r="G1924">
        <v>323041</v>
      </c>
      <c r="H1924" t="s">
        <v>9</v>
      </c>
      <c r="I1924" t="s">
        <v>147</v>
      </c>
      <c r="J1924" t="s">
        <v>5298</v>
      </c>
    </row>
    <row r="1925" spans="1:10" x14ac:dyDescent="0.2">
      <c r="A1925" t="s">
        <v>5297</v>
      </c>
      <c r="E1925" t="str">
        <f>HYPERLINK("http://nlpdeep.cs.uic.edu:8080/proofing/gsii/323041-labs-imaging-0-18.pdf","gsii/323041-labs-imaging-0-18.pdf")</f>
        <v>gsii/323041-labs-imaging-0-18.pdf</v>
      </c>
      <c r="F1925">
        <v>146230</v>
      </c>
      <c r="G1925">
        <v>323041</v>
      </c>
      <c r="H1925" t="s">
        <v>9</v>
      </c>
      <c r="I1925" t="s">
        <v>147</v>
      </c>
      <c r="J1925" t="s">
        <v>5298</v>
      </c>
    </row>
    <row r="1926" spans="1:10" x14ac:dyDescent="0.2">
      <c r="A1926" t="s">
        <v>5299</v>
      </c>
      <c r="E1926" t="str">
        <f>HYPERLINK("http://nlpdeep.cs.uic.edu:8080/proofing/t5/323041-labs-imaging-0-19.pdf","t5/323041-labs-imaging-0-19.pdf")</f>
        <v>t5/323041-labs-imaging-0-19.pdf</v>
      </c>
      <c r="F1926">
        <v>146230</v>
      </c>
      <c r="G1926">
        <v>323041</v>
      </c>
      <c r="H1926" t="s">
        <v>9</v>
      </c>
      <c r="I1926" t="s">
        <v>147</v>
      </c>
      <c r="J1926" t="s">
        <v>2016</v>
      </c>
    </row>
    <row r="1927" spans="1:10" x14ac:dyDescent="0.2">
      <c r="A1927" t="s">
        <v>5299</v>
      </c>
      <c r="E1927" t="str">
        <f>HYPERLINK("http://nlpdeep.cs.uic.edu:8080/proofing/gsii/323041-labs-imaging-0-19.pdf","gsii/323041-labs-imaging-0-19.pdf")</f>
        <v>gsii/323041-labs-imaging-0-19.pdf</v>
      </c>
      <c r="F1927">
        <v>146230</v>
      </c>
      <c r="G1927">
        <v>323041</v>
      </c>
      <c r="H1927" t="s">
        <v>9</v>
      </c>
      <c r="I1927" t="s">
        <v>147</v>
      </c>
      <c r="J1927" t="s">
        <v>2016</v>
      </c>
    </row>
    <row r="1928" spans="1:10" x14ac:dyDescent="0.2">
      <c r="A1928" t="s">
        <v>5300</v>
      </c>
      <c r="E1928" t="str">
        <f>HYPERLINK("http://nlpdeep.cs.uic.edu:8080/proofing/t5/323041-labs-imaging-0-20.pdf","t5/323041-labs-imaging-0-20.pdf")</f>
        <v>t5/323041-labs-imaging-0-20.pdf</v>
      </c>
      <c r="F1928">
        <v>146230</v>
      </c>
      <c r="G1928">
        <v>323041</v>
      </c>
      <c r="H1928" t="s">
        <v>9</v>
      </c>
      <c r="I1928" t="s">
        <v>147</v>
      </c>
      <c r="J1928" t="s">
        <v>5301</v>
      </c>
    </row>
    <row r="1929" spans="1:10" x14ac:dyDescent="0.2">
      <c r="A1929" t="s">
        <v>5300</v>
      </c>
      <c r="E1929" t="str">
        <f>HYPERLINK("http://nlpdeep.cs.uic.edu:8080/proofing/gsii/323041-labs-imaging-0-20.pdf","gsii/323041-labs-imaging-0-20.pdf")</f>
        <v>gsii/323041-labs-imaging-0-20.pdf</v>
      </c>
      <c r="F1929">
        <v>146230</v>
      </c>
      <c r="G1929">
        <v>323041</v>
      </c>
      <c r="H1929" t="s">
        <v>9</v>
      </c>
      <c r="I1929" t="s">
        <v>147</v>
      </c>
      <c r="J1929" t="s">
        <v>5301</v>
      </c>
    </row>
    <row r="1930" spans="1:10" x14ac:dyDescent="0.2">
      <c r="A1930" t="s">
        <v>5302</v>
      </c>
      <c r="E1930" t="str">
        <f>HYPERLINK("http://nlpdeep.cs.uic.edu:8080/proofing/t5/323041-labs-imaging-0-21.pdf","t5/323041-labs-imaging-0-21.pdf")</f>
        <v>t5/323041-labs-imaging-0-21.pdf</v>
      </c>
      <c r="F1930">
        <v>146230</v>
      </c>
      <c r="G1930">
        <v>323041</v>
      </c>
      <c r="H1930" t="s">
        <v>9</v>
      </c>
      <c r="I1930" t="s">
        <v>147</v>
      </c>
      <c r="J1930" t="s">
        <v>5303</v>
      </c>
    </row>
    <row r="1931" spans="1:10" x14ac:dyDescent="0.2">
      <c r="A1931" t="s">
        <v>5302</v>
      </c>
      <c r="E1931" t="str">
        <f>HYPERLINK("http://nlpdeep.cs.uic.edu:8080/proofing/gsii/323041-labs-imaging-0-21.pdf","gsii/323041-labs-imaging-0-21.pdf")</f>
        <v>gsii/323041-labs-imaging-0-21.pdf</v>
      </c>
      <c r="F1931">
        <v>146230</v>
      </c>
      <c r="G1931">
        <v>323041</v>
      </c>
      <c r="H1931" t="s">
        <v>9</v>
      </c>
      <c r="I1931" t="s">
        <v>147</v>
      </c>
      <c r="J1931" t="s">
        <v>5303</v>
      </c>
    </row>
    <row r="1932" spans="1:10" x14ac:dyDescent="0.2">
      <c r="A1932" t="s">
        <v>5304</v>
      </c>
      <c r="E1932" t="str">
        <f>HYPERLINK("http://nlpdeep.cs.uic.edu:8080/proofing/t5/323041-labs-imaging-0-22.pdf","t5/323041-labs-imaging-0-22.pdf")</f>
        <v>t5/323041-labs-imaging-0-22.pdf</v>
      </c>
      <c r="F1932">
        <v>146230</v>
      </c>
      <c r="G1932">
        <v>323041</v>
      </c>
      <c r="H1932" t="s">
        <v>9</v>
      </c>
      <c r="I1932" t="s">
        <v>147</v>
      </c>
      <c r="J1932" t="s">
        <v>5305</v>
      </c>
    </row>
    <row r="1933" spans="1:10" x14ac:dyDescent="0.2">
      <c r="A1933" t="s">
        <v>5304</v>
      </c>
      <c r="E1933" t="str">
        <f>HYPERLINK("http://nlpdeep.cs.uic.edu:8080/proofing/gsii/323041-labs-imaging-0-22.pdf","gsii/323041-labs-imaging-0-22.pdf")</f>
        <v>gsii/323041-labs-imaging-0-22.pdf</v>
      </c>
      <c r="F1933">
        <v>146230</v>
      </c>
      <c r="G1933">
        <v>323041</v>
      </c>
      <c r="H1933" t="s">
        <v>9</v>
      </c>
      <c r="I1933" t="s">
        <v>147</v>
      </c>
      <c r="J1933" t="s">
        <v>5305</v>
      </c>
    </row>
    <row r="1934" spans="1:10" x14ac:dyDescent="0.2">
      <c r="A1934" t="s">
        <v>5306</v>
      </c>
      <c r="E1934" t="str">
        <f>HYPERLINK("http://nlpdeep.cs.uic.edu:8080/proofing/t5/323041-assessment-and-plan-0-0.pdf","t5/323041-assessment-and-plan-0-0.pdf")</f>
        <v>t5/323041-assessment-and-plan-0-0.pdf</v>
      </c>
      <c r="F1934">
        <v>146230</v>
      </c>
      <c r="G1934">
        <v>323041</v>
      </c>
      <c r="H1934" t="s">
        <v>9</v>
      </c>
      <c r="I1934" t="s">
        <v>195</v>
      </c>
      <c r="J1934" t="s">
        <v>5307</v>
      </c>
    </row>
    <row r="1935" spans="1:10" x14ac:dyDescent="0.2">
      <c r="A1935" t="s">
        <v>5306</v>
      </c>
      <c r="E1935" t="str">
        <f>HYPERLINK("http://nlpdeep.cs.uic.edu:8080/proofing/gsii/323041-assessment-and-plan-0-0.pdf","gsii/323041-assessment-and-plan-0-0.pdf")</f>
        <v>gsii/323041-assessment-and-plan-0-0.pdf</v>
      </c>
      <c r="F1935">
        <v>146230</v>
      </c>
      <c r="G1935">
        <v>323041</v>
      </c>
      <c r="H1935" t="s">
        <v>9</v>
      </c>
      <c r="I1935" t="s">
        <v>195</v>
      </c>
      <c r="J1935" t="s">
        <v>5307</v>
      </c>
    </row>
    <row r="1936" spans="1:10" x14ac:dyDescent="0.2">
      <c r="A1936" t="s">
        <v>5308</v>
      </c>
      <c r="E1936" t="str">
        <f>HYPERLINK("http://nlpdeep.cs.uic.edu:8080/proofing/t5/323041-assessment-and-plan-0-1.pdf","t5/323041-assessment-and-plan-0-1.pdf")</f>
        <v>t5/323041-assessment-and-plan-0-1.pdf</v>
      </c>
      <c r="F1936">
        <v>146230</v>
      </c>
      <c r="G1936">
        <v>323041</v>
      </c>
      <c r="H1936" t="s">
        <v>9</v>
      </c>
      <c r="I1936" t="s">
        <v>195</v>
      </c>
      <c r="J1936" t="s">
        <v>5309</v>
      </c>
    </row>
    <row r="1937" spans="1:10" x14ac:dyDescent="0.2">
      <c r="A1937" t="s">
        <v>5308</v>
      </c>
      <c r="E1937" t="str">
        <f>HYPERLINK("http://nlpdeep.cs.uic.edu:8080/proofing/gsii/323041-assessment-and-plan-0-1.pdf","gsii/323041-assessment-and-plan-0-1.pdf")</f>
        <v>gsii/323041-assessment-and-plan-0-1.pdf</v>
      </c>
      <c r="F1937">
        <v>146230</v>
      </c>
      <c r="G1937">
        <v>323041</v>
      </c>
      <c r="H1937" t="s">
        <v>9</v>
      </c>
      <c r="I1937" t="s">
        <v>195</v>
      </c>
      <c r="J1937" t="s">
        <v>5309</v>
      </c>
    </row>
    <row r="1938" spans="1:10" x14ac:dyDescent="0.2">
      <c r="A1938" t="s">
        <v>5310</v>
      </c>
      <c r="E1938" t="str">
        <f>HYPERLINK("http://nlpdeep.cs.uic.edu:8080/proofing/t5/323041-assessment-and-plan-0-2.pdf","t5/323041-assessment-and-plan-0-2.pdf")</f>
        <v>t5/323041-assessment-and-plan-0-2.pdf</v>
      </c>
      <c r="F1938">
        <v>146230</v>
      </c>
      <c r="G1938">
        <v>323041</v>
      </c>
      <c r="H1938" t="s">
        <v>9</v>
      </c>
      <c r="I1938" t="s">
        <v>195</v>
      </c>
      <c r="J1938" t="s">
        <v>5311</v>
      </c>
    </row>
    <row r="1939" spans="1:10" x14ac:dyDescent="0.2">
      <c r="A1939" t="s">
        <v>5310</v>
      </c>
      <c r="E1939" t="str">
        <f>HYPERLINK("http://nlpdeep.cs.uic.edu:8080/proofing/gsii/323041-assessment-and-plan-0-2.pdf","gsii/323041-assessment-and-plan-0-2.pdf")</f>
        <v>gsii/323041-assessment-and-plan-0-2.pdf</v>
      </c>
      <c r="F1939">
        <v>146230</v>
      </c>
      <c r="G1939">
        <v>323041</v>
      </c>
      <c r="H1939" t="s">
        <v>9</v>
      </c>
      <c r="I1939" t="s">
        <v>195</v>
      </c>
      <c r="J1939" t="s">
        <v>5311</v>
      </c>
    </row>
    <row r="1940" spans="1:10" x14ac:dyDescent="0.2">
      <c r="A1940" t="s">
        <v>5312</v>
      </c>
      <c r="E1940" t="str">
        <f>HYPERLINK("http://nlpdeep.cs.uic.edu:8080/proofing/t5/323041-assessment-and-plan-0-3.pdf","t5/323041-assessment-and-plan-0-3.pdf")</f>
        <v>t5/323041-assessment-and-plan-0-3.pdf</v>
      </c>
      <c r="F1940">
        <v>146230</v>
      </c>
      <c r="G1940">
        <v>323041</v>
      </c>
      <c r="H1940" t="s">
        <v>9</v>
      </c>
      <c r="I1940" t="s">
        <v>195</v>
      </c>
      <c r="J1940" t="s">
        <v>5313</v>
      </c>
    </row>
    <row r="1941" spans="1:10" x14ac:dyDescent="0.2">
      <c r="A1941" t="s">
        <v>5312</v>
      </c>
      <c r="E1941" t="str">
        <f>HYPERLINK("http://nlpdeep.cs.uic.edu:8080/proofing/gsii/323041-assessment-and-plan-0-3.pdf","gsii/323041-assessment-and-plan-0-3.pdf")</f>
        <v>gsii/323041-assessment-and-plan-0-3.pdf</v>
      </c>
      <c r="F1941">
        <v>146230</v>
      </c>
      <c r="G1941">
        <v>323041</v>
      </c>
      <c r="H1941" t="s">
        <v>9</v>
      </c>
      <c r="I1941" t="s">
        <v>195</v>
      </c>
      <c r="J1941" t="s">
        <v>5313</v>
      </c>
    </row>
    <row r="1942" spans="1:10" x14ac:dyDescent="0.2">
      <c r="A1942" t="s">
        <v>5314</v>
      </c>
      <c r="E1942" t="str">
        <f>HYPERLINK("http://nlpdeep.cs.uic.edu:8080/proofing/t5/323041-assessment-and-plan-0-4.pdf","t5/323041-assessment-and-plan-0-4.pdf")</f>
        <v>t5/323041-assessment-and-plan-0-4.pdf</v>
      </c>
      <c r="F1942">
        <v>146230</v>
      </c>
      <c r="G1942">
        <v>323041</v>
      </c>
      <c r="H1942" t="s">
        <v>9</v>
      </c>
      <c r="I1942" t="s">
        <v>195</v>
      </c>
      <c r="J1942" t="s">
        <v>5315</v>
      </c>
    </row>
    <row r="1943" spans="1:10" x14ac:dyDescent="0.2">
      <c r="A1943" t="s">
        <v>5314</v>
      </c>
      <c r="E1943" t="str">
        <f>HYPERLINK("http://nlpdeep.cs.uic.edu:8080/proofing/gsii/323041-assessment-and-plan-0-4.pdf","gsii/323041-assessment-and-plan-0-4.pdf")</f>
        <v>gsii/323041-assessment-and-plan-0-4.pdf</v>
      </c>
      <c r="F1943">
        <v>146230</v>
      </c>
      <c r="G1943">
        <v>323041</v>
      </c>
      <c r="H1943" t="s">
        <v>9</v>
      </c>
      <c r="I1943" t="s">
        <v>195</v>
      </c>
      <c r="J1943" t="s">
        <v>5315</v>
      </c>
    </row>
    <row r="1944" spans="1:10" x14ac:dyDescent="0.2">
      <c r="A1944" t="s">
        <v>5316</v>
      </c>
      <c r="E1944" t="str">
        <f>HYPERLINK("http://nlpdeep.cs.uic.edu:8080/proofing/t5/323041-assessment-and-plan-0-5.pdf","t5/323041-assessment-and-plan-0-5.pdf")</f>
        <v>t5/323041-assessment-and-plan-0-5.pdf</v>
      </c>
      <c r="F1944">
        <v>146230</v>
      </c>
      <c r="G1944">
        <v>323041</v>
      </c>
      <c r="H1944" t="s">
        <v>9</v>
      </c>
      <c r="I1944" t="s">
        <v>195</v>
      </c>
      <c r="J1944" t="s">
        <v>5317</v>
      </c>
    </row>
    <row r="1945" spans="1:10" x14ac:dyDescent="0.2">
      <c r="A1945" t="s">
        <v>5316</v>
      </c>
      <c r="E1945" t="str">
        <f>HYPERLINK("http://nlpdeep.cs.uic.edu:8080/proofing/gsii/323041-assessment-and-plan-0-5.pdf","gsii/323041-assessment-and-plan-0-5.pdf")</f>
        <v>gsii/323041-assessment-and-plan-0-5.pdf</v>
      </c>
      <c r="F1945">
        <v>146230</v>
      </c>
      <c r="G1945">
        <v>323041</v>
      </c>
      <c r="H1945" t="s">
        <v>9</v>
      </c>
      <c r="I1945" t="s">
        <v>195</v>
      </c>
      <c r="J1945" t="s">
        <v>5317</v>
      </c>
    </row>
    <row r="1946" spans="1:10" x14ac:dyDescent="0.2">
      <c r="A1946" t="s">
        <v>5318</v>
      </c>
      <c r="E1946" t="str">
        <f>HYPERLINK("http://nlpdeep.cs.uic.edu:8080/proofing/t5/323041-assessment-and-plan-0-6.pdf","t5/323041-assessment-and-plan-0-6.pdf")</f>
        <v>t5/323041-assessment-and-plan-0-6.pdf</v>
      </c>
      <c r="F1946">
        <v>146230</v>
      </c>
      <c r="G1946">
        <v>323041</v>
      </c>
      <c r="H1946" t="s">
        <v>9</v>
      </c>
      <c r="I1946" t="s">
        <v>195</v>
      </c>
      <c r="J1946" t="s">
        <v>5319</v>
      </c>
    </row>
    <row r="1947" spans="1:10" x14ac:dyDescent="0.2">
      <c r="A1947" t="s">
        <v>5318</v>
      </c>
      <c r="E1947" t="str">
        <f>HYPERLINK("http://nlpdeep.cs.uic.edu:8080/proofing/gsii/323041-assessment-and-plan-0-6.pdf","gsii/323041-assessment-and-plan-0-6.pdf")</f>
        <v>gsii/323041-assessment-and-plan-0-6.pdf</v>
      </c>
      <c r="F1947">
        <v>146230</v>
      </c>
      <c r="G1947">
        <v>323041</v>
      </c>
      <c r="H1947" t="s">
        <v>9</v>
      </c>
      <c r="I1947" t="s">
        <v>195</v>
      </c>
      <c r="J1947" t="s">
        <v>5319</v>
      </c>
    </row>
    <row r="1948" spans="1:10" x14ac:dyDescent="0.2">
      <c r="A1948" t="s">
        <v>5320</v>
      </c>
      <c r="E1948" t="str">
        <f>HYPERLINK("http://nlpdeep.cs.uic.edu:8080/proofing/t5/323041-assessment-and-plan-0-7.pdf","t5/323041-assessment-and-plan-0-7.pdf")</f>
        <v>t5/323041-assessment-and-plan-0-7.pdf</v>
      </c>
      <c r="F1948">
        <v>146230</v>
      </c>
      <c r="G1948">
        <v>323041</v>
      </c>
      <c r="H1948" t="s">
        <v>9</v>
      </c>
      <c r="I1948" t="s">
        <v>195</v>
      </c>
      <c r="J1948" t="s">
        <v>5321</v>
      </c>
    </row>
    <row r="1949" spans="1:10" x14ac:dyDescent="0.2">
      <c r="A1949" t="s">
        <v>5320</v>
      </c>
      <c r="E1949" t="str">
        <f>HYPERLINK("http://nlpdeep.cs.uic.edu:8080/proofing/gsii/323041-assessment-and-plan-0-7.pdf","gsii/323041-assessment-and-plan-0-7.pdf")</f>
        <v>gsii/323041-assessment-and-plan-0-7.pdf</v>
      </c>
      <c r="F1949">
        <v>146230</v>
      </c>
      <c r="G1949">
        <v>323041</v>
      </c>
      <c r="H1949" t="s">
        <v>9</v>
      </c>
      <c r="I1949" t="s">
        <v>195</v>
      </c>
      <c r="J1949" t="s">
        <v>5321</v>
      </c>
    </row>
    <row r="1950" spans="1:10" x14ac:dyDescent="0.2">
      <c r="A1950" t="s">
        <v>5322</v>
      </c>
      <c r="E1950" t="str">
        <f>HYPERLINK("http://nlpdeep.cs.uic.edu:8080/proofing/t5/323041-assessment-and-plan-0-8.pdf","t5/323041-assessment-and-plan-0-8.pdf")</f>
        <v>t5/323041-assessment-and-plan-0-8.pdf</v>
      </c>
      <c r="F1950">
        <v>146230</v>
      </c>
      <c r="G1950">
        <v>323041</v>
      </c>
      <c r="H1950" t="s">
        <v>9</v>
      </c>
      <c r="I1950" t="s">
        <v>195</v>
      </c>
      <c r="J1950" t="s">
        <v>5323</v>
      </c>
    </row>
    <row r="1951" spans="1:10" x14ac:dyDescent="0.2">
      <c r="A1951" t="s">
        <v>5322</v>
      </c>
      <c r="E1951" t="str">
        <f>HYPERLINK("http://nlpdeep.cs.uic.edu:8080/proofing/gsii/323041-assessment-and-plan-0-8.pdf","gsii/323041-assessment-and-plan-0-8.pdf")</f>
        <v>gsii/323041-assessment-and-plan-0-8.pdf</v>
      </c>
      <c r="F1951">
        <v>146230</v>
      </c>
      <c r="G1951">
        <v>323041</v>
      </c>
      <c r="H1951" t="s">
        <v>9</v>
      </c>
      <c r="I1951" t="s">
        <v>195</v>
      </c>
      <c r="J1951" t="s">
        <v>5323</v>
      </c>
    </row>
    <row r="1952" spans="1:10" x14ac:dyDescent="0.2">
      <c r="A1952" t="s">
        <v>5324</v>
      </c>
      <c r="E1952" t="str">
        <f>HYPERLINK("http://nlpdeep.cs.uic.edu:8080/proofing/t5/323041-assessment-and-plan-0-9.pdf","t5/323041-assessment-and-plan-0-9.pdf")</f>
        <v>t5/323041-assessment-and-plan-0-9.pdf</v>
      </c>
      <c r="F1952">
        <v>146230</v>
      </c>
      <c r="G1952">
        <v>323041</v>
      </c>
      <c r="H1952" t="s">
        <v>9</v>
      </c>
      <c r="I1952" t="s">
        <v>195</v>
      </c>
      <c r="J1952" t="s">
        <v>5325</v>
      </c>
    </row>
    <row r="1953" spans="1:10" x14ac:dyDescent="0.2">
      <c r="A1953" t="s">
        <v>5324</v>
      </c>
      <c r="E1953" t="str">
        <f>HYPERLINK("http://nlpdeep.cs.uic.edu:8080/proofing/gsii/323041-assessment-and-plan-0-9.pdf","gsii/323041-assessment-and-plan-0-9.pdf")</f>
        <v>gsii/323041-assessment-and-plan-0-9.pdf</v>
      </c>
      <c r="F1953">
        <v>146230</v>
      </c>
      <c r="G1953">
        <v>323041</v>
      </c>
      <c r="H1953" t="s">
        <v>9</v>
      </c>
      <c r="I1953" t="s">
        <v>195</v>
      </c>
      <c r="J1953" t="s">
        <v>5325</v>
      </c>
    </row>
    <row r="1954" spans="1:10" x14ac:dyDescent="0.2">
      <c r="A1954" t="s">
        <v>5326</v>
      </c>
      <c r="E1954" t="str">
        <f>HYPERLINK("http://nlpdeep.cs.uic.edu:8080/proofing/t5/323041-assessment-and-plan-0-10.pdf","t5/323041-assessment-and-plan-0-10.pdf")</f>
        <v>t5/323041-assessment-and-plan-0-10.pdf</v>
      </c>
      <c r="F1954">
        <v>146230</v>
      </c>
      <c r="G1954">
        <v>323041</v>
      </c>
      <c r="H1954" t="s">
        <v>9</v>
      </c>
      <c r="I1954" t="s">
        <v>195</v>
      </c>
      <c r="J1954" t="s">
        <v>5327</v>
      </c>
    </row>
    <row r="1955" spans="1:10" x14ac:dyDescent="0.2">
      <c r="A1955" t="s">
        <v>5326</v>
      </c>
      <c r="E1955" t="str">
        <f>HYPERLINK("http://nlpdeep.cs.uic.edu:8080/proofing/gsii/323041-assessment-and-plan-0-10.pdf","gsii/323041-assessment-and-plan-0-10.pdf")</f>
        <v>gsii/323041-assessment-and-plan-0-10.pdf</v>
      </c>
      <c r="F1955">
        <v>146230</v>
      </c>
      <c r="G1955">
        <v>323041</v>
      </c>
      <c r="H1955" t="s">
        <v>9</v>
      </c>
      <c r="I1955" t="s">
        <v>195</v>
      </c>
      <c r="J1955" t="s">
        <v>5327</v>
      </c>
    </row>
    <row r="1956" spans="1:10" x14ac:dyDescent="0.2">
      <c r="A1956" t="s">
        <v>5328</v>
      </c>
      <c r="E1956" t="str">
        <f>HYPERLINK("http://nlpdeep.cs.uic.edu:8080/proofing/t5/323041-assessment-and-plan-0-11.pdf","t5/323041-assessment-and-plan-0-11.pdf")</f>
        <v>t5/323041-assessment-and-plan-0-11.pdf</v>
      </c>
      <c r="F1956">
        <v>146230</v>
      </c>
      <c r="G1956">
        <v>323041</v>
      </c>
      <c r="H1956" t="s">
        <v>9</v>
      </c>
      <c r="I1956" t="s">
        <v>195</v>
      </c>
      <c r="J1956" t="s">
        <v>5329</v>
      </c>
    </row>
    <row r="1957" spans="1:10" x14ac:dyDescent="0.2">
      <c r="A1957" t="s">
        <v>5328</v>
      </c>
      <c r="E1957" t="str">
        <f>HYPERLINK("http://nlpdeep.cs.uic.edu:8080/proofing/gsii/323041-assessment-and-plan-0-11.pdf","gsii/323041-assessment-and-plan-0-11.pdf")</f>
        <v>gsii/323041-assessment-and-plan-0-11.pdf</v>
      </c>
      <c r="F1957">
        <v>146230</v>
      </c>
      <c r="G1957">
        <v>323041</v>
      </c>
      <c r="H1957" t="s">
        <v>9</v>
      </c>
      <c r="I1957" t="s">
        <v>195</v>
      </c>
      <c r="J1957" t="s">
        <v>5329</v>
      </c>
    </row>
    <row r="1958" spans="1:10" x14ac:dyDescent="0.2">
      <c r="A1958" t="s">
        <v>5330</v>
      </c>
      <c r="E1958" t="str">
        <f>HYPERLINK("http://nlpdeep.cs.uic.edu:8080/proofing/t5/323041-communication-0-0.pdf","t5/323041-communication-0-0.pdf")</f>
        <v>t5/323041-communication-0-0.pdf</v>
      </c>
      <c r="F1958">
        <v>146230</v>
      </c>
      <c r="G1958">
        <v>323041</v>
      </c>
      <c r="H1958" t="s">
        <v>9</v>
      </c>
      <c r="I1958" t="s">
        <v>198</v>
      </c>
      <c r="J1958" t="s">
        <v>5331</v>
      </c>
    </row>
    <row r="1959" spans="1:10" x14ac:dyDescent="0.2">
      <c r="A1959" t="s">
        <v>5330</v>
      </c>
      <c r="E1959" t="str">
        <f>HYPERLINK("http://nlpdeep.cs.uic.edu:8080/proofing/gsii/323041-communication-0-0.pdf","gsii/323041-communication-0-0.pdf")</f>
        <v>gsii/323041-communication-0-0.pdf</v>
      </c>
      <c r="F1959">
        <v>146230</v>
      </c>
      <c r="G1959">
        <v>323041</v>
      </c>
      <c r="H1959" t="s">
        <v>9</v>
      </c>
      <c r="I1959" t="s">
        <v>198</v>
      </c>
      <c r="J1959" t="s">
        <v>5331</v>
      </c>
    </row>
    <row r="1960" spans="1:10" x14ac:dyDescent="0.2">
      <c r="A1960" t="s">
        <v>5332</v>
      </c>
      <c r="E1960" t="str">
        <f>HYPERLINK("http://nlpdeep.cs.uic.edu:8080/proofing/t5/323041-code-status-0-0.pdf","t5/323041-code-status-0-0.pdf")</f>
        <v>t5/323041-code-status-0-0.pdf</v>
      </c>
      <c r="F1960">
        <v>146230</v>
      </c>
      <c r="G1960">
        <v>323041</v>
      </c>
      <c r="H1960" t="s">
        <v>9</v>
      </c>
      <c r="I1960" t="s">
        <v>201</v>
      </c>
      <c r="J1960" t="s">
        <v>536</v>
      </c>
    </row>
    <row r="1961" spans="1:10" x14ac:dyDescent="0.2">
      <c r="A1961" t="s">
        <v>5332</v>
      </c>
      <c r="E1961" t="str">
        <f>HYPERLINK("http://nlpdeep.cs.uic.edu:8080/proofing/gsii/323041-code-status-0-0.pdf","gsii/323041-code-status-0-0.pdf")</f>
        <v>gsii/323041-code-status-0-0.pdf</v>
      </c>
      <c r="F1961">
        <v>146230</v>
      </c>
      <c r="G1961">
        <v>323041</v>
      </c>
      <c r="H1961" t="s">
        <v>9</v>
      </c>
      <c r="I1961" t="s">
        <v>201</v>
      </c>
      <c r="J1961" t="s">
        <v>536</v>
      </c>
    </row>
    <row r="1962" spans="1:10" x14ac:dyDescent="0.2">
      <c r="A1962" t="s">
        <v>5333</v>
      </c>
      <c r="E1962" t="str">
        <f>HYPERLINK("http://nlpdeep.cs.uic.edu:8080/proofing/t5/323041-disposition-0-0.pdf","t5/323041-disposition-0-0.pdf")</f>
        <v>t5/323041-disposition-0-0.pdf</v>
      </c>
      <c r="F1962">
        <v>146230</v>
      </c>
      <c r="G1962">
        <v>323041</v>
      </c>
      <c r="H1962" t="s">
        <v>9</v>
      </c>
      <c r="I1962" t="s">
        <v>204</v>
      </c>
      <c r="J1962" t="s">
        <v>5202</v>
      </c>
    </row>
    <row r="1963" spans="1:10" x14ac:dyDescent="0.2">
      <c r="A1963" t="s">
        <v>5333</v>
      </c>
      <c r="E1963" t="str">
        <f>HYPERLINK("http://nlpdeep.cs.uic.edu:8080/proofing/gsii/323041-disposition-0-0.pdf","gsii/323041-disposition-0-0.pdf")</f>
        <v>gsii/323041-disposition-0-0.pdf</v>
      </c>
      <c r="F1963">
        <v>146230</v>
      </c>
      <c r="G1963">
        <v>323041</v>
      </c>
      <c r="H1963" t="s">
        <v>9</v>
      </c>
      <c r="I1963" t="s">
        <v>204</v>
      </c>
      <c r="J1963" t="s">
        <v>5202</v>
      </c>
    </row>
    <row r="1964" spans="1:10" x14ac:dyDescent="0.2">
      <c r="A1964" t="s">
        <v>5334</v>
      </c>
      <c r="E1964" t="str">
        <f>HYPERLINK("http://nlpdeep.cs.uic.edu:8080/proofing/t5/323158-chief-complaint-0-0.pdf","t5/323158-chief-complaint-0-0.pdf")</f>
        <v>t5/323158-chief-complaint-0-0.pdf</v>
      </c>
      <c r="F1964">
        <v>146230</v>
      </c>
      <c r="G1964">
        <v>323158</v>
      </c>
      <c r="H1964" t="s">
        <v>9</v>
      </c>
      <c r="I1964" t="s">
        <v>10</v>
      </c>
      <c r="J1964" t="s">
        <v>5335</v>
      </c>
    </row>
    <row r="1965" spans="1:10" x14ac:dyDescent="0.2">
      <c r="A1965" t="s">
        <v>5334</v>
      </c>
      <c r="E1965" t="str">
        <f>HYPERLINK("http://nlpdeep.cs.uic.edu:8080/proofing/gsii/323158-chief-complaint-0-0.pdf","gsii/323158-chief-complaint-0-0.pdf")</f>
        <v>gsii/323158-chief-complaint-0-0.pdf</v>
      </c>
      <c r="F1965">
        <v>146230</v>
      </c>
      <c r="G1965">
        <v>323158</v>
      </c>
      <c r="H1965" t="s">
        <v>9</v>
      </c>
      <c r="I1965" t="s">
        <v>10</v>
      </c>
      <c r="J1965" t="s">
        <v>5335</v>
      </c>
    </row>
    <row r="1966" spans="1:10" x14ac:dyDescent="0.2">
      <c r="A1966" t="s">
        <v>5336</v>
      </c>
      <c r="E1966" t="str">
        <f>HYPERLINK("http://nlpdeep.cs.uic.edu:8080/proofing/t5/323158-24-hour-events-0-0.pdf","t5/323158-24-hour-events-0-0.pdf")</f>
        <v>t5/323158-24-hour-events-0-0.pdf</v>
      </c>
      <c r="F1966">
        <v>146230</v>
      </c>
      <c r="G1966">
        <v>323158</v>
      </c>
      <c r="H1966" t="s">
        <v>9</v>
      </c>
      <c r="I1966" t="s">
        <v>538</v>
      </c>
      <c r="J1966" t="s">
        <v>5337</v>
      </c>
    </row>
    <row r="1967" spans="1:10" x14ac:dyDescent="0.2">
      <c r="A1967" t="s">
        <v>5336</v>
      </c>
      <c r="E1967" t="str">
        <f>HYPERLINK("http://nlpdeep.cs.uic.edu:8080/proofing/gsii/323158-24-hour-events-0-0.pdf","gsii/323158-24-hour-events-0-0.pdf")</f>
        <v>gsii/323158-24-hour-events-0-0.pdf</v>
      </c>
      <c r="F1967">
        <v>146230</v>
      </c>
      <c r="G1967">
        <v>323158</v>
      </c>
      <c r="H1967" t="s">
        <v>9</v>
      </c>
      <c r="I1967" t="s">
        <v>538</v>
      </c>
      <c r="J1967" t="s">
        <v>5337</v>
      </c>
    </row>
    <row r="1968" spans="1:10" x14ac:dyDescent="0.2">
      <c r="A1968" t="s">
        <v>5338</v>
      </c>
      <c r="E1968" t="str">
        <f>HYPERLINK("http://nlpdeep.cs.uic.edu:8080/proofing/t5/323158-24-hour-events-0-1.pdf","t5/323158-24-hour-events-0-1.pdf")</f>
        <v>t5/323158-24-hour-events-0-1.pdf</v>
      </c>
      <c r="F1968">
        <v>146230</v>
      </c>
      <c r="G1968">
        <v>323158</v>
      </c>
      <c r="H1968" t="s">
        <v>9</v>
      </c>
      <c r="I1968" t="s">
        <v>538</v>
      </c>
      <c r="J1968" t="s">
        <v>5339</v>
      </c>
    </row>
    <row r="1969" spans="1:10" x14ac:dyDescent="0.2">
      <c r="A1969" t="s">
        <v>5338</v>
      </c>
      <c r="E1969" t="str">
        <f>HYPERLINK("http://nlpdeep.cs.uic.edu:8080/proofing/gsii/323158-24-hour-events-0-1.pdf","gsii/323158-24-hour-events-0-1.pdf")</f>
        <v>gsii/323158-24-hour-events-0-1.pdf</v>
      </c>
      <c r="F1969">
        <v>146230</v>
      </c>
      <c r="G1969">
        <v>323158</v>
      </c>
      <c r="H1969" t="s">
        <v>9</v>
      </c>
      <c r="I1969" t="s">
        <v>538</v>
      </c>
      <c r="J1969" t="s">
        <v>5339</v>
      </c>
    </row>
    <row r="1970" spans="1:10" x14ac:dyDescent="0.2">
      <c r="A1970" t="s">
        <v>5340</v>
      </c>
      <c r="E1970" t="str">
        <f>HYPERLINK("http://nlpdeep.cs.uic.edu:8080/proofing/t5/323158-allergies-0-0.pdf","t5/323158-allergies-0-0.pdf")</f>
        <v>t5/323158-allergies-0-0.pdf</v>
      </c>
      <c r="F1970">
        <v>146230</v>
      </c>
      <c r="G1970">
        <v>323158</v>
      </c>
      <c r="H1970" t="s">
        <v>9</v>
      </c>
      <c r="I1970" t="s">
        <v>64</v>
      </c>
      <c r="J1970" t="s">
        <v>5123</v>
      </c>
    </row>
    <row r="1971" spans="1:10" x14ac:dyDescent="0.2">
      <c r="A1971" t="s">
        <v>5340</v>
      </c>
      <c r="E1971" t="str">
        <f>HYPERLINK("http://nlpdeep.cs.uic.edu:8080/proofing/gsii/323158-allergies-0-0.pdf","gsii/323158-allergies-0-0.pdf")</f>
        <v>gsii/323158-allergies-0-0.pdf</v>
      </c>
      <c r="F1971">
        <v>146230</v>
      </c>
      <c r="G1971">
        <v>323158</v>
      </c>
      <c r="H1971" t="s">
        <v>9</v>
      </c>
      <c r="I1971" t="s">
        <v>64</v>
      </c>
      <c r="J1971" t="s">
        <v>5123</v>
      </c>
    </row>
    <row r="1972" spans="1:10" x14ac:dyDescent="0.2">
      <c r="A1972" t="s">
        <v>5341</v>
      </c>
      <c r="E1972" t="str">
        <f>HYPERLINK("http://nlpdeep.cs.uic.edu:8080/proofing/t5/323158-other-medications-0-0.pdf","t5/323158-other-medications-0-0.pdf")</f>
        <v>t5/323158-other-medications-0-0.pdf</v>
      </c>
      <c r="F1972">
        <v>146230</v>
      </c>
      <c r="G1972">
        <v>323158</v>
      </c>
      <c r="H1972" t="s">
        <v>9</v>
      </c>
      <c r="I1972" t="s">
        <v>67</v>
      </c>
      <c r="J1972" t="s">
        <v>5125</v>
      </c>
    </row>
    <row r="1973" spans="1:10" x14ac:dyDescent="0.2">
      <c r="A1973" t="s">
        <v>5341</v>
      </c>
      <c r="E1973" t="str">
        <f>HYPERLINK("http://nlpdeep.cs.uic.edu:8080/proofing/gsii/323158-other-medications-0-0.pdf","gsii/323158-other-medications-0-0.pdf")</f>
        <v>gsii/323158-other-medications-0-0.pdf</v>
      </c>
      <c r="F1973">
        <v>146230</v>
      </c>
      <c r="G1973">
        <v>323158</v>
      </c>
      <c r="H1973" t="s">
        <v>9</v>
      </c>
      <c r="I1973" t="s">
        <v>67</v>
      </c>
      <c r="J1973" t="s">
        <v>5125</v>
      </c>
    </row>
    <row r="1974" spans="1:10" x14ac:dyDescent="0.2">
      <c r="A1974" t="s">
        <v>5342</v>
      </c>
      <c r="E1974" t="str">
        <f>HYPERLINK("http://nlpdeep.cs.uic.edu:8080/proofing/t5/323158-past-medical-history-0-0.pdf","t5/323158-past-medical-history-0-0.pdf")</f>
        <v>t5/323158-past-medical-history-0-0.pdf</v>
      </c>
      <c r="F1974">
        <v>146230</v>
      </c>
      <c r="G1974">
        <v>323158</v>
      </c>
      <c r="H1974" t="s">
        <v>9</v>
      </c>
      <c r="I1974" t="s">
        <v>76</v>
      </c>
      <c r="J1974" t="s">
        <v>5343</v>
      </c>
    </row>
    <row r="1975" spans="1:10" x14ac:dyDescent="0.2">
      <c r="A1975" t="s">
        <v>5342</v>
      </c>
      <c r="E1975" t="str">
        <f>HYPERLINK("http://nlpdeep.cs.uic.edu:8080/proofing/gsii/323158-past-medical-history-0-0.pdf","gsii/323158-past-medical-history-0-0.pdf")</f>
        <v>gsii/323158-past-medical-history-0-0.pdf</v>
      </c>
      <c r="F1975">
        <v>146230</v>
      </c>
      <c r="G1975">
        <v>323158</v>
      </c>
      <c r="H1975" t="s">
        <v>9</v>
      </c>
      <c r="I1975" t="s">
        <v>76</v>
      </c>
      <c r="J1975" t="s">
        <v>5343</v>
      </c>
    </row>
    <row r="1976" spans="1:10" x14ac:dyDescent="0.2">
      <c r="A1976" t="s">
        <v>5344</v>
      </c>
      <c r="E1976" t="str">
        <f>HYPERLINK("http://nlpdeep.cs.uic.edu:8080/proofing/t5/323158-review-of-systems-0-0.pdf","t5/323158-review-of-systems-0-0.pdf")</f>
        <v>t5/323158-review-of-systems-0-0.pdf</v>
      </c>
      <c r="F1976">
        <v>146230</v>
      </c>
      <c r="G1976">
        <v>323158</v>
      </c>
      <c r="H1976" t="s">
        <v>9</v>
      </c>
      <c r="I1976" t="s">
        <v>393</v>
      </c>
      <c r="J1976" t="s">
        <v>5345</v>
      </c>
    </row>
    <row r="1977" spans="1:10" x14ac:dyDescent="0.2">
      <c r="A1977" t="s">
        <v>5344</v>
      </c>
      <c r="E1977" t="str">
        <f>HYPERLINK("http://nlpdeep.cs.uic.edu:8080/proofing/gsii/323158-review-of-systems-0-0.pdf","gsii/323158-review-of-systems-0-0.pdf")</f>
        <v>gsii/323158-review-of-systems-0-0.pdf</v>
      </c>
      <c r="F1977">
        <v>146230</v>
      </c>
      <c r="G1977">
        <v>323158</v>
      </c>
      <c r="H1977" t="s">
        <v>9</v>
      </c>
      <c r="I1977" t="s">
        <v>393</v>
      </c>
      <c r="J1977" t="s">
        <v>5345</v>
      </c>
    </row>
    <row r="1978" spans="1:10" x14ac:dyDescent="0.2">
      <c r="A1978" t="s">
        <v>5346</v>
      </c>
      <c r="E1978" t="str">
        <f>HYPERLINK("http://nlpdeep.cs.uic.edu:8080/proofing/t5/323158-flowsheet-data-vitals-0-0.pdf","t5/323158-flowsheet-data-vitals-0-0.pdf")</f>
        <v>t5/323158-flowsheet-data-vitals-0-0.pdf</v>
      </c>
      <c r="F1978">
        <v>146230</v>
      </c>
      <c r="G1978">
        <v>323158</v>
      </c>
      <c r="H1978" t="s">
        <v>9</v>
      </c>
      <c r="I1978" t="s">
        <v>135</v>
      </c>
      <c r="J1978" t="s">
        <v>5347</v>
      </c>
    </row>
    <row r="1979" spans="1:10" x14ac:dyDescent="0.2">
      <c r="A1979" t="s">
        <v>5346</v>
      </c>
      <c r="E1979" t="str">
        <f>HYPERLINK("http://nlpdeep.cs.uic.edu:8080/proofing/gsii/323158-flowsheet-data-vitals-0-0.pdf","gsii/323158-flowsheet-data-vitals-0-0.pdf")</f>
        <v>gsii/323158-flowsheet-data-vitals-0-0.pdf</v>
      </c>
      <c r="F1979">
        <v>146230</v>
      </c>
      <c r="G1979">
        <v>323158</v>
      </c>
      <c r="H1979" t="s">
        <v>9</v>
      </c>
      <c r="I1979" t="s">
        <v>135</v>
      </c>
      <c r="J1979" t="s">
        <v>5347</v>
      </c>
    </row>
    <row r="1980" spans="1:10" x14ac:dyDescent="0.2">
      <c r="A1980" t="s">
        <v>5348</v>
      </c>
      <c r="E1980" t="str">
        <f>HYPERLINK("http://nlpdeep.cs.uic.edu:8080/proofing/t5/323158-physical-examination-0-0.pdf","t5/323158-physical-examination-0-0.pdf")</f>
        <v>t5/323158-physical-examination-0-0.pdf</v>
      </c>
      <c r="F1980">
        <v>146230</v>
      </c>
      <c r="G1980">
        <v>323158</v>
      </c>
      <c r="H1980" t="s">
        <v>9</v>
      </c>
      <c r="I1980" t="s">
        <v>138</v>
      </c>
      <c r="J1980" t="s">
        <v>5349</v>
      </c>
    </row>
    <row r="1981" spans="1:10" x14ac:dyDescent="0.2">
      <c r="A1981" t="s">
        <v>5348</v>
      </c>
      <c r="E1981" t="str">
        <f>HYPERLINK("http://nlpdeep.cs.uic.edu:8080/proofing/gsii/323158-physical-examination-0-0.pdf","gsii/323158-physical-examination-0-0.pdf")</f>
        <v>gsii/323158-physical-examination-0-0.pdf</v>
      </c>
      <c r="F1981">
        <v>146230</v>
      </c>
      <c r="G1981">
        <v>323158</v>
      </c>
      <c r="H1981" t="s">
        <v>9</v>
      </c>
      <c r="I1981" t="s">
        <v>138</v>
      </c>
      <c r="J1981" t="s">
        <v>5349</v>
      </c>
    </row>
    <row r="1982" spans="1:10" x14ac:dyDescent="0.2">
      <c r="A1982" t="s">
        <v>5350</v>
      </c>
      <c r="E1982" t="str">
        <f>HYPERLINK("http://nlpdeep.cs.uic.edu:8080/proofing/t5/323158-labs-imaging-0-0.pdf","t5/323158-labs-imaging-0-0.pdf")</f>
        <v>t5/323158-labs-imaging-0-0.pdf</v>
      </c>
      <c r="F1982">
        <v>146230</v>
      </c>
      <c r="G1982">
        <v>323158</v>
      </c>
      <c r="H1982" t="s">
        <v>9</v>
      </c>
      <c r="I1982" t="s">
        <v>147</v>
      </c>
      <c r="J1982" t="s">
        <v>5351</v>
      </c>
    </row>
    <row r="1983" spans="1:10" x14ac:dyDescent="0.2">
      <c r="A1983" t="s">
        <v>5350</v>
      </c>
      <c r="E1983" t="str">
        <f>HYPERLINK("http://nlpdeep.cs.uic.edu:8080/proofing/gsii/323158-labs-imaging-0-0.pdf","gsii/323158-labs-imaging-0-0.pdf")</f>
        <v>gsii/323158-labs-imaging-0-0.pdf</v>
      </c>
      <c r="F1983">
        <v>146230</v>
      </c>
      <c r="G1983">
        <v>323158</v>
      </c>
      <c r="H1983" t="s">
        <v>9</v>
      </c>
      <c r="I1983" t="s">
        <v>147</v>
      </c>
      <c r="J1983" t="s">
        <v>5351</v>
      </c>
    </row>
    <row r="1984" spans="1:10" x14ac:dyDescent="0.2">
      <c r="A1984" t="s">
        <v>5352</v>
      </c>
      <c r="E1984" t="str">
        <f>HYPERLINK("http://nlpdeep.cs.uic.edu:8080/proofing/t5/323158-labs-imaging-0-1.pdf","t5/323158-labs-imaging-0-1.pdf")</f>
        <v>t5/323158-labs-imaging-0-1.pdf</v>
      </c>
      <c r="F1984">
        <v>146230</v>
      </c>
      <c r="G1984">
        <v>323158</v>
      </c>
      <c r="H1984" t="s">
        <v>9</v>
      </c>
      <c r="I1984" t="s">
        <v>147</v>
      </c>
      <c r="J1984" t="s">
        <v>5264</v>
      </c>
    </row>
    <row r="1985" spans="1:10" x14ac:dyDescent="0.2">
      <c r="A1985" t="s">
        <v>5352</v>
      </c>
      <c r="E1985" t="str">
        <f>HYPERLINK("http://nlpdeep.cs.uic.edu:8080/proofing/gsii/323158-labs-imaging-0-1.pdf","gsii/323158-labs-imaging-0-1.pdf")</f>
        <v>gsii/323158-labs-imaging-0-1.pdf</v>
      </c>
      <c r="F1985">
        <v>146230</v>
      </c>
      <c r="G1985">
        <v>323158</v>
      </c>
      <c r="H1985" t="s">
        <v>9</v>
      </c>
      <c r="I1985" t="s">
        <v>147</v>
      </c>
      <c r="J1985" t="s">
        <v>5264</v>
      </c>
    </row>
    <row r="1986" spans="1:10" x14ac:dyDescent="0.2">
      <c r="A1986" t="s">
        <v>5353</v>
      </c>
      <c r="E1986" t="str">
        <f>HYPERLINK("http://nlpdeep.cs.uic.edu:8080/proofing/t5/323158-labs-imaging-0-2.pdf","t5/323158-labs-imaging-0-2.pdf")</f>
        <v>t5/323158-labs-imaging-0-2.pdf</v>
      </c>
      <c r="F1986">
        <v>146230</v>
      </c>
      <c r="G1986">
        <v>323158</v>
      </c>
      <c r="H1986" t="s">
        <v>9</v>
      </c>
      <c r="I1986" t="s">
        <v>147</v>
      </c>
      <c r="J1986" t="s">
        <v>5354</v>
      </c>
    </row>
    <row r="1987" spans="1:10" x14ac:dyDescent="0.2">
      <c r="A1987" t="s">
        <v>5353</v>
      </c>
      <c r="E1987" t="str">
        <f>HYPERLINK("http://nlpdeep.cs.uic.edu:8080/proofing/gsii/323158-labs-imaging-0-2.pdf","gsii/323158-labs-imaging-0-2.pdf")</f>
        <v>gsii/323158-labs-imaging-0-2.pdf</v>
      </c>
      <c r="F1987">
        <v>146230</v>
      </c>
      <c r="G1987">
        <v>323158</v>
      </c>
      <c r="H1987" t="s">
        <v>9</v>
      </c>
      <c r="I1987" t="s">
        <v>147</v>
      </c>
      <c r="J1987" t="s">
        <v>5354</v>
      </c>
    </row>
    <row r="1988" spans="1:10" x14ac:dyDescent="0.2">
      <c r="A1988" t="s">
        <v>5355</v>
      </c>
      <c r="E1988" t="str">
        <f>HYPERLINK("http://nlpdeep.cs.uic.edu:8080/proofing/t5/323158-labs-imaging-0-3.pdf","t5/323158-labs-imaging-0-3.pdf")</f>
        <v>t5/323158-labs-imaging-0-3.pdf</v>
      </c>
      <c r="F1988">
        <v>146230</v>
      </c>
      <c r="G1988">
        <v>323158</v>
      </c>
      <c r="H1988" t="s">
        <v>9</v>
      </c>
      <c r="I1988" t="s">
        <v>147</v>
      </c>
      <c r="J1988" t="s">
        <v>5356</v>
      </c>
    </row>
    <row r="1989" spans="1:10" x14ac:dyDescent="0.2">
      <c r="A1989" t="s">
        <v>5355</v>
      </c>
      <c r="E1989" t="str">
        <f>HYPERLINK("http://nlpdeep.cs.uic.edu:8080/proofing/gsii/323158-labs-imaging-0-3.pdf","gsii/323158-labs-imaging-0-3.pdf")</f>
        <v>gsii/323158-labs-imaging-0-3.pdf</v>
      </c>
      <c r="F1989">
        <v>146230</v>
      </c>
      <c r="G1989">
        <v>323158</v>
      </c>
      <c r="H1989" t="s">
        <v>9</v>
      </c>
      <c r="I1989" t="s">
        <v>147</v>
      </c>
      <c r="J1989" t="s">
        <v>5356</v>
      </c>
    </row>
    <row r="1990" spans="1:10" x14ac:dyDescent="0.2">
      <c r="A1990" t="s">
        <v>5357</v>
      </c>
      <c r="E1990" t="str">
        <f>HYPERLINK("http://nlpdeep.cs.uic.edu:8080/proofing/t5/323158-labs-imaging-0-4.pdf","t5/323158-labs-imaging-0-4.pdf")</f>
        <v>t5/323158-labs-imaging-0-4.pdf</v>
      </c>
      <c r="F1990">
        <v>146230</v>
      </c>
      <c r="G1990">
        <v>323158</v>
      </c>
      <c r="H1990" t="s">
        <v>9</v>
      </c>
      <c r="I1990" t="s">
        <v>147</v>
      </c>
      <c r="J1990" t="s">
        <v>5270</v>
      </c>
    </row>
    <row r="1991" spans="1:10" x14ac:dyDescent="0.2">
      <c r="A1991" t="s">
        <v>5357</v>
      </c>
      <c r="E1991" t="str">
        <f>HYPERLINK("http://nlpdeep.cs.uic.edu:8080/proofing/gsii/323158-labs-imaging-0-4.pdf","gsii/323158-labs-imaging-0-4.pdf")</f>
        <v>gsii/323158-labs-imaging-0-4.pdf</v>
      </c>
      <c r="F1991">
        <v>146230</v>
      </c>
      <c r="G1991">
        <v>323158</v>
      </c>
      <c r="H1991" t="s">
        <v>9</v>
      </c>
      <c r="I1991" t="s">
        <v>147</v>
      </c>
      <c r="J1991" t="s">
        <v>5270</v>
      </c>
    </row>
    <row r="1992" spans="1:10" x14ac:dyDescent="0.2">
      <c r="A1992" t="s">
        <v>5358</v>
      </c>
      <c r="E1992" t="str">
        <f>HYPERLINK("http://nlpdeep.cs.uic.edu:8080/proofing/t5/323158-labs-imaging-0-5.pdf","t5/323158-labs-imaging-0-5.pdf")</f>
        <v>t5/323158-labs-imaging-0-5.pdf</v>
      </c>
      <c r="F1992">
        <v>146230</v>
      </c>
      <c r="G1992">
        <v>323158</v>
      </c>
      <c r="H1992" t="s">
        <v>9</v>
      </c>
      <c r="I1992" t="s">
        <v>147</v>
      </c>
      <c r="J1992" t="s">
        <v>5272</v>
      </c>
    </row>
    <row r="1993" spans="1:10" x14ac:dyDescent="0.2">
      <c r="A1993" t="s">
        <v>5358</v>
      </c>
      <c r="E1993" t="str">
        <f>HYPERLINK("http://nlpdeep.cs.uic.edu:8080/proofing/gsii/323158-labs-imaging-0-5.pdf","gsii/323158-labs-imaging-0-5.pdf")</f>
        <v>gsii/323158-labs-imaging-0-5.pdf</v>
      </c>
      <c r="F1993">
        <v>146230</v>
      </c>
      <c r="G1993">
        <v>323158</v>
      </c>
      <c r="H1993" t="s">
        <v>9</v>
      </c>
      <c r="I1993" t="s">
        <v>147</v>
      </c>
      <c r="J1993" t="s">
        <v>5272</v>
      </c>
    </row>
    <row r="1994" spans="1:10" x14ac:dyDescent="0.2">
      <c r="A1994" t="s">
        <v>5359</v>
      </c>
      <c r="E1994" t="str">
        <f>HYPERLINK("http://nlpdeep.cs.uic.edu:8080/proofing/t5/323158-assessment-and-plan-0-0.pdf","t5/323158-assessment-and-plan-0-0.pdf")</f>
        <v>t5/323158-assessment-and-plan-0-0.pdf</v>
      </c>
      <c r="F1994">
        <v>146230</v>
      </c>
      <c r="G1994">
        <v>323158</v>
      </c>
      <c r="H1994" t="s">
        <v>9</v>
      </c>
      <c r="I1994" t="s">
        <v>195</v>
      </c>
      <c r="J1994" t="s">
        <v>5307</v>
      </c>
    </row>
    <row r="1995" spans="1:10" x14ac:dyDescent="0.2">
      <c r="A1995" t="s">
        <v>5359</v>
      </c>
      <c r="E1995" t="str">
        <f>HYPERLINK("http://nlpdeep.cs.uic.edu:8080/proofing/gsii/323158-assessment-and-plan-0-0.pdf","gsii/323158-assessment-and-plan-0-0.pdf")</f>
        <v>gsii/323158-assessment-and-plan-0-0.pdf</v>
      </c>
      <c r="F1995">
        <v>146230</v>
      </c>
      <c r="G1995">
        <v>323158</v>
      </c>
      <c r="H1995" t="s">
        <v>9</v>
      </c>
      <c r="I1995" t="s">
        <v>195</v>
      </c>
      <c r="J1995" t="s">
        <v>5307</v>
      </c>
    </row>
    <row r="1996" spans="1:10" x14ac:dyDescent="0.2">
      <c r="A1996" t="s">
        <v>5360</v>
      </c>
      <c r="E1996" t="str">
        <f>HYPERLINK("http://nlpdeep.cs.uic.edu:8080/proofing/t5/323158-assessment-and-plan-0-1.pdf","t5/323158-assessment-and-plan-0-1.pdf")</f>
        <v>t5/323158-assessment-and-plan-0-1.pdf</v>
      </c>
      <c r="F1996">
        <v>146230</v>
      </c>
      <c r="G1996">
        <v>323158</v>
      </c>
      <c r="H1996" t="s">
        <v>9</v>
      </c>
      <c r="I1996" t="s">
        <v>195</v>
      </c>
      <c r="J1996" t="s">
        <v>5361</v>
      </c>
    </row>
    <row r="1997" spans="1:10" x14ac:dyDescent="0.2">
      <c r="A1997" t="s">
        <v>5360</v>
      </c>
      <c r="E1997" t="str">
        <f>HYPERLINK("http://nlpdeep.cs.uic.edu:8080/proofing/gsii/323158-assessment-and-plan-0-1.pdf","gsii/323158-assessment-and-plan-0-1.pdf")</f>
        <v>gsii/323158-assessment-and-plan-0-1.pdf</v>
      </c>
      <c r="F1997">
        <v>146230</v>
      </c>
      <c r="G1997">
        <v>323158</v>
      </c>
      <c r="H1997" t="s">
        <v>9</v>
      </c>
      <c r="I1997" t="s">
        <v>195</v>
      </c>
      <c r="J1997" t="s">
        <v>5361</v>
      </c>
    </row>
    <row r="1998" spans="1:10" x14ac:dyDescent="0.2">
      <c r="A1998" t="s">
        <v>5362</v>
      </c>
      <c r="E1998" t="str">
        <f>HYPERLINK("http://nlpdeep.cs.uic.edu:8080/proofing/t5/323158-assessment-and-plan-0-2.pdf","t5/323158-assessment-and-plan-0-2.pdf")</f>
        <v>t5/323158-assessment-and-plan-0-2.pdf</v>
      </c>
      <c r="F1998">
        <v>146230</v>
      </c>
      <c r="G1998">
        <v>323158</v>
      </c>
      <c r="H1998" t="s">
        <v>9</v>
      </c>
      <c r="I1998" t="s">
        <v>195</v>
      </c>
      <c r="J1998" t="s">
        <v>5363</v>
      </c>
    </row>
    <row r="1999" spans="1:10" x14ac:dyDescent="0.2">
      <c r="A1999" t="s">
        <v>5362</v>
      </c>
      <c r="E1999" t="str">
        <f>HYPERLINK("http://nlpdeep.cs.uic.edu:8080/proofing/gsii/323158-assessment-and-plan-0-2.pdf","gsii/323158-assessment-and-plan-0-2.pdf")</f>
        <v>gsii/323158-assessment-and-plan-0-2.pdf</v>
      </c>
      <c r="F1999">
        <v>146230</v>
      </c>
      <c r="G1999">
        <v>323158</v>
      </c>
      <c r="H1999" t="s">
        <v>9</v>
      </c>
      <c r="I1999" t="s">
        <v>195</v>
      </c>
      <c r="J1999" t="s">
        <v>5363</v>
      </c>
    </row>
    <row r="2000" spans="1:10" x14ac:dyDescent="0.2">
      <c r="A2000" t="s">
        <v>5364</v>
      </c>
      <c r="E2000" t="str">
        <f>HYPERLINK("http://nlpdeep.cs.uic.edu:8080/proofing/t5/323158-assessment-and-plan-0-3.pdf","t5/323158-assessment-and-plan-0-3.pdf")</f>
        <v>t5/323158-assessment-and-plan-0-3.pdf</v>
      </c>
      <c r="F2000">
        <v>146230</v>
      </c>
      <c r="G2000">
        <v>323158</v>
      </c>
      <c r="H2000" t="s">
        <v>9</v>
      </c>
      <c r="I2000" t="s">
        <v>195</v>
      </c>
      <c r="J2000" t="s">
        <v>5365</v>
      </c>
    </row>
    <row r="2001" spans="1:10" x14ac:dyDescent="0.2">
      <c r="A2001" t="s">
        <v>5364</v>
      </c>
      <c r="E2001" t="str">
        <f>HYPERLINK("http://nlpdeep.cs.uic.edu:8080/proofing/gsii/323158-assessment-and-plan-0-3.pdf","gsii/323158-assessment-and-plan-0-3.pdf")</f>
        <v>gsii/323158-assessment-and-plan-0-3.pdf</v>
      </c>
      <c r="F2001">
        <v>146230</v>
      </c>
      <c r="G2001">
        <v>323158</v>
      </c>
      <c r="H2001" t="s">
        <v>9</v>
      </c>
      <c r="I2001" t="s">
        <v>195</v>
      </c>
      <c r="J2001" t="s">
        <v>5365</v>
      </c>
    </row>
    <row r="2002" spans="1:10" x14ac:dyDescent="0.2">
      <c r="A2002" t="s">
        <v>5366</v>
      </c>
      <c r="E2002" t="str">
        <f>HYPERLINK("http://nlpdeep.cs.uic.edu:8080/proofing/t5/323158-assessment-and-plan-0-4.pdf","t5/323158-assessment-and-plan-0-4.pdf")</f>
        <v>t5/323158-assessment-and-plan-0-4.pdf</v>
      </c>
      <c r="F2002">
        <v>146230</v>
      </c>
      <c r="G2002">
        <v>323158</v>
      </c>
      <c r="H2002" t="s">
        <v>9</v>
      </c>
      <c r="I2002" t="s">
        <v>195</v>
      </c>
      <c r="J2002" t="s">
        <v>5367</v>
      </c>
    </row>
    <row r="2003" spans="1:10" x14ac:dyDescent="0.2">
      <c r="A2003" t="s">
        <v>5366</v>
      </c>
      <c r="E2003" t="str">
        <f>HYPERLINK("http://nlpdeep.cs.uic.edu:8080/proofing/gsii/323158-assessment-and-plan-0-4.pdf","gsii/323158-assessment-and-plan-0-4.pdf")</f>
        <v>gsii/323158-assessment-and-plan-0-4.pdf</v>
      </c>
      <c r="F2003">
        <v>146230</v>
      </c>
      <c r="G2003">
        <v>323158</v>
      </c>
      <c r="H2003" t="s">
        <v>9</v>
      </c>
      <c r="I2003" t="s">
        <v>195</v>
      </c>
      <c r="J2003" t="s">
        <v>5367</v>
      </c>
    </row>
    <row r="2004" spans="1:10" x14ac:dyDescent="0.2">
      <c r="A2004" t="s">
        <v>5368</v>
      </c>
      <c r="E2004" t="str">
        <f>HYPERLINK("http://nlpdeep.cs.uic.edu:8080/proofing/t5/323158-assessment-and-plan-0-5.pdf","t5/323158-assessment-and-plan-0-5.pdf")</f>
        <v>t5/323158-assessment-and-plan-0-5.pdf</v>
      </c>
      <c r="F2004">
        <v>146230</v>
      </c>
      <c r="G2004">
        <v>323158</v>
      </c>
      <c r="H2004" t="s">
        <v>9</v>
      </c>
      <c r="I2004" t="s">
        <v>195</v>
      </c>
      <c r="J2004" t="s">
        <v>5369</v>
      </c>
    </row>
    <row r="2005" spans="1:10" x14ac:dyDescent="0.2">
      <c r="A2005" t="s">
        <v>5368</v>
      </c>
      <c r="E2005" t="str">
        <f>HYPERLINK("http://nlpdeep.cs.uic.edu:8080/proofing/gsii/323158-assessment-and-plan-0-5.pdf","gsii/323158-assessment-and-plan-0-5.pdf")</f>
        <v>gsii/323158-assessment-and-plan-0-5.pdf</v>
      </c>
      <c r="F2005">
        <v>146230</v>
      </c>
      <c r="G2005">
        <v>323158</v>
      </c>
      <c r="H2005" t="s">
        <v>9</v>
      </c>
      <c r="I2005" t="s">
        <v>195</v>
      </c>
      <c r="J2005" t="s">
        <v>5369</v>
      </c>
    </row>
    <row r="2006" spans="1:10" x14ac:dyDescent="0.2">
      <c r="A2006" t="s">
        <v>5370</v>
      </c>
      <c r="E2006" t="str">
        <f>HYPERLINK("http://nlpdeep.cs.uic.edu:8080/proofing/t5/323158-assessment-and-plan-0-6.pdf","t5/323158-assessment-and-plan-0-6.pdf")</f>
        <v>t5/323158-assessment-and-plan-0-6.pdf</v>
      </c>
      <c r="F2006">
        <v>146230</v>
      </c>
      <c r="G2006">
        <v>323158</v>
      </c>
      <c r="H2006" t="s">
        <v>9</v>
      </c>
      <c r="I2006" t="s">
        <v>195</v>
      </c>
      <c r="J2006" t="s">
        <v>5371</v>
      </c>
    </row>
    <row r="2007" spans="1:10" x14ac:dyDescent="0.2">
      <c r="A2007" t="s">
        <v>5370</v>
      </c>
      <c r="E2007" t="str">
        <f>HYPERLINK("http://nlpdeep.cs.uic.edu:8080/proofing/gsii/323158-assessment-and-plan-0-6.pdf","gsii/323158-assessment-and-plan-0-6.pdf")</f>
        <v>gsii/323158-assessment-and-plan-0-6.pdf</v>
      </c>
      <c r="F2007">
        <v>146230</v>
      </c>
      <c r="G2007">
        <v>323158</v>
      </c>
      <c r="H2007" t="s">
        <v>9</v>
      </c>
      <c r="I2007" t="s">
        <v>195</v>
      </c>
      <c r="J2007" t="s">
        <v>5371</v>
      </c>
    </row>
    <row r="2008" spans="1:10" x14ac:dyDescent="0.2">
      <c r="A2008" t="s">
        <v>5372</v>
      </c>
      <c r="E2008" t="str">
        <f>HYPERLINK("http://nlpdeep.cs.uic.edu:8080/proofing/t5/323158-assessment-and-plan-0-7.pdf","t5/323158-assessment-and-plan-0-7.pdf")</f>
        <v>t5/323158-assessment-and-plan-0-7.pdf</v>
      </c>
      <c r="F2008">
        <v>146230</v>
      </c>
      <c r="G2008">
        <v>323158</v>
      </c>
      <c r="H2008" t="s">
        <v>9</v>
      </c>
      <c r="I2008" t="s">
        <v>195</v>
      </c>
      <c r="J2008" t="s">
        <v>5373</v>
      </c>
    </row>
    <row r="2009" spans="1:10" x14ac:dyDescent="0.2">
      <c r="A2009" t="s">
        <v>5372</v>
      </c>
      <c r="E2009" t="str">
        <f>HYPERLINK("http://nlpdeep.cs.uic.edu:8080/proofing/gsii/323158-assessment-and-plan-0-7.pdf","gsii/323158-assessment-and-plan-0-7.pdf")</f>
        <v>gsii/323158-assessment-and-plan-0-7.pdf</v>
      </c>
      <c r="F2009">
        <v>146230</v>
      </c>
      <c r="G2009">
        <v>323158</v>
      </c>
      <c r="H2009" t="s">
        <v>9</v>
      </c>
      <c r="I2009" t="s">
        <v>195</v>
      </c>
      <c r="J2009" t="s">
        <v>5373</v>
      </c>
    </row>
    <row r="2010" spans="1:10" x14ac:dyDescent="0.2">
      <c r="A2010" t="s">
        <v>5374</v>
      </c>
      <c r="E2010" t="str">
        <f>HYPERLINK("http://nlpdeep.cs.uic.edu:8080/proofing/t5/323158-assessment-and-plan-0-8.pdf","t5/323158-assessment-and-plan-0-8.pdf")</f>
        <v>t5/323158-assessment-and-plan-0-8.pdf</v>
      </c>
      <c r="F2010">
        <v>146230</v>
      </c>
      <c r="G2010">
        <v>323158</v>
      </c>
      <c r="H2010" t="s">
        <v>9</v>
      </c>
      <c r="I2010" t="s">
        <v>195</v>
      </c>
      <c r="J2010" t="s">
        <v>5375</v>
      </c>
    </row>
    <row r="2011" spans="1:10" x14ac:dyDescent="0.2">
      <c r="A2011" t="s">
        <v>5374</v>
      </c>
      <c r="E2011" t="str">
        <f>HYPERLINK("http://nlpdeep.cs.uic.edu:8080/proofing/gsii/323158-assessment-and-plan-0-8.pdf","gsii/323158-assessment-and-plan-0-8.pdf")</f>
        <v>gsii/323158-assessment-and-plan-0-8.pdf</v>
      </c>
      <c r="F2011">
        <v>146230</v>
      </c>
      <c r="G2011">
        <v>323158</v>
      </c>
      <c r="H2011" t="s">
        <v>9</v>
      </c>
      <c r="I2011" t="s">
        <v>195</v>
      </c>
      <c r="J2011" t="s">
        <v>5375</v>
      </c>
    </row>
    <row r="2012" spans="1:10" x14ac:dyDescent="0.2">
      <c r="A2012" t="s">
        <v>5376</v>
      </c>
      <c r="E2012" t="str">
        <f>HYPERLINK("http://nlpdeep.cs.uic.edu:8080/proofing/t5/323158-assessment-and-plan-0-9.pdf","t5/323158-assessment-and-plan-0-9.pdf")</f>
        <v>t5/323158-assessment-and-plan-0-9.pdf</v>
      </c>
      <c r="F2012">
        <v>146230</v>
      </c>
      <c r="G2012">
        <v>323158</v>
      </c>
      <c r="H2012" t="s">
        <v>9</v>
      </c>
      <c r="I2012" t="s">
        <v>195</v>
      </c>
      <c r="J2012" t="s">
        <v>5377</v>
      </c>
    </row>
    <row r="2013" spans="1:10" x14ac:dyDescent="0.2">
      <c r="A2013" t="s">
        <v>5376</v>
      </c>
      <c r="E2013" t="str">
        <f>HYPERLINK("http://nlpdeep.cs.uic.edu:8080/proofing/gsii/323158-assessment-and-plan-0-9.pdf","gsii/323158-assessment-and-plan-0-9.pdf")</f>
        <v>gsii/323158-assessment-and-plan-0-9.pdf</v>
      </c>
      <c r="F2013">
        <v>146230</v>
      </c>
      <c r="G2013">
        <v>323158</v>
      </c>
      <c r="H2013" t="s">
        <v>9</v>
      </c>
      <c r="I2013" t="s">
        <v>195</v>
      </c>
      <c r="J2013" t="s">
        <v>5377</v>
      </c>
    </row>
    <row r="2014" spans="1:10" x14ac:dyDescent="0.2">
      <c r="A2014" t="s">
        <v>5378</v>
      </c>
      <c r="E2014" t="str">
        <f>HYPERLINK("http://nlpdeep.cs.uic.edu:8080/proofing/t5/323158-assessment-and-plan-0-10.pdf","t5/323158-assessment-and-plan-0-10.pdf")</f>
        <v>t5/323158-assessment-and-plan-0-10.pdf</v>
      </c>
      <c r="F2014">
        <v>146230</v>
      </c>
      <c r="G2014">
        <v>323158</v>
      </c>
      <c r="H2014" t="s">
        <v>9</v>
      </c>
      <c r="I2014" t="s">
        <v>195</v>
      </c>
      <c r="J2014" t="s">
        <v>5379</v>
      </c>
    </row>
    <row r="2015" spans="1:10" x14ac:dyDescent="0.2">
      <c r="A2015" t="s">
        <v>5378</v>
      </c>
      <c r="E2015" t="str">
        <f>HYPERLINK("http://nlpdeep.cs.uic.edu:8080/proofing/gsii/323158-assessment-and-plan-0-10.pdf","gsii/323158-assessment-and-plan-0-10.pdf")</f>
        <v>gsii/323158-assessment-and-plan-0-10.pdf</v>
      </c>
      <c r="F2015">
        <v>146230</v>
      </c>
      <c r="G2015">
        <v>323158</v>
      </c>
      <c r="H2015" t="s">
        <v>9</v>
      </c>
      <c r="I2015" t="s">
        <v>195</v>
      </c>
      <c r="J2015" t="s">
        <v>5379</v>
      </c>
    </row>
    <row r="2016" spans="1:10" x14ac:dyDescent="0.2">
      <c r="A2016" t="s">
        <v>5380</v>
      </c>
      <c r="E2016" t="str">
        <f>HYPERLINK("http://nlpdeep.cs.uic.edu:8080/proofing/t5/323158-assessment-and-plan-0-11.pdf","t5/323158-assessment-and-plan-0-11.pdf")</f>
        <v>t5/323158-assessment-and-plan-0-11.pdf</v>
      </c>
      <c r="F2016">
        <v>146230</v>
      </c>
      <c r="G2016">
        <v>323158</v>
      </c>
      <c r="H2016" t="s">
        <v>9</v>
      </c>
      <c r="I2016" t="s">
        <v>195</v>
      </c>
      <c r="J2016" t="s">
        <v>5381</v>
      </c>
    </row>
    <row r="2017" spans="1:10" x14ac:dyDescent="0.2">
      <c r="A2017" t="s">
        <v>5380</v>
      </c>
      <c r="E2017" t="str">
        <f>HYPERLINK("http://nlpdeep.cs.uic.edu:8080/proofing/gsii/323158-assessment-and-plan-0-11.pdf","gsii/323158-assessment-and-plan-0-11.pdf")</f>
        <v>gsii/323158-assessment-and-plan-0-11.pdf</v>
      </c>
      <c r="F2017">
        <v>146230</v>
      </c>
      <c r="G2017">
        <v>323158</v>
      </c>
      <c r="H2017" t="s">
        <v>9</v>
      </c>
      <c r="I2017" t="s">
        <v>195</v>
      </c>
      <c r="J2017" t="s">
        <v>5381</v>
      </c>
    </row>
    <row r="2018" spans="1:10" x14ac:dyDescent="0.2">
      <c r="A2018" t="s">
        <v>5382</v>
      </c>
      <c r="E2018" t="str">
        <f>HYPERLINK("http://nlpdeep.cs.uic.edu:8080/proofing/t5/323158-assessment-and-plan-0-12.pdf","t5/323158-assessment-and-plan-0-12.pdf")</f>
        <v>t5/323158-assessment-and-plan-0-12.pdf</v>
      </c>
      <c r="F2018">
        <v>146230</v>
      </c>
      <c r="G2018">
        <v>323158</v>
      </c>
      <c r="H2018" t="s">
        <v>9</v>
      </c>
      <c r="I2018" t="s">
        <v>195</v>
      </c>
      <c r="J2018" t="s">
        <v>5383</v>
      </c>
    </row>
    <row r="2019" spans="1:10" x14ac:dyDescent="0.2">
      <c r="A2019" t="s">
        <v>5382</v>
      </c>
      <c r="E2019" t="str">
        <f>HYPERLINK("http://nlpdeep.cs.uic.edu:8080/proofing/gsii/323158-assessment-and-plan-0-12.pdf","gsii/323158-assessment-and-plan-0-12.pdf")</f>
        <v>gsii/323158-assessment-and-plan-0-12.pdf</v>
      </c>
      <c r="F2019">
        <v>146230</v>
      </c>
      <c r="G2019">
        <v>323158</v>
      </c>
      <c r="H2019" t="s">
        <v>9</v>
      </c>
      <c r="I2019" t="s">
        <v>195</v>
      </c>
      <c r="J2019" t="s">
        <v>5383</v>
      </c>
    </row>
    <row r="2020" spans="1:10" x14ac:dyDescent="0.2">
      <c r="A2020" t="s">
        <v>5384</v>
      </c>
      <c r="E2020" t="str">
        <f>HYPERLINK("http://nlpdeep.cs.uic.edu:8080/proofing/t5/323158-assessment-and-plan-0-13.pdf","t5/323158-assessment-and-plan-0-13.pdf")</f>
        <v>t5/323158-assessment-and-plan-0-13.pdf</v>
      </c>
      <c r="F2020">
        <v>146230</v>
      </c>
      <c r="G2020">
        <v>323158</v>
      </c>
      <c r="H2020" t="s">
        <v>9</v>
      </c>
      <c r="I2020" t="s">
        <v>195</v>
      </c>
      <c r="J2020" t="s">
        <v>5385</v>
      </c>
    </row>
    <row r="2021" spans="1:10" x14ac:dyDescent="0.2">
      <c r="A2021" t="s">
        <v>5384</v>
      </c>
      <c r="E2021" t="str">
        <f>HYPERLINK("http://nlpdeep.cs.uic.edu:8080/proofing/gsii/323158-assessment-and-plan-0-13.pdf","gsii/323158-assessment-and-plan-0-13.pdf")</f>
        <v>gsii/323158-assessment-and-plan-0-13.pdf</v>
      </c>
      <c r="F2021">
        <v>146230</v>
      </c>
      <c r="G2021">
        <v>323158</v>
      </c>
      <c r="H2021" t="s">
        <v>9</v>
      </c>
      <c r="I2021" t="s">
        <v>195</v>
      </c>
      <c r="J2021" t="s">
        <v>5385</v>
      </c>
    </row>
    <row r="2022" spans="1:10" x14ac:dyDescent="0.2">
      <c r="A2022" t="s">
        <v>5386</v>
      </c>
      <c r="E2022" t="str">
        <f>HYPERLINK("http://nlpdeep.cs.uic.edu:8080/proofing/t5/323158-communication-0-0.pdf","t5/323158-communication-0-0.pdf")</f>
        <v>t5/323158-communication-0-0.pdf</v>
      </c>
      <c r="F2022">
        <v>146230</v>
      </c>
      <c r="G2022">
        <v>323158</v>
      </c>
      <c r="H2022" t="s">
        <v>9</v>
      </c>
      <c r="I2022" t="s">
        <v>198</v>
      </c>
      <c r="J2022" t="s">
        <v>534</v>
      </c>
    </row>
    <row r="2023" spans="1:10" x14ac:dyDescent="0.2">
      <c r="A2023" t="s">
        <v>5386</v>
      </c>
      <c r="E2023" t="str">
        <f>HYPERLINK("http://nlpdeep.cs.uic.edu:8080/proofing/gsii/323158-communication-0-0.pdf","gsii/323158-communication-0-0.pdf")</f>
        <v>gsii/323158-communication-0-0.pdf</v>
      </c>
      <c r="F2023">
        <v>146230</v>
      </c>
      <c r="G2023">
        <v>323158</v>
      </c>
      <c r="H2023" t="s">
        <v>9</v>
      </c>
      <c r="I2023" t="s">
        <v>198</v>
      </c>
      <c r="J2023" t="s">
        <v>534</v>
      </c>
    </row>
    <row r="2024" spans="1:10" x14ac:dyDescent="0.2">
      <c r="A2024" t="s">
        <v>5387</v>
      </c>
      <c r="E2024" t="str">
        <f>HYPERLINK("http://nlpdeep.cs.uic.edu:8080/proofing/t5/323158-code-status-0-0.pdf","t5/323158-code-status-0-0.pdf")</f>
        <v>t5/323158-code-status-0-0.pdf</v>
      </c>
      <c r="F2024">
        <v>146230</v>
      </c>
      <c r="G2024">
        <v>323158</v>
      </c>
      <c r="H2024" t="s">
        <v>9</v>
      </c>
      <c r="I2024" t="s">
        <v>201</v>
      </c>
      <c r="J2024" t="s">
        <v>536</v>
      </c>
    </row>
    <row r="2025" spans="1:10" x14ac:dyDescent="0.2">
      <c r="A2025" t="s">
        <v>5387</v>
      </c>
      <c r="E2025" t="str">
        <f>HYPERLINK("http://nlpdeep.cs.uic.edu:8080/proofing/gsii/323158-code-status-0-0.pdf","gsii/323158-code-status-0-0.pdf")</f>
        <v>gsii/323158-code-status-0-0.pdf</v>
      </c>
      <c r="F2025">
        <v>146230</v>
      </c>
      <c r="G2025">
        <v>323158</v>
      </c>
      <c r="H2025" t="s">
        <v>9</v>
      </c>
      <c r="I2025" t="s">
        <v>201</v>
      </c>
      <c r="J2025" t="s">
        <v>536</v>
      </c>
    </row>
    <row r="2026" spans="1:10" x14ac:dyDescent="0.2">
      <c r="A2026" t="s">
        <v>5388</v>
      </c>
      <c r="E2026" t="str">
        <f>HYPERLINK("http://nlpdeep.cs.uic.edu:8080/proofing/t5/323158-disposition-0-0.pdf","t5/323158-disposition-0-0.pdf")</f>
        <v>t5/323158-disposition-0-0.pdf</v>
      </c>
      <c r="F2026">
        <v>146230</v>
      </c>
      <c r="G2026">
        <v>323158</v>
      </c>
      <c r="H2026" t="s">
        <v>9</v>
      </c>
      <c r="I2026" t="s">
        <v>204</v>
      </c>
      <c r="J2026" t="s">
        <v>5389</v>
      </c>
    </row>
    <row r="2027" spans="1:10" x14ac:dyDescent="0.2">
      <c r="A2027" t="s">
        <v>5388</v>
      </c>
      <c r="E2027" t="str">
        <f>HYPERLINK("http://nlpdeep.cs.uic.edu:8080/proofing/gsii/323158-disposition-0-0.pdf","gsii/323158-disposition-0-0.pdf")</f>
        <v>gsii/323158-disposition-0-0.pdf</v>
      </c>
      <c r="F2027">
        <v>146230</v>
      </c>
      <c r="G2027">
        <v>323158</v>
      </c>
      <c r="H2027" t="s">
        <v>9</v>
      </c>
      <c r="I2027" t="s">
        <v>204</v>
      </c>
      <c r="J2027" t="s">
        <v>5389</v>
      </c>
    </row>
    <row r="2028" spans="1:10" x14ac:dyDescent="0.2">
      <c r="A2028" t="s">
        <v>5390</v>
      </c>
      <c r="E2028" t="str">
        <f>HYPERLINK("http://nlpdeep.cs.uic.edu:8080/proofing/t5/323154-chief-complaint-0-0.pdf","t5/323154-chief-complaint-0-0.pdf")</f>
        <v>t5/323154-chief-complaint-0-0.pdf</v>
      </c>
      <c r="F2028">
        <v>146230</v>
      </c>
      <c r="G2028">
        <v>323154</v>
      </c>
      <c r="H2028" t="s">
        <v>9</v>
      </c>
      <c r="I2028" t="s">
        <v>10</v>
      </c>
      <c r="J2028" t="s">
        <v>5109</v>
      </c>
    </row>
    <row r="2029" spans="1:10" x14ac:dyDescent="0.2">
      <c r="A2029" t="s">
        <v>5390</v>
      </c>
      <c r="E2029" t="str">
        <f>HYPERLINK("http://nlpdeep.cs.uic.edu:8080/proofing/gsii/323154-chief-complaint-0-0.pdf","gsii/323154-chief-complaint-0-0.pdf")</f>
        <v>gsii/323154-chief-complaint-0-0.pdf</v>
      </c>
      <c r="F2029">
        <v>146230</v>
      </c>
      <c r="G2029">
        <v>323154</v>
      </c>
      <c r="H2029" t="s">
        <v>9</v>
      </c>
      <c r="I2029" t="s">
        <v>10</v>
      </c>
      <c r="J2029" t="s">
        <v>5109</v>
      </c>
    </row>
    <row r="2030" spans="1:10" x14ac:dyDescent="0.2">
      <c r="A2030" t="s">
        <v>5391</v>
      </c>
      <c r="E2030" t="str">
        <f>HYPERLINK("http://nlpdeep.cs.uic.edu:8080/proofing/t5/323154-history-of-present-illness-0-0.pdf","t5/323154-history-of-present-illness-0-0.pdf")</f>
        <v>t5/323154-history-of-present-illness-0-0.pdf</v>
      </c>
      <c r="F2030">
        <v>146230</v>
      </c>
      <c r="G2030">
        <v>323154</v>
      </c>
      <c r="H2030" t="s">
        <v>9</v>
      </c>
      <c r="I2030" t="s">
        <v>13</v>
      </c>
      <c r="J2030" t="s">
        <v>5111</v>
      </c>
    </row>
    <row r="2031" spans="1:10" x14ac:dyDescent="0.2">
      <c r="A2031" t="s">
        <v>5391</v>
      </c>
      <c r="E2031" t="str">
        <f>HYPERLINK("http://nlpdeep.cs.uic.edu:8080/proofing/gsii/323154-history-of-present-illness-0-0.pdf","gsii/323154-history-of-present-illness-0-0.pdf")</f>
        <v>gsii/323154-history-of-present-illness-0-0.pdf</v>
      </c>
      <c r="F2031">
        <v>146230</v>
      </c>
      <c r="G2031">
        <v>323154</v>
      </c>
      <c r="H2031" t="s">
        <v>9</v>
      </c>
      <c r="I2031" t="s">
        <v>13</v>
      </c>
      <c r="J2031" t="s">
        <v>5111</v>
      </c>
    </row>
    <row r="2032" spans="1:10" x14ac:dyDescent="0.2">
      <c r="A2032" t="s">
        <v>5392</v>
      </c>
      <c r="E2032" t="str">
        <f>HYPERLINK("http://nlpdeep.cs.uic.edu:8080/proofing/t5/323154-history-of-present-illness-0-1.pdf","t5/323154-history-of-present-illness-0-1.pdf")</f>
        <v>t5/323154-history-of-present-illness-0-1.pdf</v>
      </c>
      <c r="F2032">
        <v>146230</v>
      </c>
      <c r="G2032">
        <v>323154</v>
      </c>
      <c r="H2032" t="s">
        <v>9</v>
      </c>
      <c r="I2032" t="s">
        <v>13</v>
      </c>
      <c r="J2032" t="s">
        <v>5393</v>
      </c>
    </row>
    <row r="2033" spans="1:10" x14ac:dyDescent="0.2">
      <c r="A2033" t="s">
        <v>5392</v>
      </c>
      <c r="E2033" t="str">
        <f>HYPERLINK("http://nlpdeep.cs.uic.edu:8080/proofing/gsii/323154-history-of-present-illness-0-1.pdf","gsii/323154-history-of-present-illness-0-1.pdf")</f>
        <v>gsii/323154-history-of-present-illness-0-1.pdf</v>
      </c>
      <c r="F2033">
        <v>146230</v>
      </c>
      <c r="G2033">
        <v>323154</v>
      </c>
      <c r="H2033" t="s">
        <v>9</v>
      </c>
      <c r="I2033" t="s">
        <v>13</v>
      </c>
      <c r="J2033" t="s">
        <v>5393</v>
      </c>
    </row>
    <row r="2034" spans="1:10" x14ac:dyDescent="0.2">
      <c r="A2034" t="s">
        <v>5394</v>
      </c>
      <c r="E2034" t="str">
        <f>HYPERLINK("http://nlpdeep.cs.uic.edu:8080/proofing/t5/323154-history-of-present-illness-0-2.pdf","t5/323154-history-of-present-illness-0-2.pdf")</f>
        <v>t5/323154-history-of-present-illness-0-2.pdf</v>
      </c>
      <c r="F2034">
        <v>146230</v>
      </c>
      <c r="G2034">
        <v>323154</v>
      </c>
      <c r="H2034" t="s">
        <v>9</v>
      </c>
      <c r="I2034" t="s">
        <v>13</v>
      </c>
      <c r="J2034" t="s">
        <v>5115</v>
      </c>
    </row>
    <row r="2035" spans="1:10" x14ac:dyDescent="0.2">
      <c r="A2035" t="s">
        <v>5394</v>
      </c>
      <c r="E2035" t="str">
        <f>HYPERLINK("http://nlpdeep.cs.uic.edu:8080/proofing/gsii/323154-history-of-present-illness-0-2.pdf","gsii/323154-history-of-present-illness-0-2.pdf")</f>
        <v>gsii/323154-history-of-present-illness-0-2.pdf</v>
      </c>
      <c r="F2035">
        <v>146230</v>
      </c>
      <c r="G2035">
        <v>323154</v>
      </c>
      <c r="H2035" t="s">
        <v>9</v>
      </c>
      <c r="I2035" t="s">
        <v>13</v>
      </c>
      <c r="J2035" t="s">
        <v>5115</v>
      </c>
    </row>
    <row r="2036" spans="1:10" x14ac:dyDescent="0.2">
      <c r="A2036" t="s">
        <v>5395</v>
      </c>
      <c r="E2036" t="str">
        <f>HYPERLINK("http://nlpdeep.cs.uic.edu:8080/proofing/t5/323154-history-of-present-illness-0-3.pdf","t5/323154-history-of-present-illness-0-3.pdf")</f>
        <v>t5/323154-history-of-present-illness-0-3.pdf</v>
      </c>
      <c r="F2036">
        <v>146230</v>
      </c>
      <c r="G2036">
        <v>323154</v>
      </c>
      <c r="H2036" t="s">
        <v>9</v>
      </c>
      <c r="I2036" t="s">
        <v>13</v>
      </c>
      <c r="J2036" t="s">
        <v>5117</v>
      </c>
    </row>
    <row r="2037" spans="1:10" x14ac:dyDescent="0.2">
      <c r="A2037" t="s">
        <v>5395</v>
      </c>
      <c r="E2037" t="str">
        <f>HYPERLINK("http://nlpdeep.cs.uic.edu:8080/proofing/gsii/323154-history-of-present-illness-0-3.pdf","gsii/323154-history-of-present-illness-0-3.pdf")</f>
        <v>gsii/323154-history-of-present-illness-0-3.pdf</v>
      </c>
      <c r="F2037">
        <v>146230</v>
      </c>
      <c r="G2037">
        <v>323154</v>
      </c>
      <c r="H2037" t="s">
        <v>9</v>
      </c>
      <c r="I2037" t="s">
        <v>13</v>
      </c>
      <c r="J2037" t="s">
        <v>5117</v>
      </c>
    </row>
    <row r="2038" spans="1:10" x14ac:dyDescent="0.2">
      <c r="A2038" t="s">
        <v>5396</v>
      </c>
      <c r="E2038" t="str">
        <f>HYPERLINK("http://nlpdeep.cs.uic.edu:8080/proofing/t5/323154-history-of-present-illness-0-4.pdf","t5/323154-history-of-present-illness-0-4.pdf")</f>
        <v>t5/323154-history-of-present-illness-0-4.pdf</v>
      </c>
      <c r="F2038">
        <v>146230</v>
      </c>
      <c r="G2038">
        <v>323154</v>
      </c>
      <c r="H2038" t="s">
        <v>9</v>
      </c>
      <c r="I2038" t="s">
        <v>13</v>
      </c>
      <c r="J2038" t="s">
        <v>5119</v>
      </c>
    </row>
    <row r="2039" spans="1:10" x14ac:dyDescent="0.2">
      <c r="A2039" t="s">
        <v>5396</v>
      </c>
      <c r="E2039" t="str">
        <f>HYPERLINK("http://nlpdeep.cs.uic.edu:8080/proofing/gsii/323154-history-of-present-illness-0-4.pdf","gsii/323154-history-of-present-illness-0-4.pdf")</f>
        <v>gsii/323154-history-of-present-illness-0-4.pdf</v>
      </c>
      <c r="F2039">
        <v>146230</v>
      </c>
      <c r="G2039">
        <v>323154</v>
      </c>
      <c r="H2039" t="s">
        <v>9</v>
      </c>
      <c r="I2039" t="s">
        <v>13</v>
      </c>
      <c r="J2039" t="s">
        <v>5119</v>
      </c>
    </row>
    <row r="2040" spans="1:10" x14ac:dyDescent="0.2">
      <c r="A2040" t="s">
        <v>5397</v>
      </c>
      <c r="E2040" t="str">
        <f>HYPERLINK("http://nlpdeep.cs.uic.edu:8080/proofing/t5/323154-history-of-present-illness-0-5.pdf","t5/323154-history-of-present-illness-0-5.pdf")</f>
        <v>t5/323154-history-of-present-illness-0-5.pdf</v>
      </c>
      <c r="F2040">
        <v>146230</v>
      </c>
      <c r="G2040">
        <v>323154</v>
      </c>
      <c r="H2040" t="s">
        <v>9</v>
      </c>
      <c r="I2040" t="s">
        <v>13</v>
      </c>
      <c r="J2040" t="s">
        <v>5398</v>
      </c>
    </row>
    <row r="2041" spans="1:10" x14ac:dyDescent="0.2">
      <c r="A2041" t="s">
        <v>5397</v>
      </c>
      <c r="E2041" t="str">
        <f>HYPERLINK("http://nlpdeep.cs.uic.edu:8080/proofing/gsii/323154-history-of-present-illness-0-5.pdf","gsii/323154-history-of-present-illness-0-5.pdf")</f>
        <v>gsii/323154-history-of-present-illness-0-5.pdf</v>
      </c>
      <c r="F2041">
        <v>146230</v>
      </c>
      <c r="G2041">
        <v>323154</v>
      </c>
      <c r="H2041" t="s">
        <v>9</v>
      </c>
      <c r="I2041" t="s">
        <v>13</v>
      </c>
      <c r="J2041" t="s">
        <v>5398</v>
      </c>
    </row>
    <row r="2042" spans="1:10" x14ac:dyDescent="0.2">
      <c r="A2042" t="s">
        <v>5399</v>
      </c>
      <c r="E2042" t="str">
        <f>HYPERLINK("http://nlpdeep.cs.uic.edu:8080/proofing/t5/323154-allergies-0-0.pdf","t5/323154-allergies-0-0.pdf")</f>
        <v>t5/323154-allergies-0-0.pdf</v>
      </c>
      <c r="F2042">
        <v>146230</v>
      </c>
      <c r="G2042">
        <v>323154</v>
      </c>
      <c r="H2042" t="s">
        <v>9</v>
      </c>
      <c r="I2042" t="s">
        <v>64</v>
      </c>
      <c r="J2042" t="s">
        <v>5123</v>
      </c>
    </row>
    <row r="2043" spans="1:10" x14ac:dyDescent="0.2">
      <c r="A2043" t="s">
        <v>5399</v>
      </c>
      <c r="E2043" t="str">
        <f>HYPERLINK("http://nlpdeep.cs.uic.edu:8080/proofing/gsii/323154-allergies-0-0.pdf","gsii/323154-allergies-0-0.pdf")</f>
        <v>gsii/323154-allergies-0-0.pdf</v>
      </c>
      <c r="F2043">
        <v>146230</v>
      </c>
      <c r="G2043">
        <v>323154</v>
      </c>
      <c r="H2043" t="s">
        <v>9</v>
      </c>
      <c r="I2043" t="s">
        <v>64</v>
      </c>
      <c r="J2043" t="s">
        <v>5123</v>
      </c>
    </row>
    <row r="2044" spans="1:10" x14ac:dyDescent="0.2">
      <c r="A2044" t="s">
        <v>5400</v>
      </c>
      <c r="E2044" t="str">
        <f>HYPERLINK("http://nlpdeep.cs.uic.edu:8080/proofing/t5/323154-other-medications-0-0.pdf","t5/323154-other-medications-0-0.pdf")</f>
        <v>t5/323154-other-medications-0-0.pdf</v>
      </c>
      <c r="F2044">
        <v>146230</v>
      </c>
      <c r="G2044">
        <v>323154</v>
      </c>
      <c r="H2044" t="s">
        <v>9</v>
      </c>
      <c r="I2044" t="s">
        <v>67</v>
      </c>
      <c r="J2044" t="s">
        <v>5125</v>
      </c>
    </row>
    <row r="2045" spans="1:10" x14ac:dyDescent="0.2">
      <c r="A2045" t="s">
        <v>5400</v>
      </c>
      <c r="E2045" t="str">
        <f>HYPERLINK("http://nlpdeep.cs.uic.edu:8080/proofing/gsii/323154-other-medications-0-0.pdf","gsii/323154-other-medications-0-0.pdf")</f>
        <v>gsii/323154-other-medications-0-0.pdf</v>
      </c>
      <c r="F2045">
        <v>146230</v>
      </c>
      <c r="G2045">
        <v>323154</v>
      </c>
      <c r="H2045" t="s">
        <v>9</v>
      </c>
      <c r="I2045" t="s">
        <v>67</v>
      </c>
      <c r="J2045" t="s">
        <v>5125</v>
      </c>
    </row>
    <row r="2046" spans="1:10" x14ac:dyDescent="0.2">
      <c r="A2046" t="s">
        <v>5401</v>
      </c>
      <c r="E2046" t="str">
        <f>HYPERLINK("http://nlpdeep.cs.uic.edu:8080/proofing/t5/323154-past-medical-history-0-0.pdf","t5/323154-past-medical-history-0-0.pdf")</f>
        <v>t5/323154-past-medical-history-0-0.pdf</v>
      </c>
      <c r="F2046">
        <v>146230</v>
      </c>
      <c r="G2046">
        <v>323154</v>
      </c>
      <c r="H2046" t="s">
        <v>9</v>
      </c>
      <c r="I2046" t="s">
        <v>76</v>
      </c>
      <c r="J2046" t="s">
        <v>5127</v>
      </c>
    </row>
    <row r="2047" spans="1:10" x14ac:dyDescent="0.2">
      <c r="A2047" t="s">
        <v>5401</v>
      </c>
      <c r="E2047" t="str">
        <f>HYPERLINK("http://nlpdeep.cs.uic.edu:8080/proofing/gsii/323154-past-medical-history-0-0.pdf","gsii/323154-past-medical-history-0-0.pdf")</f>
        <v>gsii/323154-past-medical-history-0-0.pdf</v>
      </c>
      <c r="F2047">
        <v>146230</v>
      </c>
      <c r="G2047">
        <v>323154</v>
      </c>
      <c r="H2047" t="s">
        <v>9</v>
      </c>
      <c r="I2047" t="s">
        <v>76</v>
      </c>
      <c r="J2047" t="s">
        <v>5127</v>
      </c>
    </row>
    <row r="2048" spans="1:10" x14ac:dyDescent="0.2">
      <c r="A2048" t="s">
        <v>5402</v>
      </c>
      <c r="E2048" t="str">
        <f>HYPERLINK("http://nlpdeep.cs.uic.edu:8080/proofing/t5/323154-flowsheet-data-vitals-0-0.pdf","t5/323154-flowsheet-data-vitals-0-0.pdf")</f>
        <v>t5/323154-flowsheet-data-vitals-0-0.pdf</v>
      </c>
      <c r="F2048">
        <v>146230</v>
      </c>
      <c r="G2048">
        <v>323154</v>
      </c>
      <c r="H2048" t="s">
        <v>9</v>
      </c>
      <c r="I2048" t="s">
        <v>135</v>
      </c>
      <c r="J2048" t="s">
        <v>5129</v>
      </c>
    </row>
    <row r="2049" spans="1:10" x14ac:dyDescent="0.2">
      <c r="A2049" t="s">
        <v>5402</v>
      </c>
      <c r="E2049" t="str">
        <f>HYPERLINK("http://nlpdeep.cs.uic.edu:8080/proofing/gsii/323154-flowsheet-data-vitals-0-0.pdf","gsii/323154-flowsheet-data-vitals-0-0.pdf")</f>
        <v>gsii/323154-flowsheet-data-vitals-0-0.pdf</v>
      </c>
      <c r="F2049">
        <v>146230</v>
      </c>
      <c r="G2049">
        <v>323154</v>
      </c>
      <c r="H2049" t="s">
        <v>9</v>
      </c>
      <c r="I2049" t="s">
        <v>135</v>
      </c>
      <c r="J2049" t="s">
        <v>5129</v>
      </c>
    </row>
    <row r="2050" spans="1:10" x14ac:dyDescent="0.2">
      <c r="A2050" t="s">
        <v>5403</v>
      </c>
      <c r="E2050" t="str">
        <f>HYPERLINK("http://nlpdeep.cs.uic.edu:8080/proofing/t5/323154-physical-examination-0-0.pdf","t5/323154-physical-examination-0-0.pdf")</f>
        <v>t5/323154-physical-examination-0-0.pdf</v>
      </c>
      <c r="F2050">
        <v>146230</v>
      </c>
      <c r="G2050">
        <v>323154</v>
      </c>
      <c r="H2050" t="s">
        <v>9</v>
      </c>
      <c r="I2050" t="s">
        <v>138</v>
      </c>
      <c r="J2050" t="s">
        <v>5404</v>
      </c>
    </row>
    <row r="2051" spans="1:10" x14ac:dyDescent="0.2">
      <c r="A2051" t="s">
        <v>5403</v>
      </c>
      <c r="E2051" t="str">
        <f>HYPERLINK("http://nlpdeep.cs.uic.edu:8080/proofing/gsii/323154-physical-examination-0-0.pdf","gsii/323154-physical-examination-0-0.pdf")</f>
        <v>gsii/323154-physical-examination-0-0.pdf</v>
      </c>
      <c r="F2051">
        <v>146230</v>
      </c>
      <c r="G2051">
        <v>323154</v>
      </c>
      <c r="H2051" t="s">
        <v>9</v>
      </c>
      <c r="I2051" t="s">
        <v>138</v>
      </c>
      <c r="J2051" t="s">
        <v>5404</v>
      </c>
    </row>
    <row r="2052" spans="1:10" x14ac:dyDescent="0.2">
      <c r="A2052" t="s">
        <v>5405</v>
      </c>
      <c r="E2052" t="str">
        <f>HYPERLINK("http://nlpdeep.cs.uic.edu:8080/proofing/t5/323154-assessment-and-plan-0-0.pdf","t5/323154-assessment-and-plan-0-0.pdf")</f>
        <v>t5/323154-assessment-and-plan-0-0.pdf</v>
      </c>
      <c r="F2052">
        <v>146230</v>
      </c>
      <c r="G2052">
        <v>323154</v>
      </c>
      <c r="H2052" t="s">
        <v>9</v>
      </c>
      <c r="I2052" t="s">
        <v>195</v>
      </c>
      <c r="J2052" t="s">
        <v>5406</v>
      </c>
    </row>
    <row r="2053" spans="1:10" x14ac:dyDescent="0.2">
      <c r="A2053" t="s">
        <v>5405</v>
      </c>
      <c r="E2053" t="str">
        <f>HYPERLINK("http://nlpdeep.cs.uic.edu:8080/proofing/gsii/323154-assessment-and-plan-0-0.pdf","gsii/323154-assessment-and-plan-0-0.pdf")</f>
        <v>gsii/323154-assessment-and-plan-0-0.pdf</v>
      </c>
      <c r="F2053">
        <v>146230</v>
      </c>
      <c r="G2053">
        <v>323154</v>
      </c>
      <c r="H2053" t="s">
        <v>9</v>
      </c>
      <c r="I2053" t="s">
        <v>195</v>
      </c>
      <c r="J2053" t="s">
        <v>5406</v>
      </c>
    </row>
    <row r="2054" spans="1:10" x14ac:dyDescent="0.2">
      <c r="A2054" t="s">
        <v>5407</v>
      </c>
      <c r="E2054" t="str">
        <f>HYPERLINK("http://nlpdeep.cs.uic.edu:8080/proofing/t5/323154-assessment-and-plan-0-1.pdf","t5/323154-assessment-and-plan-0-1.pdf")</f>
        <v>t5/323154-assessment-and-plan-0-1.pdf</v>
      </c>
      <c r="F2054">
        <v>146230</v>
      </c>
      <c r="G2054">
        <v>323154</v>
      </c>
      <c r="H2054" t="s">
        <v>9</v>
      </c>
      <c r="I2054" t="s">
        <v>195</v>
      </c>
      <c r="J2054" t="s">
        <v>5408</v>
      </c>
    </row>
    <row r="2055" spans="1:10" x14ac:dyDescent="0.2">
      <c r="A2055" t="s">
        <v>5407</v>
      </c>
      <c r="E2055" t="str">
        <f>HYPERLINK("http://nlpdeep.cs.uic.edu:8080/proofing/gsii/323154-assessment-and-plan-0-1.pdf","gsii/323154-assessment-and-plan-0-1.pdf")</f>
        <v>gsii/323154-assessment-and-plan-0-1.pdf</v>
      </c>
      <c r="F2055">
        <v>146230</v>
      </c>
      <c r="G2055">
        <v>323154</v>
      </c>
      <c r="H2055" t="s">
        <v>9</v>
      </c>
      <c r="I2055" t="s">
        <v>195</v>
      </c>
      <c r="J2055" t="s">
        <v>5408</v>
      </c>
    </row>
    <row r="2056" spans="1:10" x14ac:dyDescent="0.2">
      <c r="A2056" t="s">
        <v>5409</v>
      </c>
      <c r="E2056" t="str">
        <f>HYPERLINK("http://nlpdeep.cs.uic.edu:8080/proofing/t5/323154-assessment-and-plan-0-2.pdf","t5/323154-assessment-and-plan-0-2.pdf")</f>
        <v>t5/323154-assessment-and-plan-0-2.pdf</v>
      </c>
      <c r="F2056">
        <v>146230</v>
      </c>
      <c r="G2056">
        <v>323154</v>
      </c>
      <c r="H2056" t="s">
        <v>9</v>
      </c>
      <c r="I2056" t="s">
        <v>195</v>
      </c>
      <c r="J2056" t="s">
        <v>5410</v>
      </c>
    </row>
    <row r="2057" spans="1:10" x14ac:dyDescent="0.2">
      <c r="A2057" t="s">
        <v>5409</v>
      </c>
      <c r="E2057" t="str">
        <f>HYPERLINK("http://nlpdeep.cs.uic.edu:8080/proofing/gsii/323154-assessment-and-plan-0-2.pdf","gsii/323154-assessment-and-plan-0-2.pdf")</f>
        <v>gsii/323154-assessment-and-plan-0-2.pdf</v>
      </c>
      <c r="F2057">
        <v>146230</v>
      </c>
      <c r="G2057">
        <v>323154</v>
      </c>
      <c r="H2057" t="s">
        <v>9</v>
      </c>
      <c r="I2057" t="s">
        <v>195</v>
      </c>
      <c r="J2057" t="s">
        <v>5410</v>
      </c>
    </row>
    <row r="2058" spans="1:10" x14ac:dyDescent="0.2">
      <c r="A2058" t="s">
        <v>5411</v>
      </c>
      <c r="E2058" t="str">
        <f>HYPERLINK("http://nlpdeep.cs.uic.edu:8080/proofing/t5/323154-assessment-and-plan-0-3.pdf","t5/323154-assessment-and-plan-0-3.pdf")</f>
        <v>t5/323154-assessment-and-plan-0-3.pdf</v>
      </c>
      <c r="F2058">
        <v>146230</v>
      </c>
      <c r="G2058">
        <v>323154</v>
      </c>
      <c r="H2058" t="s">
        <v>9</v>
      </c>
      <c r="I2058" t="s">
        <v>195</v>
      </c>
      <c r="J2058" t="s">
        <v>5143</v>
      </c>
    </row>
    <row r="2059" spans="1:10" x14ac:dyDescent="0.2">
      <c r="A2059" t="s">
        <v>5411</v>
      </c>
      <c r="E2059" t="str">
        <f>HYPERLINK("http://nlpdeep.cs.uic.edu:8080/proofing/gsii/323154-assessment-and-plan-0-3.pdf","gsii/323154-assessment-and-plan-0-3.pdf")</f>
        <v>gsii/323154-assessment-and-plan-0-3.pdf</v>
      </c>
      <c r="F2059">
        <v>146230</v>
      </c>
      <c r="G2059">
        <v>323154</v>
      </c>
      <c r="H2059" t="s">
        <v>9</v>
      </c>
      <c r="I2059" t="s">
        <v>195</v>
      </c>
      <c r="J2059" t="s">
        <v>5143</v>
      </c>
    </row>
    <row r="2060" spans="1:10" x14ac:dyDescent="0.2">
      <c r="A2060" t="s">
        <v>5412</v>
      </c>
      <c r="E2060" t="str">
        <f>HYPERLINK("http://nlpdeep.cs.uic.edu:8080/proofing/t5/323154-assessment-and-plan-0-4.pdf","t5/323154-assessment-and-plan-0-4.pdf")</f>
        <v>t5/323154-assessment-and-plan-0-4.pdf</v>
      </c>
      <c r="F2060">
        <v>146230</v>
      </c>
      <c r="G2060">
        <v>323154</v>
      </c>
      <c r="H2060" t="s">
        <v>9</v>
      </c>
      <c r="I2060" t="s">
        <v>195</v>
      </c>
      <c r="J2060" t="s">
        <v>5145</v>
      </c>
    </row>
    <row r="2061" spans="1:10" x14ac:dyDescent="0.2">
      <c r="A2061" t="s">
        <v>5412</v>
      </c>
      <c r="E2061" t="str">
        <f>HYPERLINK("http://nlpdeep.cs.uic.edu:8080/proofing/gsii/323154-assessment-and-plan-0-4.pdf","gsii/323154-assessment-and-plan-0-4.pdf")</f>
        <v>gsii/323154-assessment-and-plan-0-4.pdf</v>
      </c>
      <c r="F2061">
        <v>146230</v>
      </c>
      <c r="G2061">
        <v>323154</v>
      </c>
      <c r="H2061" t="s">
        <v>9</v>
      </c>
      <c r="I2061" t="s">
        <v>195</v>
      </c>
      <c r="J2061" t="s">
        <v>5145</v>
      </c>
    </row>
    <row r="2062" spans="1:10" x14ac:dyDescent="0.2">
      <c r="A2062" t="s">
        <v>5413</v>
      </c>
      <c r="E2062" t="str">
        <f>HYPERLINK("http://nlpdeep.cs.uic.edu:8080/proofing/t5/323154-communication-0-0.pdf","t5/323154-communication-0-0.pdf")</f>
        <v>t5/323154-communication-0-0.pdf</v>
      </c>
      <c r="F2062">
        <v>146230</v>
      </c>
      <c r="G2062">
        <v>323154</v>
      </c>
      <c r="H2062" t="s">
        <v>9</v>
      </c>
      <c r="I2062" t="s">
        <v>198</v>
      </c>
      <c r="J2062" t="s">
        <v>5147</v>
      </c>
    </row>
    <row r="2063" spans="1:10" x14ac:dyDescent="0.2">
      <c r="A2063" t="s">
        <v>5413</v>
      </c>
      <c r="E2063" t="str">
        <f>HYPERLINK("http://nlpdeep.cs.uic.edu:8080/proofing/gsii/323154-communication-0-0.pdf","gsii/323154-communication-0-0.pdf")</f>
        <v>gsii/323154-communication-0-0.pdf</v>
      </c>
      <c r="F2063">
        <v>146230</v>
      </c>
      <c r="G2063">
        <v>323154</v>
      </c>
      <c r="H2063" t="s">
        <v>9</v>
      </c>
      <c r="I2063" t="s">
        <v>198</v>
      </c>
      <c r="J2063" t="s">
        <v>5147</v>
      </c>
    </row>
    <row r="2064" spans="1:10" x14ac:dyDescent="0.2">
      <c r="A2064" t="s">
        <v>5414</v>
      </c>
      <c r="E2064" t="str">
        <f>HYPERLINK("http://nlpdeep.cs.uic.edu:8080/proofing/t5/323154-code-status-0-0.pdf","t5/323154-code-status-0-0.pdf")</f>
        <v>t5/323154-code-status-0-0.pdf</v>
      </c>
      <c r="F2064">
        <v>146230</v>
      </c>
      <c r="G2064">
        <v>323154</v>
      </c>
      <c r="H2064" t="s">
        <v>9</v>
      </c>
      <c r="I2064" t="s">
        <v>201</v>
      </c>
      <c r="J2064" t="s">
        <v>536</v>
      </c>
    </row>
    <row r="2065" spans="1:10" x14ac:dyDescent="0.2">
      <c r="A2065" t="s">
        <v>5414</v>
      </c>
      <c r="E2065" t="str">
        <f>HYPERLINK("http://nlpdeep.cs.uic.edu:8080/proofing/gsii/323154-code-status-0-0.pdf","gsii/323154-code-status-0-0.pdf")</f>
        <v>gsii/323154-code-status-0-0.pdf</v>
      </c>
      <c r="F2065">
        <v>146230</v>
      </c>
      <c r="G2065">
        <v>323154</v>
      </c>
      <c r="H2065" t="s">
        <v>9</v>
      </c>
      <c r="I2065" t="s">
        <v>201</v>
      </c>
      <c r="J2065" t="s">
        <v>536</v>
      </c>
    </row>
    <row r="2066" spans="1:10" x14ac:dyDescent="0.2">
      <c r="A2066" t="s">
        <v>5415</v>
      </c>
      <c r="E2066" t="str">
        <f>HYPERLINK("http://nlpdeep.cs.uic.edu:8080/proofing/t5/323154-disposition-0-0.pdf","t5/323154-disposition-0-0.pdf")</f>
        <v>t5/323154-disposition-0-0.pdf</v>
      </c>
      <c r="F2066">
        <v>146230</v>
      </c>
      <c r="G2066">
        <v>323154</v>
      </c>
      <c r="H2066" t="s">
        <v>9</v>
      </c>
      <c r="I2066" t="s">
        <v>204</v>
      </c>
      <c r="J2066" t="s">
        <v>5150</v>
      </c>
    </row>
    <row r="2067" spans="1:10" x14ac:dyDescent="0.2">
      <c r="A2067" t="s">
        <v>5415</v>
      </c>
      <c r="E2067" t="str">
        <f>HYPERLINK("http://nlpdeep.cs.uic.edu:8080/proofing/gsii/323154-disposition-0-0.pdf","gsii/323154-disposition-0-0.pdf")</f>
        <v>gsii/323154-disposition-0-0.pdf</v>
      </c>
      <c r="F2067">
        <v>146230</v>
      </c>
      <c r="G2067">
        <v>323154</v>
      </c>
      <c r="H2067" t="s">
        <v>9</v>
      </c>
      <c r="I2067" t="s">
        <v>204</v>
      </c>
      <c r="J2067" t="s">
        <v>5150</v>
      </c>
    </row>
    <row r="2068" spans="1:10" x14ac:dyDescent="0.2">
      <c r="A2068" t="s">
        <v>5416</v>
      </c>
      <c r="E2068" t="str">
        <f>HYPERLINK("http://nlpdeep.cs.uic.edu:8080/proofing/t5/323138-24-hour-events-0-0.pdf","t5/323138-24-hour-events-0-0.pdf")</f>
        <v>t5/323138-24-hour-events-0-0.pdf</v>
      </c>
      <c r="F2068">
        <v>146230</v>
      </c>
      <c r="G2068">
        <v>323138</v>
      </c>
      <c r="H2068" t="s">
        <v>9</v>
      </c>
      <c r="I2068" t="s">
        <v>538</v>
      </c>
      <c r="J2068" t="s">
        <v>5337</v>
      </c>
    </row>
    <row r="2069" spans="1:10" x14ac:dyDescent="0.2">
      <c r="A2069" t="s">
        <v>5416</v>
      </c>
      <c r="E2069" t="str">
        <f>HYPERLINK("http://nlpdeep.cs.uic.edu:8080/proofing/gsii/323138-24-hour-events-0-0.pdf","gsii/323138-24-hour-events-0-0.pdf")</f>
        <v>gsii/323138-24-hour-events-0-0.pdf</v>
      </c>
      <c r="F2069">
        <v>146230</v>
      </c>
      <c r="G2069">
        <v>323138</v>
      </c>
      <c r="H2069" t="s">
        <v>9</v>
      </c>
      <c r="I2069" t="s">
        <v>538</v>
      </c>
      <c r="J2069" t="s">
        <v>5337</v>
      </c>
    </row>
    <row r="2070" spans="1:10" x14ac:dyDescent="0.2">
      <c r="A2070" t="s">
        <v>5417</v>
      </c>
      <c r="E2070" t="str">
        <f>HYPERLINK("http://nlpdeep.cs.uic.edu:8080/proofing/t5/323138-24-hour-events-0-1.pdf","t5/323138-24-hour-events-0-1.pdf")</f>
        <v>t5/323138-24-hour-events-0-1.pdf</v>
      </c>
      <c r="F2070">
        <v>146230</v>
      </c>
      <c r="G2070">
        <v>323138</v>
      </c>
      <c r="H2070" t="s">
        <v>9</v>
      </c>
      <c r="I2070" t="s">
        <v>538</v>
      </c>
      <c r="J2070" t="s">
        <v>5339</v>
      </c>
    </row>
    <row r="2071" spans="1:10" x14ac:dyDescent="0.2">
      <c r="A2071" t="s">
        <v>5417</v>
      </c>
      <c r="E2071" t="str">
        <f>HYPERLINK("http://nlpdeep.cs.uic.edu:8080/proofing/gsii/323138-24-hour-events-0-1.pdf","gsii/323138-24-hour-events-0-1.pdf")</f>
        <v>gsii/323138-24-hour-events-0-1.pdf</v>
      </c>
      <c r="F2071">
        <v>146230</v>
      </c>
      <c r="G2071">
        <v>323138</v>
      </c>
      <c r="H2071" t="s">
        <v>9</v>
      </c>
      <c r="I2071" t="s">
        <v>538</v>
      </c>
      <c r="J2071" t="s">
        <v>5339</v>
      </c>
    </row>
    <row r="2072" spans="1:10" x14ac:dyDescent="0.2">
      <c r="A2072" t="s">
        <v>5418</v>
      </c>
      <c r="E2072" t="str">
        <f>HYPERLINK("http://nlpdeep.cs.uic.edu:8080/proofing/t5/323138-allergies-0-0.pdf","t5/323138-allergies-0-0.pdf")</f>
        <v>t5/323138-allergies-0-0.pdf</v>
      </c>
      <c r="F2072">
        <v>146230</v>
      </c>
      <c r="G2072">
        <v>323138</v>
      </c>
      <c r="H2072" t="s">
        <v>9</v>
      </c>
      <c r="I2072" t="s">
        <v>64</v>
      </c>
      <c r="J2072" t="s">
        <v>5123</v>
      </c>
    </row>
    <row r="2073" spans="1:10" x14ac:dyDescent="0.2">
      <c r="A2073" t="s">
        <v>5418</v>
      </c>
      <c r="E2073" t="str">
        <f>HYPERLINK("http://nlpdeep.cs.uic.edu:8080/proofing/gsii/323138-allergies-0-0.pdf","gsii/323138-allergies-0-0.pdf")</f>
        <v>gsii/323138-allergies-0-0.pdf</v>
      </c>
      <c r="F2073">
        <v>146230</v>
      </c>
      <c r="G2073">
        <v>323138</v>
      </c>
      <c r="H2073" t="s">
        <v>9</v>
      </c>
      <c r="I2073" t="s">
        <v>64</v>
      </c>
      <c r="J2073" t="s">
        <v>5123</v>
      </c>
    </row>
    <row r="2074" spans="1:10" x14ac:dyDescent="0.2">
      <c r="A2074" t="s">
        <v>5419</v>
      </c>
      <c r="E2074" t="str">
        <f>HYPERLINK("http://nlpdeep.cs.uic.edu:8080/proofing/t5/323138-other-medications-0-0.pdf","t5/323138-other-medications-0-0.pdf")</f>
        <v>t5/323138-other-medications-0-0.pdf</v>
      </c>
      <c r="F2074">
        <v>146230</v>
      </c>
      <c r="G2074">
        <v>323138</v>
      </c>
      <c r="H2074" t="s">
        <v>9</v>
      </c>
      <c r="I2074" t="s">
        <v>67</v>
      </c>
      <c r="J2074" t="s">
        <v>5125</v>
      </c>
    </row>
    <row r="2075" spans="1:10" x14ac:dyDescent="0.2">
      <c r="A2075" t="s">
        <v>5419</v>
      </c>
      <c r="E2075" t="str">
        <f>HYPERLINK("http://nlpdeep.cs.uic.edu:8080/proofing/gsii/323138-other-medications-0-0.pdf","gsii/323138-other-medications-0-0.pdf")</f>
        <v>gsii/323138-other-medications-0-0.pdf</v>
      </c>
      <c r="F2075">
        <v>146230</v>
      </c>
      <c r="G2075">
        <v>323138</v>
      </c>
      <c r="H2075" t="s">
        <v>9</v>
      </c>
      <c r="I2075" t="s">
        <v>67</v>
      </c>
      <c r="J2075" t="s">
        <v>5125</v>
      </c>
    </row>
    <row r="2076" spans="1:10" x14ac:dyDescent="0.2">
      <c r="A2076" t="s">
        <v>5420</v>
      </c>
      <c r="E2076" t="str">
        <f>HYPERLINK("http://nlpdeep.cs.uic.edu:8080/proofing/t5/323138-flowsheet-data-vitals-0-0.pdf","t5/323138-flowsheet-data-vitals-0-0.pdf")</f>
        <v>t5/323138-flowsheet-data-vitals-0-0.pdf</v>
      </c>
      <c r="F2076">
        <v>146230</v>
      </c>
      <c r="G2076">
        <v>323138</v>
      </c>
      <c r="H2076" t="s">
        <v>9</v>
      </c>
      <c r="I2076" t="s">
        <v>135</v>
      </c>
      <c r="J2076" t="s">
        <v>5421</v>
      </c>
    </row>
    <row r="2077" spans="1:10" x14ac:dyDescent="0.2">
      <c r="A2077" t="s">
        <v>5420</v>
      </c>
      <c r="E2077" t="str">
        <f>HYPERLINK("http://nlpdeep.cs.uic.edu:8080/proofing/gsii/323138-flowsheet-data-vitals-0-0.pdf","gsii/323138-flowsheet-data-vitals-0-0.pdf")</f>
        <v>gsii/323138-flowsheet-data-vitals-0-0.pdf</v>
      </c>
      <c r="F2077">
        <v>146230</v>
      </c>
      <c r="G2077">
        <v>323138</v>
      </c>
      <c r="H2077" t="s">
        <v>9</v>
      </c>
      <c r="I2077" t="s">
        <v>135</v>
      </c>
      <c r="J2077" t="s">
        <v>5421</v>
      </c>
    </row>
    <row r="2078" spans="1:10" x14ac:dyDescent="0.2">
      <c r="A2078" t="s">
        <v>5422</v>
      </c>
      <c r="E2078" t="str">
        <f>HYPERLINK("http://nlpdeep.cs.uic.edu:8080/proofing/t5/323138-physical-examination-0-0.pdf","t5/323138-physical-examination-0-0.pdf")</f>
        <v>t5/323138-physical-examination-0-0.pdf</v>
      </c>
      <c r="F2078">
        <v>146230</v>
      </c>
      <c r="G2078">
        <v>323138</v>
      </c>
      <c r="H2078" t="s">
        <v>9</v>
      </c>
      <c r="I2078" t="s">
        <v>138</v>
      </c>
      <c r="J2078" t="s">
        <v>687</v>
      </c>
    </row>
    <row r="2079" spans="1:10" x14ac:dyDescent="0.2">
      <c r="A2079" t="s">
        <v>5422</v>
      </c>
      <c r="E2079" t="str">
        <f>HYPERLINK("http://nlpdeep.cs.uic.edu:8080/proofing/gsii/323138-physical-examination-0-0.pdf","gsii/323138-physical-examination-0-0.pdf")</f>
        <v>gsii/323138-physical-examination-0-0.pdf</v>
      </c>
      <c r="F2079">
        <v>146230</v>
      </c>
      <c r="G2079">
        <v>323138</v>
      </c>
      <c r="H2079" t="s">
        <v>9</v>
      </c>
      <c r="I2079" t="s">
        <v>138</v>
      </c>
      <c r="J2079" t="s">
        <v>687</v>
      </c>
    </row>
    <row r="2080" spans="1:10" x14ac:dyDescent="0.2">
      <c r="A2080" t="s">
        <v>5423</v>
      </c>
      <c r="E2080" t="str">
        <f>HYPERLINK("http://nlpdeep.cs.uic.edu:8080/proofing/t5/323138-labs-imaging-0-0.pdf","t5/323138-labs-imaging-0-0.pdf")</f>
        <v>t5/323138-labs-imaging-0-0.pdf</v>
      </c>
      <c r="F2080">
        <v>146230</v>
      </c>
      <c r="G2080">
        <v>323138</v>
      </c>
      <c r="H2080" t="s">
        <v>9</v>
      </c>
      <c r="I2080" t="s">
        <v>147</v>
      </c>
      <c r="J2080" t="s">
        <v>5424</v>
      </c>
    </row>
    <row r="2081" spans="1:10" x14ac:dyDescent="0.2">
      <c r="A2081" t="s">
        <v>5423</v>
      </c>
      <c r="E2081" t="str">
        <f>HYPERLINK("http://nlpdeep.cs.uic.edu:8080/proofing/gsii/323138-labs-imaging-0-0.pdf","gsii/323138-labs-imaging-0-0.pdf")</f>
        <v>gsii/323138-labs-imaging-0-0.pdf</v>
      </c>
      <c r="F2081">
        <v>146230</v>
      </c>
      <c r="G2081">
        <v>323138</v>
      </c>
      <c r="H2081" t="s">
        <v>9</v>
      </c>
      <c r="I2081" t="s">
        <v>147</v>
      </c>
      <c r="J2081" t="s">
        <v>5424</v>
      </c>
    </row>
    <row r="2082" spans="1:10" x14ac:dyDescent="0.2">
      <c r="A2082" t="s">
        <v>5425</v>
      </c>
      <c r="E2082" t="str">
        <f>HYPERLINK("http://nlpdeep.cs.uic.edu:8080/proofing/t5/323138-labs-imaging-0-1.pdf","t5/323138-labs-imaging-0-1.pdf")</f>
        <v>t5/323138-labs-imaging-0-1.pdf</v>
      </c>
      <c r="F2082">
        <v>146230</v>
      </c>
      <c r="G2082">
        <v>323138</v>
      </c>
      <c r="H2082" t="s">
        <v>9</v>
      </c>
      <c r="I2082" t="s">
        <v>147</v>
      </c>
      <c r="J2082" t="s">
        <v>5264</v>
      </c>
    </row>
    <row r="2083" spans="1:10" x14ac:dyDescent="0.2">
      <c r="A2083" t="s">
        <v>5425</v>
      </c>
      <c r="E2083" t="str">
        <f>HYPERLINK("http://nlpdeep.cs.uic.edu:8080/proofing/gsii/323138-labs-imaging-0-1.pdf","gsii/323138-labs-imaging-0-1.pdf")</f>
        <v>gsii/323138-labs-imaging-0-1.pdf</v>
      </c>
      <c r="F2083">
        <v>146230</v>
      </c>
      <c r="G2083">
        <v>323138</v>
      </c>
      <c r="H2083" t="s">
        <v>9</v>
      </c>
      <c r="I2083" t="s">
        <v>147</v>
      </c>
      <c r="J2083" t="s">
        <v>5264</v>
      </c>
    </row>
    <row r="2084" spans="1:10" x14ac:dyDescent="0.2">
      <c r="A2084" t="s">
        <v>5426</v>
      </c>
      <c r="E2084" t="str">
        <f>HYPERLINK("http://nlpdeep.cs.uic.edu:8080/proofing/t5/323138-labs-imaging-0-2.pdf","t5/323138-labs-imaging-0-2.pdf")</f>
        <v>t5/323138-labs-imaging-0-2.pdf</v>
      </c>
      <c r="F2084">
        <v>146230</v>
      </c>
      <c r="G2084">
        <v>323138</v>
      </c>
      <c r="H2084" t="s">
        <v>9</v>
      </c>
      <c r="I2084" t="s">
        <v>147</v>
      </c>
      <c r="J2084" t="s">
        <v>5354</v>
      </c>
    </row>
    <row r="2085" spans="1:10" x14ac:dyDescent="0.2">
      <c r="A2085" t="s">
        <v>5426</v>
      </c>
      <c r="E2085" t="str">
        <f>HYPERLINK("http://nlpdeep.cs.uic.edu:8080/proofing/gsii/323138-labs-imaging-0-2.pdf","gsii/323138-labs-imaging-0-2.pdf")</f>
        <v>gsii/323138-labs-imaging-0-2.pdf</v>
      </c>
      <c r="F2085">
        <v>146230</v>
      </c>
      <c r="G2085">
        <v>323138</v>
      </c>
      <c r="H2085" t="s">
        <v>9</v>
      </c>
      <c r="I2085" t="s">
        <v>147</v>
      </c>
      <c r="J2085" t="s">
        <v>5354</v>
      </c>
    </row>
    <row r="2086" spans="1:10" x14ac:dyDescent="0.2">
      <c r="A2086" t="s">
        <v>5427</v>
      </c>
      <c r="E2086" t="str">
        <f>HYPERLINK("http://nlpdeep.cs.uic.edu:8080/proofing/t5/323138-labs-imaging-0-3.pdf","t5/323138-labs-imaging-0-3.pdf")</f>
        <v>t5/323138-labs-imaging-0-3.pdf</v>
      </c>
      <c r="F2086">
        <v>146230</v>
      </c>
      <c r="G2086">
        <v>323138</v>
      </c>
      <c r="H2086" t="s">
        <v>9</v>
      </c>
      <c r="I2086" t="s">
        <v>147</v>
      </c>
      <c r="J2086" t="s">
        <v>5356</v>
      </c>
    </row>
    <row r="2087" spans="1:10" x14ac:dyDescent="0.2">
      <c r="A2087" t="s">
        <v>5427</v>
      </c>
      <c r="E2087" t="str">
        <f>HYPERLINK("http://nlpdeep.cs.uic.edu:8080/proofing/gsii/323138-labs-imaging-0-3.pdf","gsii/323138-labs-imaging-0-3.pdf")</f>
        <v>gsii/323138-labs-imaging-0-3.pdf</v>
      </c>
      <c r="F2087">
        <v>146230</v>
      </c>
      <c r="G2087">
        <v>323138</v>
      </c>
      <c r="H2087" t="s">
        <v>9</v>
      </c>
      <c r="I2087" t="s">
        <v>147</v>
      </c>
      <c r="J2087" t="s">
        <v>5356</v>
      </c>
    </row>
    <row r="2088" spans="1:10" x14ac:dyDescent="0.2">
      <c r="A2088" t="s">
        <v>5428</v>
      </c>
      <c r="E2088" t="str">
        <f>HYPERLINK("http://nlpdeep.cs.uic.edu:8080/proofing/t5/323138-labs-imaging-0-4.pdf","t5/323138-labs-imaging-0-4.pdf")</f>
        <v>t5/323138-labs-imaging-0-4.pdf</v>
      </c>
      <c r="F2088">
        <v>146230</v>
      </c>
      <c r="G2088">
        <v>323138</v>
      </c>
      <c r="H2088" t="s">
        <v>9</v>
      </c>
      <c r="I2088" t="s">
        <v>147</v>
      </c>
      <c r="J2088" t="s">
        <v>5270</v>
      </c>
    </row>
    <row r="2089" spans="1:10" x14ac:dyDescent="0.2">
      <c r="A2089" t="s">
        <v>5428</v>
      </c>
      <c r="E2089" t="str">
        <f>HYPERLINK("http://nlpdeep.cs.uic.edu:8080/proofing/gsii/323138-labs-imaging-0-4.pdf","gsii/323138-labs-imaging-0-4.pdf")</f>
        <v>gsii/323138-labs-imaging-0-4.pdf</v>
      </c>
      <c r="F2089">
        <v>146230</v>
      </c>
      <c r="G2089">
        <v>323138</v>
      </c>
      <c r="H2089" t="s">
        <v>9</v>
      </c>
      <c r="I2089" t="s">
        <v>147</v>
      </c>
      <c r="J2089" t="s">
        <v>5270</v>
      </c>
    </row>
    <row r="2090" spans="1:10" x14ac:dyDescent="0.2">
      <c r="A2090" t="s">
        <v>5429</v>
      </c>
      <c r="E2090" t="str">
        <f>HYPERLINK("http://nlpdeep.cs.uic.edu:8080/proofing/t5/323138-labs-imaging-0-5.pdf","t5/323138-labs-imaging-0-5.pdf")</f>
        <v>t5/323138-labs-imaging-0-5.pdf</v>
      </c>
      <c r="F2090">
        <v>146230</v>
      </c>
      <c r="G2090">
        <v>323138</v>
      </c>
      <c r="H2090" t="s">
        <v>9</v>
      </c>
      <c r="I2090" t="s">
        <v>147</v>
      </c>
      <c r="J2090" t="s">
        <v>5272</v>
      </c>
    </row>
    <row r="2091" spans="1:10" x14ac:dyDescent="0.2">
      <c r="A2091" t="s">
        <v>5429</v>
      </c>
      <c r="E2091" t="str">
        <f>HYPERLINK("http://nlpdeep.cs.uic.edu:8080/proofing/gsii/323138-labs-imaging-0-5.pdf","gsii/323138-labs-imaging-0-5.pdf")</f>
        <v>gsii/323138-labs-imaging-0-5.pdf</v>
      </c>
      <c r="F2091">
        <v>146230</v>
      </c>
      <c r="G2091">
        <v>323138</v>
      </c>
      <c r="H2091" t="s">
        <v>9</v>
      </c>
      <c r="I2091" t="s">
        <v>147</v>
      </c>
      <c r="J2091" t="s">
        <v>5272</v>
      </c>
    </row>
    <row r="2092" spans="1:10" x14ac:dyDescent="0.2">
      <c r="A2092" t="s">
        <v>5430</v>
      </c>
      <c r="E2092" t="str">
        <f>HYPERLINK("http://nlpdeep.cs.uic.edu:8080/proofing/t5/323138-assessment-and-plan-0-0.pdf","t5/323138-assessment-and-plan-0-0.pdf")</f>
        <v>t5/323138-assessment-and-plan-0-0.pdf</v>
      </c>
      <c r="F2092">
        <v>146230</v>
      </c>
      <c r="G2092">
        <v>323138</v>
      </c>
      <c r="H2092" t="s">
        <v>9</v>
      </c>
      <c r="I2092" t="s">
        <v>195</v>
      </c>
      <c r="J2092" t="s">
        <v>5307</v>
      </c>
    </row>
    <row r="2093" spans="1:10" x14ac:dyDescent="0.2">
      <c r="A2093" t="s">
        <v>5430</v>
      </c>
      <c r="E2093" t="str">
        <f>HYPERLINK("http://nlpdeep.cs.uic.edu:8080/proofing/gsii/323138-assessment-and-plan-0-0.pdf","gsii/323138-assessment-and-plan-0-0.pdf")</f>
        <v>gsii/323138-assessment-and-plan-0-0.pdf</v>
      </c>
      <c r="F2093">
        <v>146230</v>
      </c>
      <c r="G2093">
        <v>323138</v>
      </c>
      <c r="H2093" t="s">
        <v>9</v>
      </c>
      <c r="I2093" t="s">
        <v>195</v>
      </c>
      <c r="J2093" t="s">
        <v>5307</v>
      </c>
    </row>
    <row r="2094" spans="1:10" x14ac:dyDescent="0.2">
      <c r="A2094" t="s">
        <v>5431</v>
      </c>
      <c r="E2094" t="str">
        <f>HYPERLINK("http://nlpdeep.cs.uic.edu:8080/proofing/t5/323138-assessment-and-plan-0-1.pdf","t5/323138-assessment-and-plan-0-1.pdf")</f>
        <v>t5/323138-assessment-and-plan-0-1.pdf</v>
      </c>
      <c r="F2094">
        <v>146230</v>
      </c>
      <c r="G2094">
        <v>323138</v>
      </c>
      <c r="H2094" t="s">
        <v>9</v>
      </c>
      <c r="I2094" t="s">
        <v>195</v>
      </c>
      <c r="J2094" t="s">
        <v>5361</v>
      </c>
    </row>
    <row r="2095" spans="1:10" x14ac:dyDescent="0.2">
      <c r="A2095" t="s">
        <v>5431</v>
      </c>
      <c r="E2095" t="str">
        <f>HYPERLINK("http://nlpdeep.cs.uic.edu:8080/proofing/gsii/323138-assessment-and-plan-0-1.pdf","gsii/323138-assessment-and-plan-0-1.pdf")</f>
        <v>gsii/323138-assessment-and-plan-0-1.pdf</v>
      </c>
      <c r="F2095">
        <v>146230</v>
      </c>
      <c r="G2095">
        <v>323138</v>
      </c>
      <c r="H2095" t="s">
        <v>9</v>
      </c>
      <c r="I2095" t="s">
        <v>195</v>
      </c>
      <c r="J2095" t="s">
        <v>5361</v>
      </c>
    </row>
    <row r="2096" spans="1:10" x14ac:dyDescent="0.2">
      <c r="A2096" t="s">
        <v>5432</v>
      </c>
      <c r="E2096" t="str">
        <f>HYPERLINK("http://nlpdeep.cs.uic.edu:8080/proofing/t5/323138-assessment-and-plan-0-2.pdf","t5/323138-assessment-and-plan-0-2.pdf")</f>
        <v>t5/323138-assessment-and-plan-0-2.pdf</v>
      </c>
      <c r="F2096">
        <v>146230</v>
      </c>
      <c r="G2096">
        <v>323138</v>
      </c>
      <c r="H2096" t="s">
        <v>9</v>
      </c>
      <c r="I2096" t="s">
        <v>195</v>
      </c>
      <c r="J2096" t="s">
        <v>5433</v>
      </c>
    </row>
    <row r="2097" spans="1:10" x14ac:dyDescent="0.2">
      <c r="A2097" t="s">
        <v>5432</v>
      </c>
      <c r="E2097" t="str">
        <f>HYPERLINK("http://nlpdeep.cs.uic.edu:8080/proofing/gsii/323138-assessment-and-plan-0-2.pdf","gsii/323138-assessment-and-plan-0-2.pdf")</f>
        <v>gsii/323138-assessment-and-plan-0-2.pdf</v>
      </c>
      <c r="F2097">
        <v>146230</v>
      </c>
      <c r="G2097">
        <v>323138</v>
      </c>
      <c r="H2097" t="s">
        <v>9</v>
      </c>
      <c r="I2097" t="s">
        <v>195</v>
      </c>
      <c r="J2097" t="s">
        <v>5433</v>
      </c>
    </row>
    <row r="2098" spans="1:10" x14ac:dyDescent="0.2">
      <c r="A2098" t="s">
        <v>5434</v>
      </c>
      <c r="E2098" t="str">
        <f>HYPERLINK("http://nlpdeep.cs.uic.edu:8080/proofing/t5/323138-assessment-and-plan-0-3.pdf","t5/323138-assessment-and-plan-0-3.pdf")</f>
        <v>t5/323138-assessment-and-plan-0-3.pdf</v>
      </c>
      <c r="F2098">
        <v>146230</v>
      </c>
      <c r="G2098">
        <v>323138</v>
      </c>
      <c r="H2098" t="s">
        <v>9</v>
      </c>
      <c r="I2098" t="s">
        <v>195</v>
      </c>
      <c r="J2098" t="s">
        <v>5435</v>
      </c>
    </row>
    <row r="2099" spans="1:10" x14ac:dyDescent="0.2">
      <c r="A2099" t="s">
        <v>5434</v>
      </c>
      <c r="E2099" t="str">
        <f>HYPERLINK("http://nlpdeep.cs.uic.edu:8080/proofing/gsii/323138-assessment-and-plan-0-3.pdf","gsii/323138-assessment-and-plan-0-3.pdf")</f>
        <v>gsii/323138-assessment-and-plan-0-3.pdf</v>
      </c>
      <c r="F2099">
        <v>146230</v>
      </c>
      <c r="G2099">
        <v>323138</v>
      </c>
      <c r="H2099" t="s">
        <v>9</v>
      </c>
      <c r="I2099" t="s">
        <v>195</v>
      </c>
      <c r="J2099" t="s">
        <v>5435</v>
      </c>
    </row>
    <row r="2100" spans="1:10" x14ac:dyDescent="0.2">
      <c r="A2100" t="s">
        <v>5436</v>
      </c>
      <c r="E2100" t="str">
        <f>HYPERLINK("http://nlpdeep.cs.uic.edu:8080/proofing/t5/323138-assessment-and-plan-0-4.pdf","t5/323138-assessment-and-plan-0-4.pdf")</f>
        <v>t5/323138-assessment-and-plan-0-4.pdf</v>
      </c>
      <c r="F2100">
        <v>146230</v>
      </c>
      <c r="G2100">
        <v>323138</v>
      </c>
      <c r="H2100" t="s">
        <v>9</v>
      </c>
      <c r="I2100" t="s">
        <v>195</v>
      </c>
      <c r="J2100" t="s">
        <v>5437</v>
      </c>
    </row>
    <row r="2101" spans="1:10" x14ac:dyDescent="0.2">
      <c r="A2101" t="s">
        <v>5436</v>
      </c>
      <c r="E2101" t="str">
        <f>HYPERLINK("http://nlpdeep.cs.uic.edu:8080/proofing/gsii/323138-assessment-and-plan-0-4.pdf","gsii/323138-assessment-and-plan-0-4.pdf")</f>
        <v>gsii/323138-assessment-and-plan-0-4.pdf</v>
      </c>
      <c r="F2101">
        <v>146230</v>
      </c>
      <c r="G2101">
        <v>323138</v>
      </c>
      <c r="H2101" t="s">
        <v>9</v>
      </c>
      <c r="I2101" t="s">
        <v>195</v>
      </c>
      <c r="J2101" t="s">
        <v>5437</v>
      </c>
    </row>
    <row r="2102" spans="1:10" x14ac:dyDescent="0.2">
      <c r="A2102" t="s">
        <v>5438</v>
      </c>
      <c r="E2102" t="str">
        <f>HYPERLINK("http://nlpdeep.cs.uic.edu:8080/proofing/t5/323138-assessment-and-plan-0-5.pdf","t5/323138-assessment-and-plan-0-5.pdf")</f>
        <v>t5/323138-assessment-and-plan-0-5.pdf</v>
      </c>
      <c r="F2102">
        <v>146230</v>
      </c>
      <c r="G2102">
        <v>323138</v>
      </c>
      <c r="H2102" t="s">
        <v>9</v>
      </c>
      <c r="I2102" t="s">
        <v>195</v>
      </c>
      <c r="J2102" t="s">
        <v>5439</v>
      </c>
    </row>
    <row r="2103" spans="1:10" x14ac:dyDescent="0.2">
      <c r="A2103" t="s">
        <v>5438</v>
      </c>
      <c r="E2103" t="str">
        <f>HYPERLINK("http://nlpdeep.cs.uic.edu:8080/proofing/gsii/323138-assessment-and-plan-0-5.pdf","gsii/323138-assessment-and-plan-0-5.pdf")</f>
        <v>gsii/323138-assessment-and-plan-0-5.pdf</v>
      </c>
      <c r="F2103">
        <v>146230</v>
      </c>
      <c r="G2103">
        <v>323138</v>
      </c>
      <c r="H2103" t="s">
        <v>9</v>
      </c>
      <c r="I2103" t="s">
        <v>195</v>
      </c>
      <c r="J2103" t="s">
        <v>5439</v>
      </c>
    </row>
    <row r="2104" spans="1:10" x14ac:dyDescent="0.2">
      <c r="A2104" t="s">
        <v>5440</v>
      </c>
      <c r="E2104" t="str">
        <f>HYPERLINK("http://nlpdeep.cs.uic.edu:8080/proofing/t5/323138-assessment-and-plan-0-6.pdf","t5/323138-assessment-and-plan-0-6.pdf")</f>
        <v>t5/323138-assessment-and-plan-0-6.pdf</v>
      </c>
      <c r="F2104">
        <v>146230</v>
      </c>
      <c r="G2104">
        <v>323138</v>
      </c>
      <c r="H2104" t="s">
        <v>9</v>
      </c>
      <c r="I2104" t="s">
        <v>195</v>
      </c>
      <c r="J2104" t="s">
        <v>5441</v>
      </c>
    </row>
    <row r="2105" spans="1:10" x14ac:dyDescent="0.2">
      <c r="A2105" t="s">
        <v>5440</v>
      </c>
      <c r="E2105" t="str">
        <f>HYPERLINK("http://nlpdeep.cs.uic.edu:8080/proofing/gsii/323138-assessment-and-plan-0-6.pdf","gsii/323138-assessment-and-plan-0-6.pdf")</f>
        <v>gsii/323138-assessment-and-plan-0-6.pdf</v>
      </c>
      <c r="F2105">
        <v>146230</v>
      </c>
      <c r="G2105">
        <v>323138</v>
      </c>
      <c r="H2105" t="s">
        <v>9</v>
      </c>
      <c r="I2105" t="s">
        <v>195</v>
      </c>
      <c r="J2105" t="s">
        <v>5441</v>
      </c>
    </row>
    <row r="2106" spans="1:10" x14ac:dyDescent="0.2">
      <c r="A2106" t="s">
        <v>5442</v>
      </c>
      <c r="E2106" t="str">
        <f>HYPERLINK("http://nlpdeep.cs.uic.edu:8080/proofing/t5/323138-assessment-and-plan-0-7.pdf","t5/323138-assessment-and-plan-0-7.pdf")</f>
        <v>t5/323138-assessment-and-plan-0-7.pdf</v>
      </c>
      <c r="F2106">
        <v>146230</v>
      </c>
      <c r="G2106">
        <v>323138</v>
      </c>
      <c r="H2106" t="s">
        <v>9</v>
      </c>
      <c r="I2106" t="s">
        <v>195</v>
      </c>
      <c r="J2106" t="s">
        <v>5443</v>
      </c>
    </row>
    <row r="2107" spans="1:10" x14ac:dyDescent="0.2">
      <c r="A2107" t="s">
        <v>5442</v>
      </c>
      <c r="E2107" t="str">
        <f>HYPERLINK("http://nlpdeep.cs.uic.edu:8080/proofing/gsii/323138-assessment-and-plan-0-7.pdf","gsii/323138-assessment-and-plan-0-7.pdf")</f>
        <v>gsii/323138-assessment-and-plan-0-7.pdf</v>
      </c>
      <c r="F2107">
        <v>146230</v>
      </c>
      <c r="G2107">
        <v>323138</v>
      </c>
      <c r="H2107" t="s">
        <v>9</v>
      </c>
      <c r="I2107" t="s">
        <v>195</v>
      </c>
      <c r="J2107" t="s">
        <v>5443</v>
      </c>
    </row>
    <row r="2108" spans="1:10" x14ac:dyDescent="0.2">
      <c r="A2108" t="s">
        <v>5444</v>
      </c>
      <c r="E2108" t="str">
        <f>HYPERLINK("http://nlpdeep.cs.uic.edu:8080/proofing/t5/323138-assessment-and-plan-0-8.pdf","t5/323138-assessment-and-plan-0-8.pdf")</f>
        <v>t5/323138-assessment-and-plan-0-8.pdf</v>
      </c>
      <c r="F2108">
        <v>146230</v>
      </c>
      <c r="G2108">
        <v>323138</v>
      </c>
      <c r="H2108" t="s">
        <v>9</v>
      </c>
      <c r="I2108" t="s">
        <v>195</v>
      </c>
      <c r="J2108" t="s">
        <v>5445</v>
      </c>
    </row>
    <row r="2109" spans="1:10" x14ac:dyDescent="0.2">
      <c r="A2109" t="s">
        <v>5444</v>
      </c>
      <c r="E2109" t="str">
        <f>HYPERLINK("http://nlpdeep.cs.uic.edu:8080/proofing/gsii/323138-assessment-and-plan-0-8.pdf","gsii/323138-assessment-and-plan-0-8.pdf")</f>
        <v>gsii/323138-assessment-and-plan-0-8.pdf</v>
      </c>
      <c r="F2109">
        <v>146230</v>
      </c>
      <c r="G2109">
        <v>323138</v>
      </c>
      <c r="H2109" t="s">
        <v>9</v>
      </c>
      <c r="I2109" t="s">
        <v>195</v>
      </c>
      <c r="J2109" t="s">
        <v>5445</v>
      </c>
    </row>
    <row r="2110" spans="1:10" x14ac:dyDescent="0.2">
      <c r="A2110" t="s">
        <v>5446</v>
      </c>
      <c r="E2110" t="str">
        <f>HYPERLINK("http://nlpdeep.cs.uic.edu:8080/proofing/t5/323138-assessment-and-plan-0-9.pdf","t5/323138-assessment-and-plan-0-9.pdf")</f>
        <v>t5/323138-assessment-and-plan-0-9.pdf</v>
      </c>
      <c r="F2110">
        <v>146230</v>
      </c>
      <c r="G2110">
        <v>323138</v>
      </c>
      <c r="H2110" t="s">
        <v>9</v>
      </c>
      <c r="I2110" t="s">
        <v>195</v>
      </c>
      <c r="J2110" t="s">
        <v>5447</v>
      </c>
    </row>
    <row r="2111" spans="1:10" x14ac:dyDescent="0.2">
      <c r="A2111" t="s">
        <v>5446</v>
      </c>
      <c r="E2111" t="str">
        <f>HYPERLINK("http://nlpdeep.cs.uic.edu:8080/proofing/gsii/323138-assessment-and-plan-0-9.pdf","gsii/323138-assessment-and-plan-0-9.pdf")</f>
        <v>gsii/323138-assessment-and-plan-0-9.pdf</v>
      </c>
      <c r="F2111">
        <v>146230</v>
      </c>
      <c r="G2111">
        <v>323138</v>
      </c>
      <c r="H2111" t="s">
        <v>9</v>
      </c>
      <c r="I2111" t="s">
        <v>195</v>
      </c>
      <c r="J2111" t="s">
        <v>5447</v>
      </c>
    </row>
    <row r="2112" spans="1:10" x14ac:dyDescent="0.2">
      <c r="A2112" t="s">
        <v>5448</v>
      </c>
      <c r="E2112" t="str">
        <f>HYPERLINK("http://nlpdeep.cs.uic.edu:8080/proofing/t5/323138-assessment-and-plan-0-10.pdf","t5/323138-assessment-and-plan-0-10.pdf")</f>
        <v>t5/323138-assessment-and-plan-0-10.pdf</v>
      </c>
      <c r="F2112">
        <v>146230</v>
      </c>
      <c r="G2112">
        <v>323138</v>
      </c>
      <c r="H2112" t="s">
        <v>9</v>
      </c>
      <c r="I2112" t="s">
        <v>195</v>
      </c>
      <c r="J2112" t="s">
        <v>5449</v>
      </c>
    </row>
    <row r="2113" spans="1:10" x14ac:dyDescent="0.2">
      <c r="A2113" t="s">
        <v>5448</v>
      </c>
      <c r="E2113" t="str">
        <f>HYPERLINK("http://nlpdeep.cs.uic.edu:8080/proofing/gsii/323138-assessment-and-plan-0-10.pdf","gsii/323138-assessment-and-plan-0-10.pdf")</f>
        <v>gsii/323138-assessment-and-plan-0-10.pdf</v>
      </c>
      <c r="F2113">
        <v>146230</v>
      </c>
      <c r="G2113">
        <v>323138</v>
      </c>
      <c r="H2113" t="s">
        <v>9</v>
      </c>
      <c r="I2113" t="s">
        <v>195</v>
      </c>
      <c r="J2113" t="s">
        <v>5449</v>
      </c>
    </row>
    <row r="2114" spans="1:10" x14ac:dyDescent="0.2">
      <c r="A2114" t="s">
        <v>5450</v>
      </c>
      <c r="E2114" t="str">
        <f>HYPERLINK("http://nlpdeep.cs.uic.edu:8080/proofing/t5/323138-assessment-and-plan-0-11.pdf","t5/323138-assessment-and-plan-0-11.pdf")</f>
        <v>t5/323138-assessment-and-plan-0-11.pdf</v>
      </c>
      <c r="F2114">
        <v>146230</v>
      </c>
      <c r="G2114">
        <v>323138</v>
      </c>
      <c r="H2114" t="s">
        <v>9</v>
      </c>
      <c r="I2114" t="s">
        <v>195</v>
      </c>
      <c r="J2114" t="s">
        <v>5379</v>
      </c>
    </row>
    <row r="2115" spans="1:10" x14ac:dyDescent="0.2">
      <c r="A2115" t="s">
        <v>5450</v>
      </c>
      <c r="E2115" t="str">
        <f>HYPERLINK("http://nlpdeep.cs.uic.edu:8080/proofing/gsii/323138-assessment-and-plan-0-11.pdf","gsii/323138-assessment-and-plan-0-11.pdf")</f>
        <v>gsii/323138-assessment-and-plan-0-11.pdf</v>
      </c>
      <c r="F2115">
        <v>146230</v>
      </c>
      <c r="G2115">
        <v>323138</v>
      </c>
      <c r="H2115" t="s">
        <v>9</v>
      </c>
      <c r="I2115" t="s">
        <v>195</v>
      </c>
      <c r="J2115" t="s">
        <v>5379</v>
      </c>
    </row>
    <row r="2116" spans="1:10" x14ac:dyDescent="0.2">
      <c r="A2116" t="s">
        <v>5451</v>
      </c>
      <c r="E2116" t="str">
        <f>HYPERLINK("http://nlpdeep.cs.uic.edu:8080/proofing/t5/323138-assessment-and-plan-0-12.pdf","t5/323138-assessment-and-plan-0-12.pdf")</f>
        <v>t5/323138-assessment-and-plan-0-12.pdf</v>
      </c>
      <c r="F2116">
        <v>146230</v>
      </c>
      <c r="G2116">
        <v>323138</v>
      </c>
      <c r="H2116" t="s">
        <v>9</v>
      </c>
      <c r="I2116" t="s">
        <v>195</v>
      </c>
      <c r="J2116" t="s">
        <v>5381</v>
      </c>
    </row>
    <row r="2117" spans="1:10" x14ac:dyDescent="0.2">
      <c r="A2117" t="s">
        <v>5451</v>
      </c>
      <c r="E2117" t="str">
        <f>HYPERLINK("http://nlpdeep.cs.uic.edu:8080/proofing/gsii/323138-assessment-and-plan-0-12.pdf","gsii/323138-assessment-and-plan-0-12.pdf")</f>
        <v>gsii/323138-assessment-and-plan-0-12.pdf</v>
      </c>
      <c r="F2117">
        <v>146230</v>
      </c>
      <c r="G2117">
        <v>323138</v>
      </c>
      <c r="H2117" t="s">
        <v>9</v>
      </c>
      <c r="I2117" t="s">
        <v>195</v>
      </c>
      <c r="J2117" t="s">
        <v>5381</v>
      </c>
    </row>
    <row r="2118" spans="1:10" x14ac:dyDescent="0.2">
      <c r="A2118" t="s">
        <v>5452</v>
      </c>
      <c r="E2118" t="str">
        <f>HYPERLINK("http://nlpdeep.cs.uic.edu:8080/proofing/t5/323138-assessment-and-plan-0-13.pdf","t5/323138-assessment-and-plan-0-13.pdf")</f>
        <v>t5/323138-assessment-and-plan-0-13.pdf</v>
      </c>
      <c r="F2118">
        <v>146230</v>
      </c>
      <c r="G2118">
        <v>323138</v>
      </c>
      <c r="H2118" t="s">
        <v>9</v>
      </c>
      <c r="I2118" t="s">
        <v>195</v>
      </c>
      <c r="J2118" t="s">
        <v>5453</v>
      </c>
    </row>
    <row r="2119" spans="1:10" x14ac:dyDescent="0.2">
      <c r="A2119" t="s">
        <v>5452</v>
      </c>
      <c r="E2119" t="str">
        <f>HYPERLINK("http://nlpdeep.cs.uic.edu:8080/proofing/gsii/323138-assessment-and-plan-0-13.pdf","gsii/323138-assessment-and-plan-0-13.pdf")</f>
        <v>gsii/323138-assessment-and-plan-0-13.pdf</v>
      </c>
      <c r="F2119">
        <v>146230</v>
      </c>
      <c r="G2119">
        <v>323138</v>
      </c>
      <c r="H2119" t="s">
        <v>9</v>
      </c>
      <c r="I2119" t="s">
        <v>195</v>
      </c>
      <c r="J2119" t="s">
        <v>5453</v>
      </c>
    </row>
    <row r="2120" spans="1:10" x14ac:dyDescent="0.2">
      <c r="A2120" t="s">
        <v>5454</v>
      </c>
      <c r="E2120" t="str">
        <f>HYPERLINK("http://nlpdeep.cs.uic.edu:8080/proofing/t5/323138-assessment-and-plan-0-14.pdf","t5/323138-assessment-and-plan-0-14.pdf")</f>
        <v>t5/323138-assessment-and-plan-0-14.pdf</v>
      </c>
      <c r="F2120">
        <v>146230</v>
      </c>
      <c r="G2120">
        <v>323138</v>
      </c>
      <c r="H2120" t="s">
        <v>9</v>
      </c>
      <c r="I2120" t="s">
        <v>195</v>
      </c>
      <c r="J2120" t="s">
        <v>5385</v>
      </c>
    </row>
    <row r="2121" spans="1:10" x14ac:dyDescent="0.2">
      <c r="A2121" t="s">
        <v>5454</v>
      </c>
      <c r="E2121" t="str">
        <f>HYPERLINK("http://nlpdeep.cs.uic.edu:8080/proofing/gsii/323138-assessment-and-plan-0-14.pdf","gsii/323138-assessment-and-plan-0-14.pdf")</f>
        <v>gsii/323138-assessment-and-plan-0-14.pdf</v>
      </c>
      <c r="F2121">
        <v>146230</v>
      </c>
      <c r="G2121">
        <v>323138</v>
      </c>
      <c r="H2121" t="s">
        <v>9</v>
      </c>
      <c r="I2121" t="s">
        <v>195</v>
      </c>
      <c r="J2121" t="s">
        <v>5385</v>
      </c>
    </row>
    <row r="2122" spans="1:10" x14ac:dyDescent="0.2">
      <c r="A2122" t="s">
        <v>5455</v>
      </c>
      <c r="E2122" t="str">
        <f>HYPERLINK("http://nlpdeep.cs.uic.edu:8080/proofing/t5/323138-communication-0-0.pdf","t5/323138-communication-0-0.pdf")</f>
        <v>t5/323138-communication-0-0.pdf</v>
      </c>
      <c r="F2122">
        <v>146230</v>
      </c>
      <c r="G2122">
        <v>323138</v>
      </c>
      <c r="H2122" t="s">
        <v>9</v>
      </c>
      <c r="I2122" t="s">
        <v>198</v>
      </c>
      <c r="J2122" t="s">
        <v>534</v>
      </c>
    </row>
    <row r="2123" spans="1:10" x14ac:dyDescent="0.2">
      <c r="A2123" t="s">
        <v>5455</v>
      </c>
      <c r="E2123" t="str">
        <f>HYPERLINK("http://nlpdeep.cs.uic.edu:8080/proofing/gsii/323138-communication-0-0.pdf","gsii/323138-communication-0-0.pdf")</f>
        <v>gsii/323138-communication-0-0.pdf</v>
      </c>
      <c r="F2123">
        <v>146230</v>
      </c>
      <c r="G2123">
        <v>323138</v>
      </c>
      <c r="H2123" t="s">
        <v>9</v>
      </c>
      <c r="I2123" t="s">
        <v>198</v>
      </c>
      <c r="J2123" t="s">
        <v>534</v>
      </c>
    </row>
    <row r="2124" spans="1:10" x14ac:dyDescent="0.2">
      <c r="A2124" t="s">
        <v>5456</v>
      </c>
      <c r="E2124" t="str">
        <f>HYPERLINK("http://nlpdeep.cs.uic.edu:8080/proofing/t5/323138-code-status-0-0.pdf","t5/323138-code-status-0-0.pdf")</f>
        <v>t5/323138-code-status-0-0.pdf</v>
      </c>
      <c r="F2124">
        <v>146230</v>
      </c>
      <c r="G2124">
        <v>323138</v>
      </c>
      <c r="H2124" t="s">
        <v>9</v>
      </c>
      <c r="I2124" t="s">
        <v>201</v>
      </c>
      <c r="J2124" t="s">
        <v>536</v>
      </c>
    </row>
    <row r="2125" spans="1:10" x14ac:dyDescent="0.2">
      <c r="A2125" t="s">
        <v>5456</v>
      </c>
      <c r="E2125" t="str">
        <f>HYPERLINK("http://nlpdeep.cs.uic.edu:8080/proofing/gsii/323138-code-status-0-0.pdf","gsii/323138-code-status-0-0.pdf")</f>
        <v>gsii/323138-code-status-0-0.pdf</v>
      </c>
      <c r="F2125">
        <v>146230</v>
      </c>
      <c r="G2125">
        <v>323138</v>
      </c>
      <c r="H2125" t="s">
        <v>9</v>
      </c>
      <c r="I2125" t="s">
        <v>201</v>
      </c>
      <c r="J2125" t="s">
        <v>536</v>
      </c>
    </row>
    <row r="2126" spans="1:10" x14ac:dyDescent="0.2">
      <c r="A2126" t="s">
        <v>5457</v>
      </c>
      <c r="E2126" t="str">
        <f>HYPERLINK("http://nlpdeep.cs.uic.edu:8080/proofing/t5/323138-disposition-0-0.pdf","t5/323138-disposition-0-0.pdf")</f>
        <v>t5/323138-disposition-0-0.pdf</v>
      </c>
      <c r="F2126">
        <v>146230</v>
      </c>
      <c r="G2126">
        <v>323138</v>
      </c>
      <c r="H2126" t="s">
        <v>9</v>
      </c>
      <c r="I2126" t="s">
        <v>204</v>
      </c>
      <c r="J2126" t="s">
        <v>5458</v>
      </c>
    </row>
    <row r="2127" spans="1:10" x14ac:dyDescent="0.2">
      <c r="A2127" t="s">
        <v>5457</v>
      </c>
      <c r="E2127" t="str">
        <f>HYPERLINK("http://nlpdeep.cs.uic.edu:8080/proofing/gsii/323138-disposition-0-0.pdf","gsii/323138-disposition-0-0.pdf")</f>
        <v>gsii/323138-disposition-0-0.pdf</v>
      </c>
      <c r="F2127">
        <v>146230</v>
      </c>
      <c r="G2127">
        <v>323138</v>
      </c>
      <c r="H2127" t="s">
        <v>9</v>
      </c>
      <c r="I2127" t="s">
        <v>204</v>
      </c>
      <c r="J2127" t="s">
        <v>5458</v>
      </c>
    </row>
    <row r="2128" spans="1:10" x14ac:dyDescent="0.2">
      <c r="A2128" t="s">
        <v>5459</v>
      </c>
      <c r="E2128" t="str">
        <f>HYPERLINK("http://nlpdeep.cs.uic.edu:8080/proofing/t5/323140-chief-complaint-0-0.pdf","t5/323140-chief-complaint-0-0.pdf")</f>
        <v>t5/323140-chief-complaint-0-0.pdf</v>
      </c>
      <c r="F2128">
        <v>146230</v>
      </c>
      <c r="G2128">
        <v>323140</v>
      </c>
      <c r="H2128" t="s">
        <v>9</v>
      </c>
      <c r="I2128" t="s">
        <v>10</v>
      </c>
      <c r="J2128" t="s">
        <v>5335</v>
      </c>
    </row>
    <row r="2129" spans="1:10" x14ac:dyDescent="0.2">
      <c r="A2129" t="s">
        <v>5459</v>
      </c>
      <c r="E2129" t="str">
        <f>HYPERLINK("http://nlpdeep.cs.uic.edu:8080/proofing/gsii/323140-chief-complaint-0-0.pdf","gsii/323140-chief-complaint-0-0.pdf")</f>
        <v>gsii/323140-chief-complaint-0-0.pdf</v>
      </c>
      <c r="F2129">
        <v>146230</v>
      </c>
      <c r="G2129">
        <v>323140</v>
      </c>
      <c r="H2129" t="s">
        <v>9</v>
      </c>
      <c r="I2129" t="s">
        <v>10</v>
      </c>
      <c r="J2129" t="s">
        <v>5335</v>
      </c>
    </row>
    <row r="2130" spans="1:10" x14ac:dyDescent="0.2">
      <c r="A2130" t="s">
        <v>5460</v>
      </c>
      <c r="E2130" t="str">
        <f>HYPERLINK("http://nlpdeep.cs.uic.edu:8080/proofing/t5/323140-24-hour-events-0-0.pdf","t5/323140-24-hour-events-0-0.pdf")</f>
        <v>t5/323140-24-hour-events-0-0.pdf</v>
      </c>
      <c r="F2130">
        <v>146230</v>
      </c>
      <c r="G2130">
        <v>323140</v>
      </c>
      <c r="H2130" t="s">
        <v>9</v>
      </c>
      <c r="I2130" t="s">
        <v>538</v>
      </c>
      <c r="J2130" t="s">
        <v>5337</v>
      </c>
    </row>
    <row r="2131" spans="1:10" x14ac:dyDescent="0.2">
      <c r="A2131" t="s">
        <v>5460</v>
      </c>
      <c r="E2131" t="str">
        <f>HYPERLINK("http://nlpdeep.cs.uic.edu:8080/proofing/gsii/323140-24-hour-events-0-0.pdf","gsii/323140-24-hour-events-0-0.pdf")</f>
        <v>gsii/323140-24-hour-events-0-0.pdf</v>
      </c>
      <c r="F2131">
        <v>146230</v>
      </c>
      <c r="G2131">
        <v>323140</v>
      </c>
      <c r="H2131" t="s">
        <v>9</v>
      </c>
      <c r="I2131" t="s">
        <v>538</v>
      </c>
      <c r="J2131" t="s">
        <v>5337</v>
      </c>
    </row>
    <row r="2132" spans="1:10" x14ac:dyDescent="0.2">
      <c r="A2132" t="s">
        <v>5461</v>
      </c>
      <c r="E2132" t="str">
        <f>HYPERLINK("http://nlpdeep.cs.uic.edu:8080/proofing/t5/323140-24-hour-events-0-1.pdf","t5/323140-24-hour-events-0-1.pdf")</f>
        <v>t5/323140-24-hour-events-0-1.pdf</v>
      </c>
      <c r="F2132">
        <v>146230</v>
      </c>
      <c r="G2132">
        <v>323140</v>
      </c>
      <c r="H2132" t="s">
        <v>9</v>
      </c>
      <c r="I2132" t="s">
        <v>538</v>
      </c>
      <c r="J2132" t="s">
        <v>5339</v>
      </c>
    </row>
    <row r="2133" spans="1:10" x14ac:dyDescent="0.2">
      <c r="A2133" t="s">
        <v>5461</v>
      </c>
      <c r="E2133" t="str">
        <f>HYPERLINK("http://nlpdeep.cs.uic.edu:8080/proofing/gsii/323140-24-hour-events-0-1.pdf","gsii/323140-24-hour-events-0-1.pdf")</f>
        <v>gsii/323140-24-hour-events-0-1.pdf</v>
      </c>
      <c r="F2133">
        <v>146230</v>
      </c>
      <c r="G2133">
        <v>323140</v>
      </c>
      <c r="H2133" t="s">
        <v>9</v>
      </c>
      <c r="I2133" t="s">
        <v>538</v>
      </c>
      <c r="J2133" t="s">
        <v>5339</v>
      </c>
    </row>
    <row r="2134" spans="1:10" x14ac:dyDescent="0.2">
      <c r="A2134" t="s">
        <v>5462</v>
      </c>
      <c r="E2134" t="str">
        <f>HYPERLINK("http://nlpdeep.cs.uic.edu:8080/proofing/t5/323140-allergies-0-0.pdf","t5/323140-allergies-0-0.pdf")</f>
        <v>t5/323140-allergies-0-0.pdf</v>
      </c>
      <c r="F2134">
        <v>146230</v>
      </c>
      <c r="G2134">
        <v>323140</v>
      </c>
      <c r="H2134" t="s">
        <v>9</v>
      </c>
      <c r="I2134" t="s">
        <v>64</v>
      </c>
      <c r="J2134" t="s">
        <v>5123</v>
      </c>
    </row>
    <row r="2135" spans="1:10" x14ac:dyDescent="0.2">
      <c r="A2135" t="s">
        <v>5462</v>
      </c>
      <c r="E2135" t="str">
        <f>HYPERLINK("http://nlpdeep.cs.uic.edu:8080/proofing/gsii/323140-allergies-0-0.pdf","gsii/323140-allergies-0-0.pdf")</f>
        <v>gsii/323140-allergies-0-0.pdf</v>
      </c>
      <c r="F2135">
        <v>146230</v>
      </c>
      <c r="G2135">
        <v>323140</v>
      </c>
      <c r="H2135" t="s">
        <v>9</v>
      </c>
      <c r="I2135" t="s">
        <v>64</v>
      </c>
      <c r="J2135" t="s">
        <v>5123</v>
      </c>
    </row>
    <row r="2136" spans="1:10" x14ac:dyDescent="0.2">
      <c r="A2136" t="s">
        <v>5463</v>
      </c>
      <c r="E2136" t="str">
        <f>HYPERLINK("http://nlpdeep.cs.uic.edu:8080/proofing/t5/323140-other-medications-0-0.pdf","t5/323140-other-medications-0-0.pdf")</f>
        <v>t5/323140-other-medications-0-0.pdf</v>
      </c>
      <c r="F2136">
        <v>146230</v>
      </c>
      <c r="G2136">
        <v>323140</v>
      </c>
      <c r="H2136" t="s">
        <v>9</v>
      </c>
      <c r="I2136" t="s">
        <v>67</v>
      </c>
      <c r="J2136" t="s">
        <v>5125</v>
      </c>
    </row>
    <row r="2137" spans="1:10" x14ac:dyDescent="0.2">
      <c r="A2137" t="s">
        <v>5463</v>
      </c>
      <c r="E2137" t="str">
        <f>HYPERLINK("http://nlpdeep.cs.uic.edu:8080/proofing/gsii/323140-other-medications-0-0.pdf","gsii/323140-other-medications-0-0.pdf")</f>
        <v>gsii/323140-other-medications-0-0.pdf</v>
      </c>
      <c r="F2137">
        <v>146230</v>
      </c>
      <c r="G2137">
        <v>323140</v>
      </c>
      <c r="H2137" t="s">
        <v>9</v>
      </c>
      <c r="I2137" t="s">
        <v>67</v>
      </c>
      <c r="J2137" t="s">
        <v>5125</v>
      </c>
    </row>
    <row r="2138" spans="1:10" x14ac:dyDescent="0.2">
      <c r="A2138" t="s">
        <v>5464</v>
      </c>
      <c r="E2138" t="str">
        <f>HYPERLINK("http://nlpdeep.cs.uic.edu:8080/proofing/t5/323140-flowsheet-data-vitals-0-0.pdf","t5/323140-flowsheet-data-vitals-0-0.pdf")</f>
        <v>t5/323140-flowsheet-data-vitals-0-0.pdf</v>
      </c>
      <c r="F2138">
        <v>146230</v>
      </c>
      <c r="G2138">
        <v>323140</v>
      </c>
      <c r="H2138" t="s">
        <v>9</v>
      </c>
      <c r="I2138" t="s">
        <v>135</v>
      </c>
      <c r="J2138" t="s">
        <v>5421</v>
      </c>
    </row>
    <row r="2139" spans="1:10" x14ac:dyDescent="0.2">
      <c r="A2139" t="s">
        <v>5464</v>
      </c>
      <c r="E2139" t="str">
        <f>HYPERLINK("http://nlpdeep.cs.uic.edu:8080/proofing/gsii/323140-flowsheet-data-vitals-0-0.pdf","gsii/323140-flowsheet-data-vitals-0-0.pdf")</f>
        <v>gsii/323140-flowsheet-data-vitals-0-0.pdf</v>
      </c>
      <c r="F2139">
        <v>146230</v>
      </c>
      <c r="G2139">
        <v>323140</v>
      </c>
      <c r="H2139" t="s">
        <v>9</v>
      </c>
      <c r="I2139" t="s">
        <v>135</v>
      </c>
      <c r="J2139" t="s">
        <v>5421</v>
      </c>
    </row>
    <row r="2140" spans="1:10" x14ac:dyDescent="0.2">
      <c r="A2140" t="s">
        <v>5465</v>
      </c>
      <c r="E2140" t="str">
        <f>HYPERLINK("http://nlpdeep.cs.uic.edu:8080/proofing/t5/323140-physical-examination-0-0.pdf","t5/323140-physical-examination-0-0.pdf")</f>
        <v>t5/323140-physical-examination-0-0.pdf</v>
      </c>
      <c r="F2140">
        <v>146230</v>
      </c>
      <c r="G2140">
        <v>323140</v>
      </c>
      <c r="H2140" t="s">
        <v>9</v>
      </c>
      <c r="I2140" t="s">
        <v>138</v>
      </c>
      <c r="J2140" t="s">
        <v>687</v>
      </c>
    </row>
    <row r="2141" spans="1:10" x14ac:dyDescent="0.2">
      <c r="A2141" t="s">
        <v>5465</v>
      </c>
      <c r="E2141" t="str">
        <f>HYPERLINK("http://nlpdeep.cs.uic.edu:8080/proofing/gsii/323140-physical-examination-0-0.pdf","gsii/323140-physical-examination-0-0.pdf")</f>
        <v>gsii/323140-physical-examination-0-0.pdf</v>
      </c>
      <c r="F2141">
        <v>146230</v>
      </c>
      <c r="G2141">
        <v>323140</v>
      </c>
      <c r="H2141" t="s">
        <v>9</v>
      </c>
      <c r="I2141" t="s">
        <v>138</v>
      </c>
      <c r="J2141" t="s">
        <v>687</v>
      </c>
    </row>
    <row r="2142" spans="1:10" x14ac:dyDescent="0.2">
      <c r="A2142" t="s">
        <v>5466</v>
      </c>
      <c r="E2142" t="str">
        <f>HYPERLINK("http://nlpdeep.cs.uic.edu:8080/proofing/t5/323140-labs-imaging-0-0.pdf","t5/323140-labs-imaging-0-0.pdf")</f>
        <v>t5/323140-labs-imaging-0-0.pdf</v>
      </c>
      <c r="F2142">
        <v>146230</v>
      </c>
      <c r="G2142">
        <v>323140</v>
      </c>
      <c r="H2142" t="s">
        <v>9</v>
      </c>
      <c r="I2142" t="s">
        <v>147</v>
      </c>
      <c r="J2142" t="s">
        <v>5467</v>
      </c>
    </row>
    <row r="2143" spans="1:10" x14ac:dyDescent="0.2">
      <c r="A2143" t="s">
        <v>5466</v>
      </c>
      <c r="E2143" t="str">
        <f>HYPERLINK("http://nlpdeep.cs.uic.edu:8080/proofing/gsii/323140-labs-imaging-0-0.pdf","gsii/323140-labs-imaging-0-0.pdf")</f>
        <v>gsii/323140-labs-imaging-0-0.pdf</v>
      </c>
      <c r="F2143">
        <v>146230</v>
      </c>
      <c r="G2143">
        <v>323140</v>
      </c>
      <c r="H2143" t="s">
        <v>9</v>
      </c>
      <c r="I2143" t="s">
        <v>147</v>
      </c>
      <c r="J2143" t="s">
        <v>5467</v>
      </c>
    </row>
    <row r="2144" spans="1:10" x14ac:dyDescent="0.2">
      <c r="A2144" t="s">
        <v>5468</v>
      </c>
      <c r="E2144" t="str">
        <f>HYPERLINK("http://nlpdeep.cs.uic.edu:8080/proofing/t5/323140-labs-imaging-0-1.pdf","t5/323140-labs-imaging-0-1.pdf")</f>
        <v>t5/323140-labs-imaging-0-1.pdf</v>
      </c>
      <c r="F2144">
        <v>146230</v>
      </c>
      <c r="G2144">
        <v>323140</v>
      </c>
      <c r="H2144" t="s">
        <v>9</v>
      </c>
      <c r="I2144" t="s">
        <v>147</v>
      </c>
      <c r="J2144" t="s">
        <v>5264</v>
      </c>
    </row>
    <row r="2145" spans="1:10" x14ac:dyDescent="0.2">
      <c r="A2145" t="s">
        <v>5468</v>
      </c>
      <c r="E2145" t="str">
        <f>HYPERLINK("http://nlpdeep.cs.uic.edu:8080/proofing/gsii/323140-labs-imaging-0-1.pdf","gsii/323140-labs-imaging-0-1.pdf")</f>
        <v>gsii/323140-labs-imaging-0-1.pdf</v>
      </c>
      <c r="F2145">
        <v>146230</v>
      </c>
      <c r="G2145">
        <v>323140</v>
      </c>
      <c r="H2145" t="s">
        <v>9</v>
      </c>
      <c r="I2145" t="s">
        <v>147</v>
      </c>
      <c r="J2145" t="s">
        <v>5264</v>
      </c>
    </row>
    <row r="2146" spans="1:10" x14ac:dyDescent="0.2">
      <c r="A2146" t="s">
        <v>5469</v>
      </c>
      <c r="E2146" t="str">
        <f>HYPERLINK("http://nlpdeep.cs.uic.edu:8080/proofing/t5/323140-labs-imaging-0-2.pdf","t5/323140-labs-imaging-0-2.pdf")</f>
        <v>t5/323140-labs-imaging-0-2.pdf</v>
      </c>
      <c r="F2146">
        <v>146230</v>
      </c>
      <c r="G2146">
        <v>323140</v>
      </c>
      <c r="H2146" t="s">
        <v>9</v>
      </c>
      <c r="I2146" t="s">
        <v>147</v>
      </c>
      <c r="J2146" t="s">
        <v>5354</v>
      </c>
    </row>
    <row r="2147" spans="1:10" x14ac:dyDescent="0.2">
      <c r="A2147" t="s">
        <v>5469</v>
      </c>
      <c r="E2147" t="str">
        <f>HYPERLINK("http://nlpdeep.cs.uic.edu:8080/proofing/gsii/323140-labs-imaging-0-2.pdf","gsii/323140-labs-imaging-0-2.pdf")</f>
        <v>gsii/323140-labs-imaging-0-2.pdf</v>
      </c>
      <c r="F2147">
        <v>146230</v>
      </c>
      <c r="G2147">
        <v>323140</v>
      </c>
      <c r="H2147" t="s">
        <v>9</v>
      </c>
      <c r="I2147" t="s">
        <v>147</v>
      </c>
      <c r="J2147" t="s">
        <v>5354</v>
      </c>
    </row>
    <row r="2148" spans="1:10" x14ac:dyDescent="0.2">
      <c r="A2148" t="s">
        <v>5470</v>
      </c>
      <c r="E2148" t="str">
        <f>HYPERLINK("http://nlpdeep.cs.uic.edu:8080/proofing/t5/323140-labs-imaging-0-3.pdf","t5/323140-labs-imaging-0-3.pdf")</f>
        <v>t5/323140-labs-imaging-0-3.pdf</v>
      </c>
      <c r="F2148">
        <v>146230</v>
      </c>
      <c r="G2148">
        <v>323140</v>
      </c>
      <c r="H2148" t="s">
        <v>9</v>
      </c>
      <c r="I2148" t="s">
        <v>147</v>
      </c>
      <c r="J2148" t="s">
        <v>5356</v>
      </c>
    </row>
    <row r="2149" spans="1:10" x14ac:dyDescent="0.2">
      <c r="A2149" t="s">
        <v>5470</v>
      </c>
      <c r="E2149" t="str">
        <f>HYPERLINK("http://nlpdeep.cs.uic.edu:8080/proofing/gsii/323140-labs-imaging-0-3.pdf","gsii/323140-labs-imaging-0-3.pdf")</f>
        <v>gsii/323140-labs-imaging-0-3.pdf</v>
      </c>
      <c r="F2149">
        <v>146230</v>
      </c>
      <c r="G2149">
        <v>323140</v>
      </c>
      <c r="H2149" t="s">
        <v>9</v>
      </c>
      <c r="I2149" t="s">
        <v>147</v>
      </c>
      <c r="J2149" t="s">
        <v>5356</v>
      </c>
    </row>
    <row r="2150" spans="1:10" x14ac:dyDescent="0.2">
      <c r="A2150" t="s">
        <v>5471</v>
      </c>
      <c r="E2150" t="str">
        <f>HYPERLINK("http://nlpdeep.cs.uic.edu:8080/proofing/t5/323140-labs-imaging-0-4.pdf","t5/323140-labs-imaging-0-4.pdf")</f>
        <v>t5/323140-labs-imaging-0-4.pdf</v>
      </c>
      <c r="F2150">
        <v>146230</v>
      </c>
      <c r="G2150">
        <v>323140</v>
      </c>
      <c r="H2150" t="s">
        <v>9</v>
      </c>
      <c r="I2150" t="s">
        <v>147</v>
      </c>
      <c r="J2150" t="s">
        <v>5270</v>
      </c>
    </row>
    <row r="2151" spans="1:10" x14ac:dyDescent="0.2">
      <c r="A2151" t="s">
        <v>5471</v>
      </c>
      <c r="E2151" t="str">
        <f>HYPERLINK("http://nlpdeep.cs.uic.edu:8080/proofing/gsii/323140-labs-imaging-0-4.pdf","gsii/323140-labs-imaging-0-4.pdf")</f>
        <v>gsii/323140-labs-imaging-0-4.pdf</v>
      </c>
      <c r="F2151">
        <v>146230</v>
      </c>
      <c r="G2151">
        <v>323140</v>
      </c>
      <c r="H2151" t="s">
        <v>9</v>
      </c>
      <c r="I2151" t="s">
        <v>147</v>
      </c>
      <c r="J2151" t="s">
        <v>5270</v>
      </c>
    </row>
    <row r="2152" spans="1:10" x14ac:dyDescent="0.2">
      <c r="A2152" t="s">
        <v>5472</v>
      </c>
      <c r="E2152" t="str">
        <f>HYPERLINK("http://nlpdeep.cs.uic.edu:8080/proofing/t5/323140-labs-imaging-0-5.pdf","t5/323140-labs-imaging-0-5.pdf")</f>
        <v>t5/323140-labs-imaging-0-5.pdf</v>
      </c>
      <c r="F2152">
        <v>146230</v>
      </c>
      <c r="G2152">
        <v>323140</v>
      </c>
      <c r="H2152" t="s">
        <v>9</v>
      </c>
      <c r="I2152" t="s">
        <v>147</v>
      </c>
      <c r="J2152" t="s">
        <v>5272</v>
      </c>
    </row>
    <row r="2153" spans="1:10" x14ac:dyDescent="0.2">
      <c r="A2153" t="s">
        <v>5472</v>
      </c>
      <c r="E2153" t="str">
        <f>HYPERLINK("http://nlpdeep.cs.uic.edu:8080/proofing/gsii/323140-labs-imaging-0-5.pdf","gsii/323140-labs-imaging-0-5.pdf")</f>
        <v>gsii/323140-labs-imaging-0-5.pdf</v>
      </c>
      <c r="F2153">
        <v>146230</v>
      </c>
      <c r="G2153">
        <v>323140</v>
      </c>
      <c r="H2153" t="s">
        <v>9</v>
      </c>
      <c r="I2153" t="s">
        <v>147</v>
      </c>
      <c r="J2153" t="s">
        <v>5272</v>
      </c>
    </row>
    <row r="2154" spans="1:10" x14ac:dyDescent="0.2">
      <c r="A2154" t="s">
        <v>5473</v>
      </c>
      <c r="E2154" t="str">
        <f>HYPERLINK("http://nlpdeep.cs.uic.edu:8080/proofing/t5/323140-assessment-and-plan-0-0.pdf","t5/323140-assessment-and-plan-0-0.pdf")</f>
        <v>t5/323140-assessment-and-plan-0-0.pdf</v>
      </c>
      <c r="F2154">
        <v>146230</v>
      </c>
      <c r="G2154">
        <v>323140</v>
      </c>
      <c r="H2154" t="s">
        <v>9</v>
      </c>
      <c r="I2154" t="s">
        <v>195</v>
      </c>
      <c r="J2154" t="s">
        <v>5307</v>
      </c>
    </row>
    <row r="2155" spans="1:10" x14ac:dyDescent="0.2">
      <c r="A2155" t="s">
        <v>5473</v>
      </c>
      <c r="E2155" t="str">
        <f>HYPERLINK("http://nlpdeep.cs.uic.edu:8080/proofing/gsii/323140-assessment-and-plan-0-0.pdf","gsii/323140-assessment-and-plan-0-0.pdf")</f>
        <v>gsii/323140-assessment-and-plan-0-0.pdf</v>
      </c>
      <c r="F2155">
        <v>146230</v>
      </c>
      <c r="G2155">
        <v>323140</v>
      </c>
      <c r="H2155" t="s">
        <v>9</v>
      </c>
      <c r="I2155" t="s">
        <v>195</v>
      </c>
      <c r="J2155" t="s">
        <v>5307</v>
      </c>
    </row>
    <row r="2156" spans="1:10" x14ac:dyDescent="0.2">
      <c r="A2156" t="s">
        <v>5474</v>
      </c>
      <c r="E2156" t="str">
        <f>HYPERLINK("http://nlpdeep.cs.uic.edu:8080/proofing/t5/323140-assessment-and-plan-0-1.pdf","t5/323140-assessment-and-plan-0-1.pdf")</f>
        <v>t5/323140-assessment-and-plan-0-1.pdf</v>
      </c>
      <c r="F2156">
        <v>146230</v>
      </c>
      <c r="G2156">
        <v>323140</v>
      </c>
      <c r="H2156" t="s">
        <v>9</v>
      </c>
      <c r="I2156" t="s">
        <v>195</v>
      </c>
      <c r="J2156" t="s">
        <v>5361</v>
      </c>
    </row>
    <row r="2157" spans="1:10" x14ac:dyDescent="0.2">
      <c r="A2157" t="s">
        <v>5474</v>
      </c>
      <c r="E2157" t="str">
        <f>HYPERLINK("http://nlpdeep.cs.uic.edu:8080/proofing/gsii/323140-assessment-and-plan-0-1.pdf","gsii/323140-assessment-and-plan-0-1.pdf")</f>
        <v>gsii/323140-assessment-and-plan-0-1.pdf</v>
      </c>
      <c r="F2157">
        <v>146230</v>
      </c>
      <c r="G2157">
        <v>323140</v>
      </c>
      <c r="H2157" t="s">
        <v>9</v>
      </c>
      <c r="I2157" t="s">
        <v>195</v>
      </c>
      <c r="J2157" t="s">
        <v>5361</v>
      </c>
    </row>
    <row r="2158" spans="1:10" x14ac:dyDescent="0.2">
      <c r="A2158" t="s">
        <v>5475</v>
      </c>
      <c r="E2158" t="str">
        <f>HYPERLINK("http://nlpdeep.cs.uic.edu:8080/proofing/t5/323140-assessment-and-plan-0-2.pdf","t5/323140-assessment-and-plan-0-2.pdf")</f>
        <v>t5/323140-assessment-and-plan-0-2.pdf</v>
      </c>
      <c r="F2158">
        <v>146230</v>
      </c>
      <c r="G2158">
        <v>323140</v>
      </c>
      <c r="H2158" t="s">
        <v>9</v>
      </c>
      <c r="I2158" t="s">
        <v>195</v>
      </c>
      <c r="J2158" t="s">
        <v>5433</v>
      </c>
    </row>
    <row r="2159" spans="1:10" x14ac:dyDescent="0.2">
      <c r="A2159" t="s">
        <v>5475</v>
      </c>
      <c r="E2159" t="str">
        <f>HYPERLINK("http://nlpdeep.cs.uic.edu:8080/proofing/gsii/323140-assessment-and-plan-0-2.pdf","gsii/323140-assessment-and-plan-0-2.pdf")</f>
        <v>gsii/323140-assessment-and-plan-0-2.pdf</v>
      </c>
      <c r="F2159">
        <v>146230</v>
      </c>
      <c r="G2159">
        <v>323140</v>
      </c>
      <c r="H2159" t="s">
        <v>9</v>
      </c>
      <c r="I2159" t="s">
        <v>195</v>
      </c>
      <c r="J2159" t="s">
        <v>5433</v>
      </c>
    </row>
    <row r="2160" spans="1:10" x14ac:dyDescent="0.2">
      <c r="A2160" t="s">
        <v>5476</v>
      </c>
      <c r="E2160" t="str">
        <f>HYPERLINK("http://nlpdeep.cs.uic.edu:8080/proofing/t5/323140-assessment-and-plan-0-3.pdf","t5/323140-assessment-and-plan-0-3.pdf")</f>
        <v>t5/323140-assessment-and-plan-0-3.pdf</v>
      </c>
      <c r="F2160">
        <v>146230</v>
      </c>
      <c r="G2160">
        <v>323140</v>
      </c>
      <c r="H2160" t="s">
        <v>9</v>
      </c>
      <c r="I2160" t="s">
        <v>195</v>
      </c>
      <c r="J2160" t="s">
        <v>5435</v>
      </c>
    </row>
    <row r="2161" spans="1:10" x14ac:dyDescent="0.2">
      <c r="A2161" t="s">
        <v>5476</v>
      </c>
      <c r="E2161" t="str">
        <f>HYPERLINK("http://nlpdeep.cs.uic.edu:8080/proofing/gsii/323140-assessment-and-plan-0-3.pdf","gsii/323140-assessment-and-plan-0-3.pdf")</f>
        <v>gsii/323140-assessment-and-plan-0-3.pdf</v>
      </c>
      <c r="F2161">
        <v>146230</v>
      </c>
      <c r="G2161">
        <v>323140</v>
      </c>
      <c r="H2161" t="s">
        <v>9</v>
      </c>
      <c r="I2161" t="s">
        <v>195</v>
      </c>
      <c r="J2161" t="s">
        <v>5435</v>
      </c>
    </row>
    <row r="2162" spans="1:10" x14ac:dyDescent="0.2">
      <c r="A2162" t="s">
        <v>5477</v>
      </c>
      <c r="E2162" t="str">
        <f>HYPERLINK("http://nlpdeep.cs.uic.edu:8080/proofing/t5/323140-assessment-and-plan-0-4.pdf","t5/323140-assessment-and-plan-0-4.pdf")</f>
        <v>t5/323140-assessment-and-plan-0-4.pdf</v>
      </c>
      <c r="F2162">
        <v>146230</v>
      </c>
      <c r="G2162">
        <v>323140</v>
      </c>
      <c r="H2162" t="s">
        <v>9</v>
      </c>
      <c r="I2162" t="s">
        <v>195</v>
      </c>
      <c r="J2162" t="s">
        <v>5437</v>
      </c>
    </row>
    <row r="2163" spans="1:10" x14ac:dyDescent="0.2">
      <c r="A2163" t="s">
        <v>5477</v>
      </c>
      <c r="E2163" t="str">
        <f>HYPERLINK("http://nlpdeep.cs.uic.edu:8080/proofing/gsii/323140-assessment-and-plan-0-4.pdf","gsii/323140-assessment-and-plan-0-4.pdf")</f>
        <v>gsii/323140-assessment-and-plan-0-4.pdf</v>
      </c>
      <c r="F2163">
        <v>146230</v>
      </c>
      <c r="G2163">
        <v>323140</v>
      </c>
      <c r="H2163" t="s">
        <v>9</v>
      </c>
      <c r="I2163" t="s">
        <v>195</v>
      </c>
      <c r="J2163" t="s">
        <v>5437</v>
      </c>
    </row>
    <row r="2164" spans="1:10" x14ac:dyDescent="0.2">
      <c r="A2164" t="s">
        <v>5478</v>
      </c>
      <c r="E2164" t="str">
        <f>HYPERLINK("http://nlpdeep.cs.uic.edu:8080/proofing/t5/323140-assessment-and-plan-0-5.pdf","t5/323140-assessment-and-plan-0-5.pdf")</f>
        <v>t5/323140-assessment-and-plan-0-5.pdf</v>
      </c>
      <c r="F2164">
        <v>146230</v>
      </c>
      <c r="G2164">
        <v>323140</v>
      </c>
      <c r="H2164" t="s">
        <v>9</v>
      </c>
      <c r="I2164" t="s">
        <v>195</v>
      </c>
      <c r="J2164" t="s">
        <v>5439</v>
      </c>
    </row>
    <row r="2165" spans="1:10" x14ac:dyDescent="0.2">
      <c r="A2165" t="s">
        <v>5478</v>
      </c>
      <c r="E2165" t="str">
        <f>HYPERLINK("http://nlpdeep.cs.uic.edu:8080/proofing/gsii/323140-assessment-and-plan-0-5.pdf","gsii/323140-assessment-and-plan-0-5.pdf")</f>
        <v>gsii/323140-assessment-and-plan-0-5.pdf</v>
      </c>
      <c r="F2165">
        <v>146230</v>
      </c>
      <c r="G2165">
        <v>323140</v>
      </c>
      <c r="H2165" t="s">
        <v>9</v>
      </c>
      <c r="I2165" t="s">
        <v>195</v>
      </c>
      <c r="J2165" t="s">
        <v>5439</v>
      </c>
    </row>
    <row r="2166" spans="1:10" x14ac:dyDescent="0.2">
      <c r="A2166" t="s">
        <v>5479</v>
      </c>
      <c r="E2166" t="str">
        <f>HYPERLINK("http://nlpdeep.cs.uic.edu:8080/proofing/t5/323140-assessment-and-plan-0-6.pdf","t5/323140-assessment-and-plan-0-6.pdf")</f>
        <v>t5/323140-assessment-and-plan-0-6.pdf</v>
      </c>
      <c r="F2166">
        <v>146230</v>
      </c>
      <c r="G2166">
        <v>323140</v>
      </c>
      <c r="H2166" t="s">
        <v>9</v>
      </c>
      <c r="I2166" t="s">
        <v>195</v>
      </c>
      <c r="J2166" t="s">
        <v>5441</v>
      </c>
    </row>
    <row r="2167" spans="1:10" x14ac:dyDescent="0.2">
      <c r="A2167" t="s">
        <v>5479</v>
      </c>
      <c r="E2167" t="str">
        <f>HYPERLINK("http://nlpdeep.cs.uic.edu:8080/proofing/gsii/323140-assessment-and-plan-0-6.pdf","gsii/323140-assessment-and-plan-0-6.pdf")</f>
        <v>gsii/323140-assessment-and-plan-0-6.pdf</v>
      </c>
      <c r="F2167">
        <v>146230</v>
      </c>
      <c r="G2167">
        <v>323140</v>
      </c>
      <c r="H2167" t="s">
        <v>9</v>
      </c>
      <c r="I2167" t="s">
        <v>195</v>
      </c>
      <c r="J2167" t="s">
        <v>5441</v>
      </c>
    </row>
    <row r="2168" spans="1:10" x14ac:dyDescent="0.2">
      <c r="A2168" t="s">
        <v>5480</v>
      </c>
      <c r="E2168" t="str">
        <f>HYPERLINK("http://nlpdeep.cs.uic.edu:8080/proofing/t5/323140-assessment-and-plan-0-7.pdf","t5/323140-assessment-and-plan-0-7.pdf")</f>
        <v>t5/323140-assessment-and-plan-0-7.pdf</v>
      </c>
      <c r="F2168">
        <v>146230</v>
      </c>
      <c r="G2168">
        <v>323140</v>
      </c>
      <c r="H2168" t="s">
        <v>9</v>
      </c>
      <c r="I2168" t="s">
        <v>195</v>
      </c>
      <c r="J2168" t="s">
        <v>5443</v>
      </c>
    </row>
    <row r="2169" spans="1:10" x14ac:dyDescent="0.2">
      <c r="A2169" t="s">
        <v>5480</v>
      </c>
      <c r="E2169" t="str">
        <f>HYPERLINK("http://nlpdeep.cs.uic.edu:8080/proofing/gsii/323140-assessment-and-plan-0-7.pdf","gsii/323140-assessment-and-plan-0-7.pdf")</f>
        <v>gsii/323140-assessment-and-plan-0-7.pdf</v>
      </c>
      <c r="F2169">
        <v>146230</v>
      </c>
      <c r="G2169">
        <v>323140</v>
      </c>
      <c r="H2169" t="s">
        <v>9</v>
      </c>
      <c r="I2169" t="s">
        <v>195</v>
      </c>
      <c r="J2169" t="s">
        <v>5443</v>
      </c>
    </row>
    <row r="2170" spans="1:10" x14ac:dyDescent="0.2">
      <c r="A2170" t="s">
        <v>5481</v>
      </c>
      <c r="E2170" t="str">
        <f>HYPERLINK("http://nlpdeep.cs.uic.edu:8080/proofing/t5/323140-assessment-and-plan-0-8.pdf","t5/323140-assessment-and-plan-0-8.pdf")</f>
        <v>t5/323140-assessment-and-plan-0-8.pdf</v>
      </c>
      <c r="F2170">
        <v>146230</v>
      </c>
      <c r="G2170">
        <v>323140</v>
      </c>
      <c r="H2170" t="s">
        <v>9</v>
      </c>
      <c r="I2170" t="s">
        <v>195</v>
      </c>
      <c r="J2170" t="s">
        <v>5445</v>
      </c>
    </row>
    <row r="2171" spans="1:10" x14ac:dyDescent="0.2">
      <c r="A2171" t="s">
        <v>5481</v>
      </c>
      <c r="E2171" t="str">
        <f>HYPERLINK("http://nlpdeep.cs.uic.edu:8080/proofing/gsii/323140-assessment-and-plan-0-8.pdf","gsii/323140-assessment-and-plan-0-8.pdf")</f>
        <v>gsii/323140-assessment-and-plan-0-8.pdf</v>
      </c>
      <c r="F2171">
        <v>146230</v>
      </c>
      <c r="G2171">
        <v>323140</v>
      </c>
      <c r="H2171" t="s">
        <v>9</v>
      </c>
      <c r="I2171" t="s">
        <v>195</v>
      </c>
      <c r="J2171" t="s">
        <v>5445</v>
      </c>
    </row>
    <row r="2172" spans="1:10" x14ac:dyDescent="0.2">
      <c r="A2172" t="s">
        <v>5482</v>
      </c>
      <c r="E2172" t="str">
        <f>HYPERLINK("http://nlpdeep.cs.uic.edu:8080/proofing/t5/323140-assessment-and-plan-0-9.pdf","t5/323140-assessment-and-plan-0-9.pdf")</f>
        <v>t5/323140-assessment-and-plan-0-9.pdf</v>
      </c>
      <c r="F2172">
        <v>146230</v>
      </c>
      <c r="G2172">
        <v>323140</v>
      </c>
      <c r="H2172" t="s">
        <v>9</v>
      </c>
      <c r="I2172" t="s">
        <v>195</v>
      </c>
      <c r="J2172" t="s">
        <v>5447</v>
      </c>
    </row>
    <row r="2173" spans="1:10" x14ac:dyDescent="0.2">
      <c r="A2173" t="s">
        <v>5482</v>
      </c>
      <c r="E2173" t="str">
        <f>HYPERLINK("http://nlpdeep.cs.uic.edu:8080/proofing/gsii/323140-assessment-and-plan-0-9.pdf","gsii/323140-assessment-and-plan-0-9.pdf")</f>
        <v>gsii/323140-assessment-and-plan-0-9.pdf</v>
      </c>
      <c r="F2173">
        <v>146230</v>
      </c>
      <c r="G2173">
        <v>323140</v>
      </c>
      <c r="H2173" t="s">
        <v>9</v>
      </c>
      <c r="I2173" t="s">
        <v>195</v>
      </c>
      <c r="J2173" t="s">
        <v>5447</v>
      </c>
    </row>
    <row r="2174" spans="1:10" x14ac:dyDescent="0.2">
      <c r="A2174" t="s">
        <v>5483</v>
      </c>
      <c r="E2174" t="str">
        <f>HYPERLINK("http://nlpdeep.cs.uic.edu:8080/proofing/t5/323140-assessment-and-plan-0-10.pdf","t5/323140-assessment-and-plan-0-10.pdf")</f>
        <v>t5/323140-assessment-and-plan-0-10.pdf</v>
      </c>
      <c r="F2174">
        <v>146230</v>
      </c>
      <c r="G2174">
        <v>323140</v>
      </c>
      <c r="H2174" t="s">
        <v>9</v>
      </c>
      <c r="I2174" t="s">
        <v>195</v>
      </c>
      <c r="J2174" t="s">
        <v>5449</v>
      </c>
    </row>
    <row r="2175" spans="1:10" x14ac:dyDescent="0.2">
      <c r="A2175" t="s">
        <v>5483</v>
      </c>
      <c r="E2175" t="str">
        <f>HYPERLINK("http://nlpdeep.cs.uic.edu:8080/proofing/gsii/323140-assessment-and-plan-0-10.pdf","gsii/323140-assessment-and-plan-0-10.pdf")</f>
        <v>gsii/323140-assessment-and-plan-0-10.pdf</v>
      </c>
      <c r="F2175">
        <v>146230</v>
      </c>
      <c r="G2175">
        <v>323140</v>
      </c>
      <c r="H2175" t="s">
        <v>9</v>
      </c>
      <c r="I2175" t="s">
        <v>195</v>
      </c>
      <c r="J2175" t="s">
        <v>5449</v>
      </c>
    </row>
    <row r="2176" spans="1:10" x14ac:dyDescent="0.2">
      <c r="A2176" t="s">
        <v>5484</v>
      </c>
      <c r="E2176" t="str">
        <f>HYPERLINK("http://nlpdeep.cs.uic.edu:8080/proofing/t5/323140-assessment-and-plan-0-11.pdf","t5/323140-assessment-and-plan-0-11.pdf")</f>
        <v>t5/323140-assessment-and-plan-0-11.pdf</v>
      </c>
      <c r="F2176">
        <v>146230</v>
      </c>
      <c r="G2176">
        <v>323140</v>
      </c>
      <c r="H2176" t="s">
        <v>9</v>
      </c>
      <c r="I2176" t="s">
        <v>195</v>
      </c>
      <c r="J2176" t="s">
        <v>5379</v>
      </c>
    </row>
    <row r="2177" spans="1:10" x14ac:dyDescent="0.2">
      <c r="A2177" t="s">
        <v>5484</v>
      </c>
      <c r="E2177" t="str">
        <f>HYPERLINK("http://nlpdeep.cs.uic.edu:8080/proofing/gsii/323140-assessment-and-plan-0-11.pdf","gsii/323140-assessment-and-plan-0-11.pdf")</f>
        <v>gsii/323140-assessment-and-plan-0-11.pdf</v>
      </c>
      <c r="F2177">
        <v>146230</v>
      </c>
      <c r="G2177">
        <v>323140</v>
      </c>
      <c r="H2177" t="s">
        <v>9</v>
      </c>
      <c r="I2177" t="s">
        <v>195</v>
      </c>
      <c r="J2177" t="s">
        <v>5379</v>
      </c>
    </row>
    <row r="2178" spans="1:10" x14ac:dyDescent="0.2">
      <c r="A2178" t="s">
        <v>5485</v>
      </c>
      <c r="E2178" t="str">
        <f>HYPERLINK("http://nlpdeep.cs.uic.edu:8080/proofing/t5/323140-assessment-and-plan-0-12.pdf","t5/323140-assessment-and-plan-0-12.pdf")</f>
        <v>t5/323140-assessment-and-plan-0-12.pdf</v>
      </c>
      <c r="F2178">
        <v>146230</v>
      </c>
      <c r="G2178">
        <v>323140</v>
      </c>
      <c r="H2178" t="s">
        <v>9</v>
      </c>
      <c r="I2178" t="s">
        <v>195</v>
      </c>
      <c r="J2178" t="s">
        <v>5381</v>
      </c>
    </row>
    <row r="2179" spans="1:10" x14ac:dyDescent="0.2">
      <c r="A2179" t="s">
        <v>5485</v>
      </c>
      <c r="E2179" t="str">
        <f>HYPERLINK("http://nlpdeep.cs.uic.edu:8080/proofing/gsii/323140-assessment-and-plan-0-12.pdf","gsii/323140-assessment-and-plan-0-12.pdf")</f>
        <v>gsii/323140-assessment-and-plan-0-12.pdf</v>
      </c>
      <c r="F2179">
        <v>146230</v>
      </c>
      <c r="G2179">
        <v>323140</v>
      </c>
      <c r="H2179" t="s">
        <v>9</v>
      </c>
      <c r="I2179" t="s">
        <v>195</v>
      </c>
      <c r="J2179" t="s">
        <v>5381</v>
      </c>
    </row>
    <row r="2180" spans="1:10" x14ac:dyDescent="0.2">
      <c r="A2180" t="s">
        <v>5486</v>
      </c>
      <c r="E2180" t="str">
        <f>HYPERLINK("http://nlpdeep.cs.uic.edu:8080/proofing/t5/323140-assessment-and-plan-0-13.pdf","t5/323140-assessment-and-plan-0-13.pdf")</f>
        <v>t5/323140-assessment-and-plan-0-13.pdf</v>
      </c>
      <c r="F2180">
        <v>146230</v>
      </c>
      <c r="G2180">
        <v>323140</v>
      </c>
      <c r="H2180" t="s">
        <v>9</v>
      </c>
      <c r="I2180" t="s">
        <v>195</v>
      </c>
      <c r="J2180" t="s">
        <v>5453</v>
      </c>
    </row>
    <row r="2181" spans="1:10" x14ac:dyDescent="0.2">
      <c r="A2181" t="s">
        <v>5486</v>
      </c>
      <c r="E2181" t="str">
        <f>HYPERLINK("http://nlpdeep.cs.uic.edu:8080/proofing/gsii/323140-assessment-and-plan-0-13.pdf","gsii/323140-assessment-and-plan-0-13.pdf")</f>
        <v>gsii/323140-assessment-and-plan-0-13.pdf</v>
      </c>
      <c r="F2181">
        <v>146230</v>
      </c>
      <c r="G2181">
        <v>323140</v>
      </c>
      <c r="H2181" t="s">
        <v>9</v>
      </c>
      <c r="I2181" t="s">
        <v>195</v>
      </c>
      <c r="J2181" t="s">
        <v>5453</v>
      </c>
    </row>
    <row r="2182" spans="1:10" x14ac:dyDescent="0.2">
      <c r="A2182" t="s">
        <v>5487</v>
      </c>
      <c r="E2182" t="str">
        <f>HYPERLINK("http://nlpdeep.cs.uic.edu:8080/proofing/t5/323140-assessment-and-plan-0-14.pdf","t5/323140-assessment-and-plan-0-14.pdf")</f>
        <v>t5/323140-assessment-and-plan-0-14.pdf</v>
      </c>
      <c r="F2182">
        <v>146230</v>
      </c>
      <c r="G2182">
        <v>323140</v>
      </c>
      <c r="H2182" t="s">
        <v>9</v>
      </c>
      <c r="I2182" t="s">
        <v>195</v>
      </c>
      <c r="J2182" t="s">
        <v>5385</v>
      </c>
    </row>
    <row r="2183" spans="1:10" x14ac:dyDescent="0.2">
      <c r="A2183" t="s">
        <v>5487</v>
      </c>
      <c r="E2183" t="str">
        <f>HYPERLINK("http://nlpdeep.cs.uic.edu:8080/proofing/gsii/323140-assessment-and-plan-0-14.pdf","gsii/323140-assessment-and-plan-0-14.pdf")</f>
        <v>gsii/323140-assessment-and-plan-0-14.pdf</v>
      </c>
      <c r="F2183">
        <v>146230</v>
      </c>
      <c r="G2183">
        <v>323140</v>
      </c>
      <c r="H2183" t="s">
        <v>9</v>
      </c>
      <c r="I2183" t="s">
        <v>195</v>
      </c>
      <c r="J2183" t="s">
        <v>5385</v>
      </c>
    </row>
    <row r="2184" spans="1:10" x14ac:dyDescent="0.2">
      <c r="A2184" t="s">
        <v>5488</v>
      </c>
      <c r="E2184" t="str">
        <f>HYPERLINK("http://nlpdeep.cs.uic.edu:8080/proofing/t5/323140-communication-0-0.pdf","t5/323140-communication-0-0.pdf")</f>
        <v>t5/323140-communication-0-0.pdf</v>
      </c>
      <c r="F2184">
        <v>146230</v>
      </c>
      <c r="G2184">
        <v>323140</v>
      </c>
      <c r="H2184" t="s">
        <v>9</v>
      </c>
      <c r="I2184" t="s">
        <v>198</v>
      </c>
      <c r="J2184" t="s">
        <v>534</v>
      </c>
    </row>
    <row r="2185" spans="1:10" x14ac:dyDescent="0.2">
      <c r="A2185" t="s">
        <v>5488</v>
      </c>
      <c r="E2185" t="str">
        <f>HYPERLINK("http://nlpdeep.cs.uic.edu:8080/proofing/gsii/323140-communication-0-0.pdf","gsii/323140-communication-0-0.pdf")</f>
        <v>gsii/323140-communication-0-0.pdf</v>
      </c>
      <c r="F2185">
        <v>146230</v>
      </c>
      <c r="G2185">
        <v>323140</v>
      </c>
      <c r="H2185" t="s">
        <v>9</v>
      </c>
      <c r="I2185" t="s">
        <v>198</v>
      </c>
      <c r="J2185" t="s">
        <v>534</v>
      </c>
    </row>
    <row r="2186" spans="1:10" x14ac:dyDescent="0.2">
      <c r="A2186" t="s">
        <v>5489</v>
      </c>
      <c r="E2186" t="str">
        <f>HYPERLINK("http://nlpdeep.cs.uic.edu:8080/proofing/t5/323140-code-status-0-0.pdf","t5/323140-code-status-0-0.pdf")</f>
        <v>t5/323140-code-status-0-0.pdf</v>
      </c>
      <c r="F2186">
        <v>146230</v>
      </c>
      <c r="G2186">
        <v>323140</v>
      </c>
      <c r="H2186" t="s">
        <v>9</v>
      </c>
      <c r="I2186" t="s">
        <v>201</v>
      </c>
      <c r="J2186" t="s">
        <v>536</v>
      </c>
    </row>
    <row r="2187" spans="1:10" x14ac:dyDescent="0.2">
      <c r="A2187" t="s">
        <v>5489</v>
      </c>
      <c r="E2187" t="str">
        <f>HYPERLINK("http://nlpdeep.cs.uic.edu:8080/proofing/gsii/323140-code-status-0-0.pdf","gsii/323140-code-status-0-0.pdf")</f>
        <v>gsii/323140-code-status-0-0.pdf</v>
      </c>
      <c r="F2187">
        <v>146230</v>
      </c>
      <c r="G2187">
        <v>323140</v>
      </c>
      <c r="H2187" t="s">
        <v>9</v>
      </c>
      <c r="I2187" t="s">
        <v>201</v>
      </c>
      <c r="J2187" t="s">
        <v>536</v>
      </c>
    </row>
    <row r="2188" spans="1:10" x14ac:dyDescent="0.2">
      <c r="A2188" t="s">
        <v>5490</v>
      </c>
      <c r="E2188" t="str">
        <f>HYPERLINK("http://nlpdeep.cs.uic.edu:8080/proofing/t5/323140-disposition-0-0.pdf","t5/323140-disposition-0-0.pdf")</f>
        <v>t5/323140-disposition-0-0.pdf</v>
      </c>
      <c r="F2188">
        <v>146230</v>
      </c>
      <c r="G2188">
        <v>323140</v>
      </c>
      <c r="H2188" t="s">
        <v>9</v>
      </c>
      <c r="I2188" t="s">
        <v>204</v>
      </c>
      <c r="J2188" t="s">
        <v>5458</v>
      </c>
    </row>
    <row r="2189" spans="1:10" x14ac:dyDescent="0.2">
      <c r="A2189" t="s">
        <v>5490</v>
      </c>
      <c r="E2189" t="str">
        <f>HYPERLINK("http://nlpdeep.cs.uic.edu:8080/proofing/gsii/323140-disposition-0-0.pdf","gsii/323140-disposition-0-0.pdf")</f>
        <v>gsii/323140-disposition-0-0.pdf</v>
      </c>
      <c r="F2189">
        <v>146230</v>
      </c>
      <c r="G2189">
        <v>323140</v>
      </c>
      <c r="H2189" t="s">
        <v>9</v>
      </c>
      <c r="I2189" t="s">
        <v>204</v>
      </c>
      <c r="J2189" t="s">
        <v>5458</v>
      </c>
    </row>
    <row r="2190" spans="1:10" x14ac:dyDescent="0.2">
      <c r="A2190" t="s">
        <v>5491</v>
      </c>
      <c r="E2190" t="str">
        <f>HYPERLINK("http://nlpdeep.cs.uic.edu:8080/proofing/t5/22966-allergies-0-0.pdf","t5/22966-allergies-0-0.pdf")</f>
        <v>t5/22966-allergies-0-0.pdf</v>
      </c>
      <c r="F2190">
        <v>146230</v>
      </c>
      <c r="G2190">
        <v>22966</v>
      </c>
      <c r="H2190" t="s">
        <v>745</v>
      </c>
      <c r="I2190" t="s">
        <v>64</v>
      </c>
      <c r="J2190" t="s">
        <v>5492</v>
      </c>
    </row>
    <row r="2191" spans="1:10" x14ac:dyDescent="0.2">
      <c r="A2191" t="s">
        <v>5491</v>
      </c>
      <c r="E2191" t="str">
        <f>HYPERLINK("http://nlpdeep.cs.uic.edu:8080/proofing/gsii/22966-allergies-0-0.pdf","gsii/22966-allergies-0-0.pdf")</f>
        <v>gsii/22966-allergies-0-0.pdf</v>
      </c>
      <c r="F2191">
        <v>146230</v>
      </c>
      <c r="G2191">
        <v>22966</v>
      </c>
      <c r="H2191" t="s">
        <v>745</v>
      </c>
      <c r="I2191" t="s">
        <v>64</v>
      </c>
      <c r="J2191" t="s">
        <v>5492</v>
      </c>
    </row>
    <row r="2192" spans="1:10" x14ac:dyDescent="0.2">
      <c r="A2192" t="s">
        <v>5493</v>
      </c>
      <c r="E2192" t="str">
        <f>HYPERLINK("http://nlpdeep.cs.uic.edu:8080/proofing/t5/22966-chief-complaint-0-0.pdf","t5/22966-chief-complaint-0-0.pdf")</f>
        <v>t5/22966-chief-complaint-0-0.pdf</v>
      </c>
      <c r="F2192">
        <v>146230</v>
      </c>
      <c r="G2192">
        <v>22966</v>
      </c>
      <c r="H2192" t="s">
        <v>745</v>
      </c>
      <c r="I2192" t="s">
        <v>10</v>
      </c>
      <c r="J2192" t="s">
        <v>5494</v>
      </c>
    </row>
    <row r="2193" spans="1:10" x14ac:dyDescent="0.2">
      <c r="A2193" t="s">
        <v>5493</v>
      </c>
      <c r="E2193" t="str">
        <f>HYPERLINK("http://nlpdeep.cs.uic.edu:8080/proofing/gsii/22966-chief-complaint-0-0.pdf","gsii/22966-chief-complaint-0-0.pdf")</f>
        <v>gsii/22966-chief-complaint-0-0.pdf</v>
      </c>
      <c r="F2193">
        <v>146230</v>
      </c>
      <c r="G2193">
        <v>22966</v>
      </c>
      <c r="H2193" t="s">
        <v>745</v>
      </c>
      <c r="I2193" t="s">
        <v>10</v>
      </c>
      <c r="J2193" t="s">
        <v>5494</v>
      </c>
    </row>
    <row r="2194" spans="1:10" x14ac:dyDescent="0.2">
      <c r="A2194" t="s">
        <v>5495</v>
      </c>
      <c r="E2194" t="str">
        <f>HYPERLINK("http://nlpdeep.cs.uic.edu:8080/proofing/t5/22966-major-surgical-or-invasive-procedure-0-0.pdf","t5/22966-major-surgical-or-invasive-procedure-0-0.pdf")</f>
        <v>t5/22966-major-surgical-or-invasive-procedure-0-0.pdf</v>
      </c>
      <c r="F2194">
        <v>146230</v>
      </c>
      <c r="G2194">
        <v>22966</v>
      </c>
      <c r="H2194" t="s">
        <v>745</v>
      </c>
      <c r="I2194" t="s">
        <v>750</v>
      </c>
      <c r="J2194" t="s">
        <v>5496</v>
      </c>
    </row>
    <row r="2195" spans="1:10" x14ac:dyDescent="0.2">
      <c r="A2195" t="s">
        <v>5495</v>
      </c>
      <c r="E2195" t="str">
        <f>HYPERLINK("http://nlpdeep.cs.uic.edu:8080/proofing/gsii/22966-major-surgical-or-invasive-procedure-0-0.pdf","gsii/22966-major-surgical-or-invasive-procedure-0-0.pdf")</f>
        <v>gsii/22966-major-surgical-or-invasive-procedure-0-0.pdf</v>
      </c>
      <c r="F2195">
        <v>146230</v>
      </c>
      <c r="G2195">
        <v>22966</v>
      </c>
      <c r="H2195" t="s">
        <v>745</v>
      </c>
      <c r="I2195" t="s">
        <v>750</v>
      </c>
      <c r="J2195" t="s">
        <v>5496</v>
      </c>
    </row>
    <row r="2196" spans="1:10" x14ac:dyDescent="0.2">
      <c r="A2196" t="s">
        <v>5497</v>
      </c>
      <c r="E2196" t="str">
        <f>HYPERLINK("http://nlpdeep.cs.uic.edu:8080/proofing/t5/22966-history-of-present-illness-0-0.pdf","t5/22966-history-of-present-illness-0-0.pdf")</f>
        <v>t5/22966-history-of-present-illness-0-0.pdf</v>
      </c>
      <c r="F2196">
        <v>146230</v>
      </c>
      <c r="G2196">
        <v>22966</v>
      </c>
      <c r="H2196" t="s">
        <v>745</v>
      </c>
      <c r="I2196" t="s">
        <v>13</v>
      </c>
      <c r="J2196" t="s">
        <v>5498</v>
      </c>
    </row>
    <row r="2197" spans="1:10" x14ac:dyDescent="0.2">
      <c r="A2197" t="s">
        <v>5497</v>
      </c>
      <c r="E2197" t="str">
        <f>HYPERLINK("http://nlpdeep.cs.uic.edu:8080/proofing/gsii/22966-history-of-present-illness-0-0.pdf","gsii/22966-history-of-present-illness-0-0.pdf")</f>
        <v>gsii/22966-history-of-present-illness-0-0.pdf</v>
      </c>
      <c r="F2197">
        <v>146230</v>
      </c>
      <c r="G2197">
        <v>22966</v>
      </c>
      <c r="H2197" t="s">
        <v>745</v>
      </c>
      <c r="I2197" t="s">
        <v>13</v>
      </c>
      <c r="J2197" t="s">
        <v>5498</v>
      </c>
    </row>
    <row r="2198" spans="1:10" x14ac:dyDescent="0.2">
      <c r="A2198" t="s">
        <v>5499</v>
      </c>
      <c r="E2198" t="str">
        <f>HYPERLINK("http://nlpdeep.cs.uic.edu:8080/proofing/t5/22966-history-of-present-illness-0-1.pdf","t5/22966-history-of-present-illness-0-1.pdf")</f>
        <v>t5/22966-history-of-present-illness-0-1.pdf</v>
      </c>
      <c r="F2198">
        <v>146230</v>
      </c>
      <c r="G2198">
        <v>22966</v>
      </c>
      <c r="H2198" t="s">
        <v>745</v>
      </c>
      <c r="I2198" t="s">
        <v>13</v>
      </c>
      <c r="J2198" t="s">
        <v>5500</v>
      </c>
    </row>
    <row r="2199" spans="1:10" x14ac:dyDescent="0.2">
      <c r="A2199" t="s">
        <v>5499</v>
      </c>
      <c r="E2199" t="str">
        <f>HYPERLINK("http://nlpdeep.cs.uic.edu:8080/proofing/gsii/22966-history-of-present-illness-0-1.pdf","gsii/22966-history-of-present-illness-0-1.pdf")</f>
        <v>gsii/22966-history-of-present-illness-0-1.pdf</v>
      </c>
      <c r="F2199">
        <v>146230</v>
      </c>
      <c r="G2199">
        <v>22966</v>
      </c>
      <c r="H2199" t="s">
        <v>745</v>
      </c>
      <c r="I2199" t="s">
        <v>13</v>
      </c>
      <c r="J2199" t="s">
        <v>5500</v>
      </c>
    </row>
    <row r="2200" spans="1:10" x14ac:dyDescent="0.2">
      <c r="A2200" t="s">
        <v>5501</v>
      </c>
      <c r="E2200" t="str">
        <f>HYPERLINK("http://nlpdeep.cs.uic.edu:8080/proofing/t5/22966-history-of-present-illness-0-2.pdf","t5/22966-history-of-present-illness-0-2.pdf")</f>
        <v>t5/22966-history-of-present-illness-0-2.pdf</v>
      </c>
      <c r="F2200">
        <v>146230</v>
      </c>
      <c r="G2200">
        <v>22966</v>
      </c>
      <c r="H2200" t="s">
        <v>745</v>
      </c>
      <c r="I2200" t="s">
        <v>13</v>
      </c>
      <c r="J2200" t="s">
        <v>5502</v>
      </c>
    </row>
    <row r="2201" spans="1:10" x14ac:dyDescent="0.2">
      <c r="A2201" t="s">
        <v>5501</v>
      </c>
      <c r="E2201" t="str">
        <f>HYPERLINK("http://nlpdeep.cs.uic.edu:8080/proofing/gsii/22966-history-of-present-illness-0-2.pdf","gsii/22966-history-of-present-illness-0-2.pdf")</f>
        <v>gsii/22966-history-of-present-illness-0-2.pdf</v>
      </c>
      <c r="F2201">
        <v>146230</v>
      </c>
      <c r="G2201">
        <v>22966</v>
      </c>
      <c r="H2201" t="s">
        <v>745</v>
      </c>
      <c r="I2201" t="s">
        <v>13</v>
      </c>
      <c r="J2201" t="s">
        <v>5502</v>
      </c>
    </row>
    <row r="2202" spans="1:10" x14ac:dyDescent="0.2">
      <c r="A2202" t="s">
        <v>5503</v>
      </c>
      <c r="E2202" t="str">
        <f>HYPERLINK("http://nlpdeep.cs.uic.edu:8080/proofing/t5/22966-past-medical-history-0-0.pdf","t5/22966-past-medical-history-0-0.pdf")</f>
        <v>t5/22966-past-medical-history-0-0.pdf</v>
      </c>
      <c r="F2202">
        <v>146230</v>
      </c>
      <c r="G2202">
        <v>22966</v>
      </c>
      <c r="H2202" t="s">
        <v>745</v>
      </c>
      <c r="I2202" t="s">
        <v>76</v>
      </c>
      <c r="J2202" t="s">
        <v>5504</v>
      </c>
    </row>
    <row r="2203" spans="1:10" x14ac:dyDescent="0.2">
      <c r="A2203" t="s">
        <v>5503</v>
      </c>
      <c r="E2203" t="str">
        <f>HYPERLINK("http://nlpdeep.cs.uic.edu:8080/proofing/gsii/22966-past-medical-history-0-0.pdf","gsii/22966-past-medical-history-0-0.pdf")</f>
        <v>gsii/22966-past-medical-history-0-0.pdf</v>
      </c>
      <c r="F2203">
        <v>146230</v>
      </c>
      <c r="G2203">
        <v>22966</v>
      </c>
      <c r="H2203" t="s">
        <v>745</v>
      </c>
      <c r="I2203" t="s">
        <v>76</v>
      </c>
      <c r="J2203" t="s">
        <v>5504</v>
      </c>
    </row>
    <row r="2204" spans="1:10" x14ac:dyDescent="0.2">
      <c r="A2204" t="s">
        <v>5505</v>
      </c>
      <c r="E2204" t="str">
        <f>HYPERLINK("http://nlpdeep.cs.uic.edu:8080/proofing/t5/22966-social-history-0-0.pdf","t5/22966-social-history-0-0.pdf")</f>
        <v>t5/22966-social-history-0-0.pdf</v>
      </c>
      <c r="F2204">
        <v>146230</v>
      </c>
      <c r="G2204">
        <v>22966</v>
      </c>
      <c r="H2204" t="s">
        <v>745</v>
      </c>
      <c r="I2204" t="s">
        <v>118</v>
      </c>
      <c r="J2204" t="s">
        <v>5506</v>
      </c>
    </row>
    <row r="2205" spans="1:10" x14ac:dyDescent="0.2">
      <c r="A2205" t="s">
        <v>5505</v>
      </c>
      <c r="E2205" t="str">
        <f>HYPERLINK("http://nlpdeep.cs.uic.edu:8080/proofing/gsii/22966-social-history-0-0.pdf","gsii/22966-social-history-0-0.pdf")</f>
        <v>gsii/22966-social-history-0-0.pdf</v>
      </c>
      <c r="F2205">
        <v>146230</v>
      </c>
      <c r="G2205">
        <v>22966</v>
      </c>
      <c r="H2205" t="s">
        <v>745</v>
      </c>
      <c r="I2205" t="s">
        <v>118</v>
      </c>
      <c r="J2205" t="s">
        <v>5506</v>
      </c>
    </row>
    <row r="2206" spans="1:10" x14ac:dyDescent="0.2">
      <c r="A2206" t="s">
        <v>5507</v>
      </c>
      <c r="E2206" t="str">
        <f>HYPERLINK("http://nlpdeep.cs.uic.edu:8080/proofing/t5/22966-family-history-0-0.pdf","t5/22966-family-history-0-0.pdf")</f>
        <v>t5/22966-family-history-0-0.pdf</v>
      </c>
      <c r="F2206">
        <v>146230</v>
      </c>
      <c r="G2206">
        <v>22966</v>
      </c>
      <c r="H2206" t="s">
        <v>745</v>
      </c>
      <c r="I2206" t="s">
        <v>107</v>
      </c>
      <c r="J2206" t="s">
        <v>523</v>
      </c>
    </row>
    <row r="2207" spans="1:10" x14ac:dyDescent="0.2">
      <c r="A2207" t="s">
        <v>5507</v>
      </c>
      <c r="E2207" t="str">
        <f>HYPERLINK("http://nlpdeep.cs.uic.edu:8080/proofing/gsii/22966-family-history-0-0.pdf","gsii/22966-family-history-0-0.pdf")</f>
        <v>gsii/22966-family-history-0-0.pdf</v>
      </c>
      <c r="F2207">
        <v>146230</v>
      </c>
      <c r="G2207">
        <v>22966</v>
      </c>
      <c r="H2207" t="s">
        <v>745</v>
      </c>
      <c r="I2207" t="s">
        <v>107</v>
      </c>
      <c r="J2207" t="s">
        <v>523</v>
      </c>
    </row>
    <row r="2208" spans="1:10" x14ac:dyDescent="0.2">
      <c r="A2208" t="s">
        <v>5508</v>
      </c>
      <c r="E2208" t="str">
        <f>HYPERLINK("http://nlpdeep.cs.uic.edu:8080/proofing/t5/22966-physical-examination-0-0.pdf","t5/22966-physical-examination-0-0.pdf")</f>
        <v>t5/22966-physical-examination-0-0.pdf</v>
      </c>
      <c r="F2208">
        <v>146230</v>
      </c>
      <c r="G2208">
        <v>22966</v>
      </c>
      <c r="H2208" t="s">
        <v>745</v>
      </c>
      <c r="I2208" t="s">
        <v>138</v>
      </c>
      <c r="J2208" t="s">
        <v>5509</v>
      </c>
    </row>
    <row r="2209" spans="1:10" x14ac:dyDescent="0.2">
      <c r="A2209" t="s">
        <v>5508</v>
      </c>
      <c r="E2209" t="str">
        <f>HYPERLINK("http://nlpdeep.cs.uic.edu:8080/proofing/gsii/22966-physical-examination-0-0.pdf","gsii/22966-physical-examination-0-0.pdf")</f>
        <v>gsii/22966-physical-examination-0-0.pdf</v>
      </c>
      <c r="F2209">
        <v>146230</v>
      </c>
      <c r="G2209">
        <v>22966</v>
      </c>
      <c r="H2209" t="s">
        <v>745</v>
      </c>
      <c r="I2209" t="s">
        <v>138</v>
      </c>
      <c r="J2209" t="s">
        <v>5509</v>
      </c>
    </row>
    <row r="2210" spans="1:10" x14ac:dyDescent="0.2">
      <c r="A2210" t="s">
        <v>5510</v>
      </c>
      <c r="E2210" t="str">
        <f>HYPERLINK("http://nlpdeep.cs.uic.edu:8080/proofing/t5/22966-labs-imaging-0-0.pdf","t5/22966-labs-imaging-0-0.pdf")</f>
        <v>t5/22966-labs-imaging-0-0.pdf</v>
      </c>
      <c r="F2210">
        <v>146230</v>
      </c>
      <c r="G2210">
        <v>22966</v>
      </c>
      <c r="H2210" t="s">
        <v>745</v>
      </c>
      <c r="I2210" t="s">
        <v>147</v>
      </c>
      <c r="J2210" t="s">
        <v>5511</v>
      </c>
    </row>
    <row r="2211" spans="1:10" x14ac:dyDescent="0.2">
      <c r="A2211" t="s">
        <v>5510</v>
      </c>
      <c r="E2211" t="str">
        <f>HYPERLINK("http://nlpdeep.cs.uic.edu:8080/proofing/gsii/22966-labs-imaging-0-0.pdf","gsii/22966-labs-imaging-0-0.pdf")</f>
        <v>gsii/22966-labs-imaging-0-0.pdf</v>
      </c>
      <c r="F2211">
        <v>146230</v>
      </c>
      <c r="G2211">
        <v>22966</v>
      </c>
      <c r="H2211" t="s">
        <v>745</v>
      </c>
      <c r="I2211" t="s">
        <v>147</v>
      </c>
      <c r="J2211" t="s">
        <v>5511</v>
      </c>
    </row>
    <row r="2212" spans="1:10" x14ac:dyDescent="0.2">
      <c r="A2212" t="s">
        <v>5512</v>
      </c>
      <c r="E2212" t="str">
        <f>HYPERLINK("http://nlpdeep.cs.uic.edu:8080/proofing/t5/22966-labs-imaging-0-1.pdf","t5/22966-labs-imaging-0-1.pdf")</f>
        <v>t5/22966-labs-imaging-0-1.pdf</v>
      </c>
      <c r="F2212">
        <v>146230</v>
      </c>
      <c r="G2212">
        <v>22966</v>
      </c>
      <c r="H2212" t="s">
        <v>745</v>
      </c>
      <c r="I2212" t="s">
        <v>147</v>
      </c>
      <c r="J2212" t="s">
        <v>5513</v>
      </c>
    </row>
    <row r="2213" spans="1:10" x14ac:dyDescent="0.2">
      <c r="A2213" t="s">
        <v>5512</v>
      </c>
      <c r="E2213" t="str">
        <f>HYPERLINK("http://nlpdeep.cs.uic.edu:8080/proofing/gsii/22966-labs-imaging-0-1.pdf","gsii/22966-labs-imaging-0-1.pdf")</f>
        <v>gsii/22966-labs-imaging-0-1.pdf</v>
      </c>
      <c r="F2213">
        <v>146230</v>
      </c>
      <c r="G2213">
        <v>22966</v>
      </c>
      <c r="H2213" t="s">
        <v>745</v>
      </c>
      <c r="I2213" t="s">
        <v>147</v>
      </c>
      <c r="J2213" t="s">
        <v>5513</v>
      </c>
    </row>
    <row r="2214" spans="1:10" x14ac:dyDescent="0.2">
      <c r="A2214" t="s">
        <v>5514</v>
      </c>
      <c r="E2214" t="str">
        <f>HYPERLINK("http://nlpdeep.cs.uic.edu:8080/proofing/t5/22966-hospital-course-0-0.pdf","t5/22966-hospital-course-0-0.pdf")</f>
        <v>t5/22966-hospital-course-0-0.pdf</v>
      </c>
      <c r="F2214">
        <v>146230</v>
      </c>
      <c r="G2214">
        <v>22966</v>
      </c>
      <c r="H2214" t="s">
        <v>745</v>
      </c>
      <c r="I2214" t="s">
        <v>999</v>
      </c>
      <c r="J2214" t="s">
        <v>5515</v>
      </c>
    </row>
    <row r="2215" spans="1:10" x14ac:dyDescent="0.2">
      <c r="A2215" t="s">
        <v>5514</v>
      </c>
      <c r="E2215" t="str">
        <f>HYPERLINK("http://nlpdeep.cs.uic.edu:8080/proofing/gsii/22966-hospital-course-0-0.pdf","gsii/22966-hospital-course-0-0.pdf")</f>
        <v>gsii/22966-hospital-course-0-0.pdf</v>
      </c>
      <c r="F2215">
        <v>146230</v>
      </c>
      <c r="G2215">
        <v>22966</v>
      </c>
      <c r="H2215" t="s">
        <v>745</v>
      </c>
      <c r="I2215" t="s">
        <v>999</v>
      </c>
      <c r="J2215" t="s">
        <v>5515</v>
      </c>
    </row>
    <row r="2216" spans="1:10" x14ac:dyDescent="0.2">
      <c r="A2216" t="s">
        <v>5516</v>
      </c>
      <c r="E2216" t="str">
        <f>HYPERLINK("http://nlpdeep.cs.uic.edu:8080/proofing/t5/22966-hospital-course-0-1.pdf","t5/22966-hospital-course-0-1.pdf")</f>
        <v>t5/22966-hospital-course-0-1.pdf</v>
      </c>
      <c r="F2216">
        <v>146230</v>
      </c>
      <c r="G2216">
        <v>22966</v>
      </c>
      <c r="H2216" t="s">
        <v>745</v>
      </c>
      <c r="I2216" t="s">
        <v>999</v>
      </c>
      <c r="J2216" t="s">
        <v>5517</v>
      </c>
    </row>
    <row r="2217" spans="1:10" x14ac:dyDescent="0.2">
      <c r="A2217" t="s">
        <v>5516</v>
      </c>
      <c r="E2217" t="str">
        <f>HYPERLINK("http://nlpdeep.cs.uic.edu:8080/proofing/gsii/22966-hospital-course-0-1.pdf","gsii/22966-hospital-course-0-1.pdf")</f>
        <v>gsii/22966-hospital-course-0-1.pdf</v>
      </c>
      <c r="F2217">
        <v>146230</v>
      </c>
      <c r="G2217">
        <v>22966</v>
      </c>
      <c r="H2217" t="s">
        <v>745</v>
      </c>
      <c r="I2217" t="s">
        <v>999</v>
      </c>
      <c r="J2217" t="s">
        <v>5517</v>
      </c>
    </row>
    <row r="2218" spans="1:10" x14ac:dyDescent="0.2">
      <c r="A2218" t="s">
        <v>5518</v>
      </c>
      <c r="E2218" t="str">
        <f>HYPERLINK("http://nlpdeep.cs.uic.edu:8080/proofing/t5/22966-hospital-course-0-2.pdf","t5/22966-hospital-course-0-2.pdf")</f>
        <v>t5/22966-hospital-course-0-2.pdf</v>
      </c>
      <c r="F2218">
        <v>146230</v>
      </c>
      <c r="G2218">
        <v>22966</v>
      </c>
      <c r="H2218" t="s">
        <v>745</v>
      </c>
      <c r="I2218" t="s">
        <v>999</v>
      </c>
      <c r="J2218" t="s">
        <v>5519</v>
      </c>
    </row>
    <row r="2219" spans="1:10" x14ac:dyDescent="0.2">
      <c r="A2219" t="s">
        <v>5518</v>
      </c>
      <c r="E2219" t="str">
        <f>HYPERLINK("http://nlpdeep.cs.uic.edu:8080/proofing/gsii/22966-hospital-course-0-2.pdf","gsii/22966-hospital-course-0-2.pdf")</f>
        <v>gsii/22966-hospital-course-0-2.pdf</v>
      </c>
      <c r="F2219">
        <v>146230</v>
      </c>
      <c r="G2219">
        <v>22966</v>
      </c>
      <c r="H2219" t="s">
        <v>745</v>
      </c>
      <c r="I2219" t="s">
        <v>999</v>
      </c>
      <c r="J2219" t="s">
        <v>5519</v>
      </c>
    </row>
    <row r="2220" spans="1:10" x14ac:dyDescent="0.2">
      <c r="A2220" t="s">
        <v>5520</v>
      </c>
      <c r="E2220" t="str">
        <f>HYPERLINK("http://nlpdeep.cs.uic.edu:8080/proofing/t5/22966-hospital-course-0-3.pdf","t5/22966-hospital-course-0-3.pdf")</f>
        <v>t5/22966-hospital-course-0-3.pdf</v>
      </c>
      <c r="F2220">
        <v>146230</v>
      </c>
      <c r="G2220">
        <v>22966</v>
      </c>
      <c r="H2220" t="s">
        <v>745</v>
      </c>
      <c r="I2220" t="s">
        <v>999</v>
      </c>
      <c r="J2220" t="s">
        <v>5521</v>
      </c>
    </row>
    <row r="2221" spans="1:10" x14ac:dyDescent="0.2">
      <c r="A2221" t="s">
        <v>5520</v>
      </c>
      <c r="E2221" t="str">
        <f>HYPERLINK("http://nlpdeep.cs.uic.edu:8080/proofing/gsii/22966-hospital-course-0-3.pdf","gsii/22966-hospital-course-0-3.pdf")</f>
        <v>gsii/22966-hospital-course-0-3.pdf</v>
      </c>
      <c r="F2221">
        <v>146230</v>
      </c>
      <c r="G2221">
        <v>22966</v>
      </c>
      <c r="H2221" t="s">
        <v>745</v>
      </c>
      <c r="I2221" t="s">
        <v>999</v>
      </c>
      <c r="J2221" t="s">
        <v>5521</v>
      </c>
    </row>
    <row r="2222" spans="1:10" x14ac:dyDescent="0.2">
      <c r="A2222" t="s">
        <v>5522</v>
      </c>
      <c r="E2222" t="str">
        <f>HYPERLINK("http://nlpdeep.cs.uic.edu:8080/proofing/t5/22966-hospital-course-0-4.pdf","t5/22966-hospital-course-0-4.pdf")</f>
        <v>t5/22966-hospital-course-0-4.pdf</v>
      </c>
      <c r="F2222">
        <v>146230</v>
      </c>
      <c r="G2222">
        <v>22966</v>
      </c>
      <c r="H2222" t="s">
        <v>745</v>
      </c>
      <c r="I2222" t="s">
        <v>999</v>
      </c>
      <c r="J2222" t="s">
        <v>5523</v>
      </c>
    </row>
    <row r="2223" spans="1:10" x14ac:dyDescent="0.2">
      <c r="A2223" t="s">
        <v>5522</v>
      </c>
      <c r="E2223" t="str">
        <f>HYPERLINK("http://nlpdeep.cs.uic.edu:8080/proofing/gsii/22966-hospital-course-0-4.pdf","gsii/22966-hospital-course-0-4.pdf")</f>
        <v>gsii/22966-hospital-course-0-4.pdf</v>
      </c>
      <c r="F2223">
        <v>146230</v>
      </c>
      <c r="G2223">
        <v>22966</v>
      </c>
      <c r="H2223" t="s">
        <v>745</v>
      </c>
      <c r="I2223" t="s">
        <v>999</v>
      </c>
      <c r="J2223" t="s">
        <v>5523</v>
      </c>
    </row>
    <row r="2224" spans="1:10" x14ac:dyDescent="0.2">
      <c r="A2224" t="s">
        <v>5524</v>
      </c>
      <c r="E2224" t="str">
        <f>HYPERLINK("http://nlpdeep.cs.uic.edu:8080/proofing/t5/22966-hospital-course-0-5.pdf","t5/22966-hospital-course-0-5.pdf")</f>
        <v>t5/22966-hospital-course-0-5.pdf</v>
      </c>
      <c r="F2224">
        <v>146230</v>
      </c>
      <c r="G2224">
        <v>22966</v>
      </c>
      <c r="H2224" t="s">
        <v>745</v>
      </c>
      <c r="I2224" t="s">
        <v>999</v>
      </c>
      <c r="J2224" t="s">
        <v>5525</v>
      </c>
    </row>
    <row r="2225" spans="1:10" x14ac:dyDescent="0.2">
      <c r="A2225" t="s">
        <v>5524</v>
      </c>
      <c r="E2225" t="str">
        <f>HYPERLINK("http://nlpdeep.cs.uic.edu:8080/proofing/gsii/22966-hospital-course-0-5.pdf","gsii/22966-hospital-course-0-5.pdf")</f>
        <v>gsii/22966-hospital-course-0-5.pdf</v>
      </c>
      <c r="F2225">
        <v>146230</v>
      </c>
      <c r="G2225">
        <v>22966</v>
      </c>
      <c r="H2225" t="s">
        <v>745</v>
      </c>
      <c r="I2225" t="s">
        <v>999</v>
      </c>
      <c r="J2225" t="s">
        <v>5525</v>
      </c>
    </row>
    <row r="2226" spans="1:10" x14ac:dyDescent="0.2">
      <c r="A2226" t="s">
        <v>5526</v>
      </c>
      <c r="E2226" t="str">
        <f>HYPERLINK("http://nlpdeep.cs.uic.edu:8080/proofing/t5/22966-hospital-course-0-6.pdf","t5/22966-hospital-course-0-6.pdf")</f>
        <v>t5/22966-hospital-course-0-6.pdf</v>
      </c>
      <c r="F2226">
        <v>146230</v>
      </c>
      <c r="G2226">
        <v>22966</v>
      </c>
      <c r="H2226" t="s">
        <v>745</v>
      </c>
      <c r="I2226" t="s">
        <v>999</v>
      </c>
      <c r="J2226" t="s">
        <v>5527</v>
      </c>
    </row>
    <row r="2227" spans="1:10" x14ac:dyDescent="0.2">
      <c r="A2227" t="s">
        <v>5526</v>
      </c>
      <c r="E2227" t="str">
        <f>HYPERLINK("http://nlpdeep.cs.uic.edu:8080/proofing/gsii/22966-hospital-course-0-6.pdf","gsii/22966-hospital-course-0-6.pdf")</f>
        <v>gsii/22966-hospital-course-0-6.pdf</v>
      </c>
      <c r="F2227">
        <v>146230</v>
      </c>
      <c r="G2227">
        <v>22966</v>
      </c>
      <c r="H2227" t="s">
        <v>745</v>
      </c>
      <c r="I2227" t="s">
        <v>999</v>
      </c>
      <c r="J2227" t="s">
        <v>5527</v>
      </c>
    </row>
    <row r="2228" spans="1:10" x14ac:dyDescent="0.2">
      <c r="A2228" t="s">
        <v>5528</v>
      </c>
      <c r="E2228" t="str">
        <f>HYPERLINK("http://nlpdeep.cs.uic.edu:8080/proofing/t5/22966-hospital-course-0-7.pdf","t5/22966-hospital-course-0-7.pdf")</f>
        <v>t5/22966-hospital-course-0-7.pdf</v>
      </c>
      <c r="F2228">
        <v>146230</v>
      </c>
      <c r="G2228">
        <v>22966</v>
      </c>
      <c r="H2228" t="s">
        <v>745</v>
      </c>
      <c r="I2228" t="s">
        <v>999</v>
      </c>
      <c r="J2228" t="s">
        <v>5529</v>
      </c>
    </row>
    <row r="2229" spans="1:10" x14ac:dyDescent="0.2">
      <c r="A2229" t="s">
        <v>5528</v>
      </c>
      <c r="E2229" t="str">
        <f>HYPERLINK("http://nlpdeep.cs.uic.edu:8080/proofing/gsii/22966-hospital-course-0-7.pdf","gsii/22966-hospital-course-0-7.pdf")</f>
        <v>gsii/22966-hospital-course-0-7.pdf</v>
      </c>
      <c r="F2229">
        <v>146230</v>
      </c>
      <c r="G2229">
        <v>22966</v>
      </c>
      <c r="H2229" t="s">
        <v>745</v>
      </c>
      <c r="I2229" t="s">
        <v>999</v>
      </c>
      <c r="J2229" t="s">
        <v>5529</v>
      </c>
    </row>
    <row r="2230" spans="1:10" x14ac:dyDescent="0.2">
      <c r="A2230" t="s">
        <v>5530</v>
      </c>
      <c r="E2230" t="str">
        <f>HYPERLINK("http://nlpdeep.cs.uic.edu:8080/proofing/t5/22966-hospital-course-0-8.pdf","t5/22966-hospital-course-0-8.pdf")</f>
        <v>t5/22966-hospital-course-0-8.pdf</v>
      </c>
      <c r="F2230">
        <v>146230</v>
      </c>
      <c r="G2230">
        <v>22966</v>
      </c>
      <c r="H2230" t="s">
        <v>745</v>
      </c>
      <c r="I2230" t="s">
        <v>999</v>
      </c>
      <c r="J2230" t="s">
        <v>5531</v>
      </c>
    </row>
    <row r="2231" spans="1:10" x14ac:dyDescent="0.2">
      <c r="A2231" t="s">
        <v>5530</v>
      </c>
      <c r="E2231" t="str">
        <f>HYPERLINK("http://nlpdeep.cs.uic.edu:8080/proofing/gsii/22966-hospital-course-0-8.pdf","gsii/22966-hospital-course-0-8.pdf")</f>
        <v>gsii/22966-hospital-course-0-8.pdf</v>
      </c>
      <c r="F2231">
        <v>146230</v>
      </c>
      <c r="G2231">
        <v>22966</v>
      </c>
      <c r="H2231" t="s">
        <v>745</v>
      </c>
      <c r="I2231" t="s">
        <v>999</v>
      </c>
      <c r="J2231" t="s">
        <v>5531</v>
      </c>
    </row>
    <row r="2232" spans="1:10" x14ac:dyDescent="0.2">
      <c r="A2232" t="s">
        <v>5532</v>
      </c>
      <c r="E2232" t="str">
        <f>HYPERLINK("http://nlpdeep.cs.uic.edu:8080/proofing/t5/22966-hospital-course-0-9.pdf","t5/22966-hospital-course-0-9.pdf")</f>
        <v>t5/22966-hospital-course-0-9.pdf</v>
      </c>
      <c r="F2232">
        <v>146230</v>
      </c>
      <c r="G2232">
        <v>22966</v>
      </c>
      <c r="H2232" t="s">
        <v>745</v>
      </c>
      <c r="I2232" t="s">
        <v>999</v>
      </c>
      <c r="J2232" t="s">
        <v>5533</v>
      </c>
    </row>
    <row r="2233" spans="1:10" x14ac:dyDescent="0.2">
      <c r="A2233" t="s">
        <v>5532</v>
      </c>
      <c r="E2233" t="str">
        <f>HYPERLINK("http://nlpdeep.cs.uic.edu:8080/proofing/gsii/22966-hospital-course-0-9.pdf","gsii/22966-hospital-course-0-9.pdf")</f>
        <v>gsii/22966-hospital-course-0-9.pdf</v>
      </c>
      <c r="F2233">
        <v>146230</v>
      </c>
      <c r="G2233">
        <v>22966</v>
      </c>
      <c r="H2233" t="s">
        <v>745</v>
      </c>
      <c r="I2233" t="s">
        <v>999</v>
      </c>
      <c r="J2233" t="s">
        <v>5533</v>
      </c>
    </row>
    <row r="2234" spans="1:10" x14ac:dyDescent="0.2">
      <c r="A2234" t="s">
        <v>5534</v>
      </c>
      <c r="E2234" t="str">
        <f>HYPERLINK("http://nlpdeep.cs.uic.edu:8080/proofing/t5/22966-hospital-course-0-10.pdf","t5/22966-hospital-course-0-10.pdf")</f>
        <v>t5/22966-hospital-course-0-10.pdf</v>
      </c>
      <c r="F2234">
        <v>146230</v>
      </c>
      <c r="G2234">
        <v>22966</v>
      </c>
      <c r="H2234" t="s">
        <v>745</v>
      </c>
      <c r="I2234" t="s">
        <v>999</v>
      </c>
      <c r="J2234" t="s">
        <v>5535</v>
      </c>
    </row>
    <row r="2235" spans="1:10" x14ac:dyDescent="0.2">
      <c r="A2235" t="s">
        <v>5534</v>
      </c>
      <c r="E2235" t="str">
        <f>HYPERLINK("http://nlpdeep.cs.uic.edu:8080/proofing/gsii/22966-hospital-course-0-10.pdf","gsii/22966-hospital-course-0-10.pdf")</f>
        <v>gsii/22966-hospital-course-0-10.pdf</v>
      </c>
      <c r="F2235">
        <v>146230</v>
      </c>
      <c r="G2235">
        <v>22966</v>
      </c>
      <c r="H2235" t="s">
        <v>745</v>
      </c>
      <c r="I2235" t="s">
        <v>999</v>
      </c>
      <c r="J2235" t="s">
        <v>5535</v>
      </c>
    </row>
    <row r="2236" spans="1:10" x14ac:dyDescent="0.2">
      <c r="A2236" t="s">
        <v>5536</v>
      </c>
      <c r="E2236" t="str">
        <f>HYPERLINK("http://nlpdeep.cs.uic.edu:8080/proofing/t5/22966-discharge-medications-0-0.pdf","t5/22966-discharge-medications-0-0.pdf")</f>
        <v>t5/22966-discharge-medications-0-0.pdf</v>
      </c>
      <c r="F2236">
        <v>146230</v>
      </c>
      <c r="G2236">
        <v>22966</v>
      </c>
      <c r="H2236" t="s">
        <v>745</v>
      </c>
      <c r="I2236" t="s">
        <v>1122</v>
      </c>
      <c r="J2236" t="s">
        <v>5537</v>
      </c>
    </row>
    <row r="2237" spans="1:10" x14ac:dyDescent="0.2">
      <c r="A2237" t="s">
        <v>5536</v>
      </c>
      <c r="E2237" t="str">
        <f>HYPERLINK("http://nlpdeep.cs.uic.edu:8080/proofing/gsii/22966-discharge-medications-0-0.pdf","gsii/22966-discharge-medications-0-0.pdf")</f>
        <v>gsii/22966-discharge-medications-0-0.pdf</v>
      </c>
      <c r="F2237">
        <v>146230</v>
      </c>
      <c r="G2237">
        <v>22966</v>
      </c>
      <c r="H2237" t="s">
        <v>745</v>
      </c>
      <c r="I2237" t="s">
        <v>1122</v>
      </c>
      <c r="J2237" t="s">
        <v>5537</v>
      </c>
    </row>
    <row r="2238" spans="1:10" x14ac:dyDescent="0.2">
      <c r="A2238" t="s">
        <v>5538</v>
      </c>
      <c r="E2238" t="str">
        <f>HYPERLINK("http://nlpdeep.cs.uic.edu:8080/proofing/t5/22966-discharge-medications-0-1.pdf","t5/22966-discharge-medications-0-1.pdf")</f>
        <v>t5/22966-discharge-medications-0-1.pdf</v>
      </c>
      <c r="F2238">
        <v>146230</v>
      </c>
      <c r="G2238">
        <v>22966</v>
      </c>
      <c r="H2238" t="s">
        <v>745</v>
      </c>
      <c r="I2238" t="s">
        <v>1122</v>
      </c>
      <c r="J2238" t="s">
        <v>5539</v>
      </c>
    </row>
    <row r="2239" spans="1:10" x14ac:dyDescent="0.2">
      <c r="A2239" t="s">
        <v>5538</v>
      </c>
      <c r="E2239" t="str">
        <f>HYPERLINK("http://nlpdeep.cs.uic.edu:8080/proofing/gsii/22966-discharge-medications-0-1.pdf","gsii/22966-discharge-medications-0-1.pdf")</f>
        <v>gsii/22966-discharge-medications-0-1.pdf</v>
      </c>
      <c r="F2239">
        <v>146230</v>
      </c>
      <c r="G2239">
        <v>22966</v>
      </c>
      <c r="H2239" t="s">
        <v>745</v>
      </c>
      <c r="I2239" t="s">
        <v>1122</v>
      </c>
      <c r="J2239" t="s">
        <v>5539</v>
      </c>
    </row>
    <row r="2240" spans="1:10" x14ac:dyDescent="0.2">
      <c r="A2240" t="s">
        <v>5540</v>
      </c>
      <c r="E2240" t="str">
        <f>HYPERLINK("http://nlpdeep.cs.uic.edu:8080/proofing/t5/22966-discharge-medications-0-2.pdf","t5/22966-discharge-medications-0-2.pdf")</f>
        <v>t5/22966-discharge-medications-0-2.pdf</v>
      </c>
      <c r="F2240">
        <v>146230</v>
      </c>
      <c r="G2240">
        <v>22966</v>
      </c>
      <c r="H2240" t="s">
        <v>745</v>
      </c>
      <c r="I2240" t="s">
        <v>1122</v>
      </c>
      <c r="J2240" t="s">
        <v>5541</v>
      </c>
    </row>
    <row r="2241" spans="1:10" x14ac:dyDescent="0.2">
      <c r="A2241" t="s">
        <v>5540</v>
      </c>
      <c r="E2241" t="str">
        <f>HYPERLINK("http://nlpdeep.cs.uic.edu:8080/proofing/gsii/22966-discharge-medications-0-2.pdf","gsii/22966-discharge-medications-0-2.pdf")</f>
        <v>gsii/22966-discharge-medications-0-2.pdf</v>
      </c>
      <c r="F2241">
        <v>146230</v>
      </c>
      <c r="G2241">
        <v>22966</v>
      </c>
      <c r="H2241" t="s">
        <v>745</v>
      </c>
      <c r="I2241" t="s">
        <v>1122</v>
      </c>
      <c r="J2241" t="s">
        <v>5541</v>
      </c>
    </row>
    <row r="2242" spans="1:10" x14ac:dyDescent="0.2">
      <c r="A2242" t="s">
        <v>5542</v>
      </c>
      <c r="E2242" t="str">
        <f>HYPERLINK("http://nlpdeep.cs.uic.edu:8080/proofing/t5/22966-discharge-medications-0-3.pdf","t5/22966-discharge-medications-0-3.pdf")</f>
        <v>t5/22966-discharge-medications-0-3.pdf</v>
      </c>
      <c r="F2242">
        <v>146230</v>
      </c>
      <c r="G2242">
        <v>22966</v>
      </c>
      <c r="H2242" t="s">
        <v>745</v>
      </c>
      <c r="I2242" t="s">
        <v>1122</v>
      </c>
      <c r="J2242" t="s">
        <v>5543</v>
      </c>
    </row>
    <row r="2243" spans="1:10" x14ac:dyDescent="0.2">
      <c r="A2243" t="s">
        <v>5542</v>
      </c>
      <c r="E2243" t="str">
        <f>HYPERLINK("http://nlpdeep.cs.uic.edu:8080/proofing/gsii/22966-discharge-medications-0-3.pdf","gsii/22966-discharge-medications-0-3.pdf")</f>
        <v>gsii/22966-discharge-medications-0-3.pdf</v>
      </c>
      <c r="F2243">
        <v>146230</v>
      </c>
      <c r="G2243">
        <v>22966</v>
      </c>
      <c r="H2243" t="s">
        <v>745</v>
      </c>
      <c r="I2243" t="s">
        <v>1122</v>
      </c>
      <c r="J2243" t="s">
        <v>5543</v>
      </c>
    </row>
    <row r="2244" spans="1:10" x14ac:dyDescent="0.2">
      <c r="A2244" t="s">
        <v>5544</v>
      </c>
      <c r="E2244" t="str">
        <f>HYPERLINK("http://nlpdeep.cs.uic.edu:8080/proofing/t5/22966-discharge-medications-0-4.pdf","t5/22966-discharge-medications-0-4.pdf")</f>
        <v>t5/22966-discharge-medications-0-4.pdf</v>
      </c>
      <c r="F2244">
        <v>146230</v>
      </c>
      <c r="G2244">
        <v>22966</v>
      </c>
      <c r="H2244" t="s">
        <v>745</v>
      </c>
      <c r="I2244" t="s">
        <v>1122</v>
      </c>
      <c r="J2244" t="s">
        <v>2204</v>
      </c>
    </row>
    <row r="2245" spans="1:10" x14ac:dyDescent="0.2">
      <c r="A2245" t="s">
        <v>5544</v>
      </c>
      <c r="E2245" t="str">
        <f>HYPERLINK("http://nlpdeep.cs.uic.edu:8080/proofing/gsii/22966-discharge-medications-0-4.pdf","gsii/22966-discharge-medications-0-4.pdf")</f>
        <v>gsii/22966-discharge-medications-0-4.pdf</v>
      </c>
      <c r="F2245">
        <v>146230</v>
      </c>
      <c r="G2245">
        <v>22966</v>
      </c>
      <c r="H2245" t="s">
        <v>745</v>
      </c>
      <c r="I2245" t="s">
        <v>1122</v>
      </c>
      <c r="J2245" t="s">
        <v>2204</v>
      </c>
    </row>
    <row r="2246" spans="1:10" x14ac:dyDescent="0.2">
      <c r="A2246" t="s">
        <v>5545</v>
      </c>
      <c r="E2246" t="str">
        <f>HYPERLINK("http://nlpdeep.cs.uic.edu:8080/proofing/t5/22966-discharge-medications-0-5.pdf","t5/22966-discharge-medications-0-5.pdf")</f>
        <v>t5/22966-discharge-medications-0-5.pdf</v>
      </c>
      <c r="F2246">
        <v>146230</v>
      </c>
      <c r="G2246">
        <v>22966</v>
      </c>
      <c r="H2246" t="s">
        <v>745</v>
      </c>
      <c r="I2246" t="s">
        <v>1122</v>
      </c>
      <c r="J2246" t="s">
        <v>5546</v>
      </c>
    </row>
    <row r="2247" spans="1:10" x14ac:dyDescent="0.2">
      <c r="A2247" t="s">
        <v>5545</v>
      </c>
      <c r="E2247" t="str">
        <f>HYPERLINK("http://nlpdeep.cs.uic.edu:8080/proofing/gsii/22966-discharge-medications-0-5.pdf","gsii/22966-discharge-medications-0-5.pdf")</f>
        <v>gsii/22966-discharge-medications-0-5.pdf</v>
      </c>
      <c r="F2247">
        <v>146230</v>
      </c>
      <c r="G2247">
        <v>22966</v>
      </c>
      <c r="H2247" t="s">
        <v>745</v>
      </c>
      <c r="I2247" t="s">
        <v>1122</v>
      </c>
      <c r="J2247" t="s">
        <v>5546</v>
      </c>
    </row>
    <row r="2248" spans="1:10" x14ac:dyDescent="0.2">
      <c r="A2248" t="s">
        <v>5547</v>
      </c>
      <c r="E2248" t="str">
        <f>HYPERLINK("http://nlpdeep.cs.uic.edu:8080/proofing/t5/22966-discharge-medications-0-6.pdf","t5/22966-discharge-medications-0-6.pdf")</f>
        <v>t5/22966-discharge-medications-0-6.pdf</v>
      </c>
      <c r="F2248">
        <v>146230</v>
      </c>
      <c r="G2248">
        <v>22966</v>
      </c>
      <c r="H2248" t="s">
        <v>745</v>
      </c>
      <c r="I2248" t="s">
        <v>1122</v>
      </c>
      <c r="J2248" t="s">
        <v>5548</v>
      </c>
    </row>
    <row r="2249" spans="1:10" x14ac:dyDescent="0.2">
      <c r="A2249" t="s">
        <v>5547</v>
      </c>
      <c r="E2249" t="str">
        <f>HYPERLINK("http://nlpdeep.cs.uic.edu:8080/proofing/gsii/22966-discharge-medications-0-6.pdf","gsii/22966-discharge-medications-0-6.pdf")</f>
        <v>gsii/22966-discharge-medications-0-6.pdf</v>
      </c>
      <c r="F2249">
        <v>146230</v>
      </c>
      <c r="G2249">
        <v>22966</v>
      </c>
      <c r="H2249" t="s">
        <v>745</v>
      </c>
      <c r="I2249" t="s">
        <v>1122</v>
      </c>
      <c r="J2249" t="s">
        <v>5548</v>
      </c>
    </row>
    <row r="2250" spans="1:10" x14ac:dyDescent="0.2">
      <c r="A2250" t="s">
        <v>5549</v>
      </c>
      <c r="E2250" t="str">
        <f>HYPERLINK("http://nlpdeep.cs.uic.edu:8080/proofing/t5/22966-discharge-medications-0-7.pdf","t5/22966-discharge-medications-0-7.pdf")</f>
        <v>t5/22966-discharge-medications-0-7.pdf</v>
      </c>
      <c r="F2250">
        <v>146230</v>
      </c>
      <c r="G2250">
        <v>22966</v>
      </c>
      <c r="H2250" t="s">
        <v>745</v>
      </c>
      <c r="I2250" t="s">
        <v>1122</v>
      </c>
      <c r="J2250" t="s">
        <v>5550</v>
      </c>
    </row>
    <row r="2251" spans="1:10" x14ac:dyDescent="0.2">
      <c r="A2251" t="s">
        <v>5549</v>
      </c>
      <c r="E2251" t="str">
        <f>HYPERLINK("http://nlpdeep.cs.uic.edu:8080/proofing/gsii/22966-discharge-medications-0-7.pdf","gsii/22966-discharge-medications-0-7.pdf")</f>
        <v>gsii/22966-discharge-medications-0-7.pdf</v>
      </c>
      <c r="F2251">
        <v>146230</v>
      </c>
      <c r="G2251">
        <v>22966</v>
      </c>
      <c r="H2251" t="s">
        <v>745</v>
      </c>
      <c r="I2251" t="s">
        <v>1122</v>
      </c>
      <c r="J2251" t="s">
        <v>5550</v>
      </c>
    </row>
    <row r="2252" spans="1:10" x14ac:dyDescent="0.2">
      <c r="A2252" t="s">
        <v>5551</v>
      </c>
      <c r="E2252" t="str">
        <f>HYPERLINK("http://nlpdeep.cs.uic.edu:8080/proofing/t5/22966-discharge-disposition-0-0.pdf","t5/22966-discharge-disposition-0-0.pdf")</f>
        <v>t5/22966-discharge-disposition-0-0.pdf</v>
      </c>
      <c r="F2252">
        <v>146230</v>
      </c>
      <c r="G2252">
        <v>22966</v>
      </c>
      <c r="H2252" t="s">
        <v>745</v>
      </c>
      <c r="I2252" t="s">
        <v>1162</v>
      </c>
      <c r="J2252" t="s">
        <v>2937</v>
      </c>
    </row>
    <row r="2253" spans="1:10" x14ac:dyDescent="0.2">
      <c r="A2253" t="s">
        <v>5551</v>
      </c>
      <c r="E2253" t="str">
        <f>HYPERLINK("http://nlpdeep.cs.uic.edu:8080/proofing/gsii/22966-discharge-disposition-0-0.pdf","gsii/22966-discharge-disposition-0-0.pdf")</f>
        <v>gsii/22966-discharge-disposition-0-0.pdf</v>
      </c>
      <c r="F2253">
        <v>146230</v>
      </c>
      <c r="G2253">
        <v>22966</v>
      </c>
      <c r="H2253" t="s">
        <v>745</v>
      </c>
      <c r="I2253" t="s">
        <v>1162</v>
      </c>
      <c r="J2253" t="s">
        <v>2937</v>
      </c>
    </row>
    <row r="2254" spans="1:10" x14ac:dyDescent="0.2">
      <c r="A2254" t="s">
        <v>5552</v>
      </c>
      <c r="E2254" t="str">
        <f>HYPERLINK("http://nlpdeep.cs.uic.edu:8080/proofing/t5/22966-discharge-diagnosis-0-0.pdf","t5/22966-discharge-diagnosis-0-0.pdf")</f>
        <v>t5/22966-discharge-diagnosis-0-0.pdf</v>
      </c>
      <c r="F2254">
        <v>146230</v>
      </c>
      <c r="G2254">
        <v>22966</v>
      </c>
      <c r="H2254" t="s">
        <v>745</v>
      </c>
      <c r="I2254" t="s">
        <v>1168</v>
      </c>
      <c r="J2254" t="s">
        <v>5553</v>
      </c>
    </row>
    <row r="2255" spans="1:10" x14ac:dyDescent="0.2">
      <c r="A2255" t="s">
        <v>5552</v>
      </c>
      <c r="E2255" t="str">
        <f>HYPERLINK("http://nlpdeep.cs.uic.edu:8080/proofing/gsii/22966-discharge-diagnosis-0-0.pdf","gsii/22966-discharge-diagnosis-0-0.pdf")</f>
        <v>gsii/22966-discharge-diagnosis-0-0.pdf</v>
      </c>
      <c r="F2255">
        <v>146230</v>
      </c>
      <c r="G2255">
        <v>22966</v>
      </c>
      <c r="H2255" t="s">
        <v>745</v>
      </c>
      <c r="I2255" t="s">
        <v>1168</v>
      </c>
      <c r="J2255" t="s">
        <v>5553</v>
      </c>
    </row>
    <row r="2256" spans="1:10" x14ac:dyDescent="0.2">
      <c r="A2256" t="s">
        <v>5554</v>
      </c>
      <c r="E2256" t="str">
        <f>HYPERLINK("http://nlpdeep.cs.uic.edu:8080/proofing/t5/22966-discharge-condition-0-0.pdf","t5/22966-discharge-condition-0-0.pdf")</f>
        <v>t5/22966-discharge-condition-0-0.pdf</v>
      </c>
      <c r="F2256">
        <v>146230</v>
      </c>
      <c r="G2256">
        <v>22966</v>
      </c>
      <c r="H2256" t="s">
        <v>745</v>
      </c>
      <c r="I2256" t="s">
        <v>1172</v>
      </c>
      <c r="J2256" t="s">
        <v>5555</v>
      </c>
    </row>
    <row r="2257" spans="1:10" x14ac:dyDescent="0.2">
      <c r="A2257" t="s">
        <v>5554</v>
      </c>
      <c r="E2257" t="str">
        <f>HYPERLINK("http://nlpdeep.cs.uic.edu:8080/proofing/gsii/22966-discharge-condition-0-0.pdf","gsii/22966-discharge-condition-0-0.pdf")</f>
        <v>gsii/22966-discharge-condition-0-0.pdf</v>
      </c>
      <c r="F2257">
        <v>146230</v>
      </c>
      <c r="G2257">
        <v>22966</v>
      </c>
      <c r="H2257" t="s">
        <v>745</v>
      </c>
      <c r="I2257" t="s">
        <v>1172</v>
      </c>
      <c r="J2257" t="s">
        <v>5555</v>
      </c>
    </row>
    <row r="2258" spans="1:10" x14ac:dyDescent="0.2">
      <c r="A2258" t="s">
        <v>5556</v>
      </c>
      <c r="E2258" t="str">
        <f>HYPERLINK("http://nlpdeep.cs.uic.edu:8080/proofing/t5/22966-discharge-instructions-0-0.pdf","t5/22966-discharge-instructions-0-0.pdf")</f>
        <v>t5/22966-discharge-instructions-0-0.pdf</v>
      </c>
      <c r="F2258">
        <v>146230</v>
      </c>
      <c r="G2258">
        <v>22966</v>
      </c>
      <c r="H2258" t="s">
        <v>745</v>
      </c>
      <c r="I2258" t="s">
        <v>1179</v>
      </c>
      <c r="J2258" t="s">
        <v>5557</v>
      </c>
    </row>
    <row r="2259" spans="1:10" x14ac:dyDescent="0.2">
      <c r="A2259" t="s">
        <v>5556</v>
      </c>
      <c r="E2259" t="str">
        <f>HYPERLINK("http://nlpdeep.cs.uic.edu:8080/proofing/gsii/22966-discharge-instructions-0-0.pdf","gsii/22966-discharge-instructions-0-0.pdf")</f>
        <v>gsii/22966-discharge-instructions-0-0.pdf</v>
      </c>
      <c r="F2259">
        <v>146230</v>
      </c>
      <c r="G2259">
        <v>22966</v>
      </c>
      <c r="H2259" t="s">
        <v>745</v>
      </c>
      <c r="I2259" t="s">
        <v>1179</v>
      </c>
      <c r="J2259" t="s">
        <v>5557</v>
      </c>
    </row>
    <row r="2260" spans="1:10" x14ac:dyDescent="0.2">
      <c r="A2260" t="s">
        <v>5558</v>
      </c>
      <c r="E2260" t="str">
        <f>HYPERLINK("http://nlpdeep.cs.uic.edu:8080/proofing/t5/22966-discharge-instructions-1-0.pdf","t5/22966-discharge-instructions-1-0.pdf")</f>
        <v>t5/22966-discharge-instructions-1-0.pdf</v>
      </c>
      <c r="F2260">
        <v>146230</v>
      </c>
      <c r="G2260">
        <v>22966</v>
      </c>
      <c r="H2260" t="s">
        <v>745</v>
      </c>
      <c r="I2260" t="s">
        <v>1179</v>
      </c>
      <c r="J2260" t="s">
        <v>5559</v>
      </c>
    </row>
    <row r="2261" spans="1:10" x14ac:dyDescent="0.2">
      <c r="A2261" t="s">
        <v>5558</v>
      </c>
      <c r="E2261" t="str">
        <f>HYPERLINK("http://nlpdeep.cs.uic.edu:8080/proofing/gsii/22966-discharge-instructions-1-0.pdf","gsii/22966-discharge-instructions-1-0.pdf")</f>
        <v>gsii/22966-discharge-instructions-1-0.pdf</v>
      </c>
      <c r="F2261">
        <v>146230</v>
      </c>
      <c r="G2261">
        <v>22966</v>
      </c>
      <c r="H2261" t="s">
        <v>745</v>
      </c>
      <c r="I2261" t="s">
        <v>1179</v>
      </c>
      <c r="J2261" t="s">
        <v>5559</v>
      </c>
    </row>
    <row r="2262" spans="1:10" x14ac:dyDescent="0.2">
      <c r="A2262" t="s">
        <v>5560</v>
      </c>
      <c r="E2262" t="str">
        <f>HYPERLINK("http://nlpdeep.cs.uic.edu:8080/proofing/t5/22966-discharge-instructions-1-1.pdf","t5/22966-discharge-instructions-1-1.pdf")</f>
        <v>t5/22966-discharge-instructions-1-1.pdf</v>
      </c>
      <c r="F2262">
        <v>146230</v>
      </c>
      <c r="G2262">
        <v>22966</v>
      </c>
      <c r="H2262" t="s">
        <v>745</v>
      </c>
      <c r="I2262" t="s">
        <v>1179</v>
      </c>
      <c r="J2262" t="s">
        <v>5561</v>
      </c>
    </row>
    <row r="2263" spans="1:10" x14ac:dyDescent="0.2">
      <c r="A2263" t="s">
        <v>5560</v>
      </c>
      <c r="E2263" t="str">
        <f>HYPERLINK("http://nlpdeep.cs.uic.edu:8080/proofing/gsii/22966-discharge-instructions-1-1.pdf","gsii/22966-discharge-instructions-1-1.pdf")</f>
        <v>gsii/22966-discharge-instructions-1-1.pdf</v>
      </c>
      <c r="F2263">
        <v>146230</v>
      </c>
      <c r="G2263">
        <v>22966</v>
      </c>
      <c r="H2263" t="s">
        <v>745</v>
      </c>
      <c r="I2263" t="s">
        <v>1179</v>
      </c>
      <c r="J2263" t="s">
        <v>5561</v>
      </c>
    </row>
    <row r="2264" spans="1:10" x14ac:dyDescent="0.2">
      <c r="A2264" t="s">
        <v>5562</v>
      </c>
      <c r="E2264" t="str">
        <f>HYPERLINK("http://nlpdeep.cs.uic.edu:8080/proofing/t5/22966-discharge-instructions-2-0.pdf","t5/22966-discharge-instructions-2-0.pdf")</f>
        <v>t5/22966-discharge-instructions-2-0.pdf</v>
      </c>
      <c r="F2264">
        <v>146230</v>
      </c>
      <c r="G2264">
        <v>22966</v>
      </c>
      <c r="H2264" t="s">
        <v>745</v>
      </c>
      <c r="I2264" t="s">
        <v>1179</v>
      </c>
      <c r="J2264" t="s">
        <v>5563</v>
      </c>
    </row>
    <row r="2265" spans="1:10" x14ac:dyDescent="0.2">
      <c r="A2265" t="s">
        <v>5562</v>
      </c>
      <c r="E2265" t="str">
        <f>HYPERLINK("http://nlpdeep.cs.uic.edu:8080/proofing/gsii/22966-discharge-instructions-2-0.pdf","gsii/22966-discharge-instructions-2-0.pdf")</f>
        <v>gsii/22966-discharge-instructions-2-0.pdf</v>
      </c>
      <c r="F2265">
        <v>146230</v>
      </c>
      <c r="G2265">
        <v>22966</v>
      </c>
      <c r="H2265" t="s">
        <v>745</v>
      </c>
      <c r="I2265" t="s">
        <v>1179</v>
      </c>
      <c r="J2265" t="s">
        <v>5563</v>
      </c>
    </row>
    <row r="2266" spans="1:10" x14ac:dyDescent="0.2">
      <c r="A2266" t="s">
        <v>5564</v>
      </c>
      <c r="E2266" t="str">
        <f>HYPERLINK("http://nlpdeep.cs.uic.edu:8080/proofing/t5/22966-discharge-instructions-2-1.pdf","t5/22966-discharge-instructions-2-1.pdf")</f>
        <v>t5/22966-discharge-instructions-2-1.pdf</v>
      </c>
      <c r="F2266">
        <v>146230</v>
      </c>
      <c r="G2266">
        <v>22966</v>
      </c>
      <c r="H2266" t="s">
        <v>745</v>
      </c>
      <c r="I2266" t="s">
        <v>1179</v>
      </c>
      <c r="J2266" t="s">
        <v>5565</v>
      </c>
    </row>
    <row r="2267" spans="1:10" x14ac:dyDescent="0.2">
      <c r="A2267" t="s">
        <v>5564</v>
      </c>
      <c r="E2267" t="str">
        <f>HYPERLINK("http://nlpdeep.cs.uic.edu:8080/proofing/gsii/22966-discharge-instructions-2-1.pdf","gsii/22966-discharge-instructions-2-1.pdf")</f>
        <v>gsii/22966-discharge-instructions-2-1.pdf</v>
      </c>
      <c r="F2267">
        <v>146230</v>
      </c>
      <c r="G2267">
        <v>22966</v>
      </c>
      <c r="H2267" t="s">
        <v>745</v>
      </c>
      <c r="I2267" t="s">
        <v>1179</v>
      </c>
      <c r="J2267" t="s">
        <v>5565</v>
      </c>
    </row>
    <row r="2268" spans="1:10" x14ac:dyDescent="0.2">
      <c r="A2268" t="s">
        <v>5566</v>
      </c>
      <c r="E2268" t="str">
        <f>HYPERLINK("http://nlpdeep.cs.uic.edu:8080/proofing/t5/22966-discharge-instructions-2-2.pdf","t5/22966-discharge-instructions-2-2.pdf")</f>
        <v>t5/22966-discharge-instructions-2-2.pdf</v>
      </c>
      <c r="F2268">
        <v>146230</v>
      </c>
      <c r="G2268">
        <v>22966</v>
      </c>
      <c r="H2268" t="s">
        <v>745</v>
      </c>
      <c r="I2268" t="s">
        <v>1179</v>
      </c>
      <c r="J2268" t="s">
        <v>5567</v>
      </c>
    </row>
    <row r="2269" spans="1:10" x14ac:dyDescent="0.2">
      <c r="A2269" t="s">
        <v>5566</v>
      </c>
      <c r="E2269" t="str">
        <f>HYPERLINK("http://nlpdeep.cs.uic.edu:8080/proofing/gsii/22966-discharge-instructions-2-2.pdf","gsii/22966-discharge-instructions-2-2.pdf")</f>
        <v>gsii/22966-discharge-instructions-2-2.pdf</v>
      </c>
      <c r="F2269">
        <v>146230</v>
      </c>
      <c r="G2269">
        <v>22966</v>
      </c>
      <c r="H2269" t="s">
        <v>745</v>
      </c>
      <c r="I2269" t="s">
        <v>1179</v>
      </c>
      <c r="J2269" t="s">
        <v>5567</v>
      </c>
    </row>
    <row r="2270" spans="1:10" x14ac:dyDescent="0.2">
      <c r="A2270" t="s">
        <v>5568</v>
      </c>
      <c r="E2270" t="str">
        <f>HYPERLINK("http://nlpdeep.cs.uic.edu:8080/proofing/t5/22966-discharge-instructions-3-0.pdf","t5/22966-discharge-instructions-3-0.pdf")</f>
        <v>t5/22966-discharge-instructions-3-0.pdf</v>
      </c>
      <c r="F2270">
        <v>146230</v>
      </c>
      <c r="G2270">
        <v>22966</v>
      </c>
      <c r="H2270" t="s">
        <v>745</v>
      </c>
      <c r="I2270" t="s">
        <v>1179</v>
      </c>
      <c r="J2270" t="s">
        <v>5569</v>
      </c>
    </row>
    <row r="2271" spans="1:10" x14ac:dyDescent="0.2">
      <c r="A2271" t="s">
        <v>5568</v>
      </c>
      <c r="E2271" t="str">
        <f>HYPERLINK("http://nlpdeep.cs.uic.edu:8080/proofing/gsii/22966-discharge-instructions-3-0.pdf","gsii/22966-discharge-instructions-3-0.pdf")</f>
        <v>gsii/22966-discharge-instructions-3-0.pdf</v>
      </c>
      <c r="F2271">
        <v>146230</v>
      </c>
      <c r="G2271">
        <v>22966</v>
      </c>
      <c r="H2271" t="s">
        <v>745</v>
      </c>
      <c r="I2271" t="s">
        <v>1179</v>
      </c>
      <c r="J2271" t="s">
        <v>5569</v>
      </c>
    </row>
    <row r="2272" spans="1:10" x14ac:dyDescent="0.2">
      <c r="A2272" t="s">
        <v>5570</v>
      </c>
      <c r="E2272" t="str">
        <f>HYPERLINK("http://nlpdeep.cs.uic.edu:8080/proofing/t5/22966-discharge-instructions-3-1.pdf","t5/22966-discharge-instructions-3-1.pdf")</f>
        <v>t5/22966-discharge-instructions-3-1.pdf</v>
      </c>
      <c r="F2272">
        <v>146230</v>
      </c>
      <c r="G2272">
        <v>22966</v>
      </c>
      <c r="H2272" t="s">
        <v>745</v>
      </c>
      <c r="I2272" t="s">
        <v>1179</v>
      </c>
      <c r="J2272" t="s">
        <v>5571</v>
      </c>
    </row>
    <row r="2273" spans="1:10" x14ac:dyDescent="0.2">
      <c r="A2273" t="s">
        <v>5570</v>
      </c>
      <c r="E2273" t="str">
        <f>HYPERLINK("http://nlpdeep.cs.uic.edu:8080/proofing/gsii/22966-discharge-instructions-3-1.pdf","gsii/22966-discharge-instructions-3-1.pdf")</f>
        <v>gsii/22966-discharge-instructions-3-1.pdf</v>
      </c>
      <c r="F2273">
        <v>146230</v>
      </c>
      <c r="G2273">
        <v>22966</v>
      </c>
      <c r="H2273" t="s">
        <v>745</v>
      </c>
      <c r="I2273" t="s">
        <v>1179</v>
      </c>
      <c r="J2273" t="s">
        <v>5571</v>
      </c>
    </row>
    <row r="2274" spans="1:10" x14ac:dyDescent="0.2">
      <c r="A2274" t="s">
        <v>5572</v>
      </c>
      <c r="E2274" t="str">
        <f>HYPERLINK("http://nlpdeep.cs.uic.edu:8080/proofing/t5/22966-discharge-instructions-4-0.pdf","t5/22966-discharge-instructions-4-0.pdf")</f>
        <v>t5/22966-discharge-instructions-4-0.pdf</v>
      </c>
      <c r="F2274">
        <v>146230</v>
      </c>
      <c r="G2274">
        <v>22966</v>
      </c>
      <c r="H2274" t="s">
        <v>745</v>
      </c>
      <c r="I2274" t="s">
        <v>1179</v>
      </c>
      <c r="J2274" t="s">
        <v>5573</v>
      </c>
    </row>
    <row r="2275" spans="1:10" x14ac:dyDescent="0.2">
      <c r="A2275" t="s">
        <v>5572</v>
      </c>
      <c r="E2275" t="str">
        <f>HYPERLINK("http://nlpdeep.cs.uic.edu:8080/proofing/gsii/22966-discharge-instructions-4-0.pdf","gsii/22966-discharge-instructions-4-0.pdf")</f>
        <v>gsii/22966-discharge-instructions-4-0.pdf</v>
      </c>
      <c r="F2275">
        <v>146230</v>
      </c>
      <c r="G2275">
        <v>22966</v>
      </c>
      <c r="H2275" t="s">
        <v>745</v>
      </c>
      <c r="I2275" t="s">
        <v>1179</v>
      </c>
      <c r="J2275" t="s">
        <v>5573</v>
      </c>
    </row>
    <row r="2276" spans="1:10" x14ac:dyDescent="0.2">
      <c r="A2276" t="s">
        <v>5574</v>
      </c>
      <c r="E2276" t="str">
        <f>HYPERLINK("http://nlpdeep.cs.uic.edu:8080/proofing/t5/22966-discharge-instructions-4-1.pdf","t5/22966-discharge-instructions-4-1.pdf")</f>
        <v>t5/22966-discharge-instructions-4-1.pdf</v>
      </c>
      <c r="F2276">
        <v>146230</v>
      </c>
      <c r="G2276">
        <v>22966</v>
      </c>
      <c r="H2276" t="s">
        <v>745</v>
      </c>
      <c r="I2276" t="s">
        <v>1179</v>
      </c>
      <c r="J2276" t="s">
        <v>5575</v>
      </c>
    </row>
    <row r="2277" spans="1:10" x14ac:dyDescent="0.2">
      <c r="A2277" t="s">
        <v>5574</v>
      </c>
      <c r="E2277" t="str">
        <f>HYPERLINK("http://nlpdeep.cs.uic.edu:8080/proofing/gsii/22966-discharge-instructions-4-1.pdf","gsii/22966-discharge-instructions-4-1.pdf")</f>
        <v>gsii/22966-discharge-instructions-4-1.pdf</v>
      </c>
      <c r="F2277">
        <v>146230</v>
      </c>
      <c r="G2277">
        <v>22966</v>
      </c>
      <c r="H2277" t="s">
        <v>745</v>
      </c>
      <c r="I2277" t="s">
        <v>1179</v>
      </c>
      <c r="J2277" t="s">
        <v>5575</v>
      </c>
    </row>
    <row r="2278" spans="1:10" x14ac:dyDescent="0.2">
      <c r="A2278" t="s">
        <v>5576</v>
      </c>
      <c r="E2278" t="str">
        <f>HYPERLINK("http://nlpdeep.cs.uic.edu:8080/proofing/t5/22966-discharge-instructions-4-2.pdf","t5/22966-discharge-instructions-4-2.pdf")</f>
        <v>t5/22966-discharge-instructions-4-2.pdf</v>
      </c>
      <c r="F2278">
        <v>146230</v>
      </c>
      <c r="G2278">
        <v>22966</v>
      </c>
      <c r="H2278" t="s">
        <v>745</v>
      </c>
      <c r="I2278" t="s">
        <v>1179</v>
      </c>
      <c r="J2278" t="s">
        <v>5577</v>
      </c>
    </row>
  </sheetData>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71EE3-3ABB-044A-8EAF-C2AEF7E8D288}">
  <dimension ref="B1:C7"/>
  <sheetViews>
    <sheetView zoomScale="110" zoomScaleNormal="110" workbookViewId="0">
      <selection activeCell="B3" sqref="B3"/>
    </sheetView>
  </sheetViews>
  <sheetFormatPr baseColWidth="10" defaultRowHeight="21" x14ac:dyDescent="0.25"/>
  <cols>
    <col min="1" max="1" width="7" style="2" customWidth="1"/>
    <col min="2" max="2" width="27.1640625" style="2" customWidth="1"/>
    <col min="3" max="3" width="25.33203125" style="2" customWidth="1"/>
    <col min="4" max="16384" width="10.83203125" style="2"/>
  </cols>
  <sheetData>
    <row r="1" spans="2:3" x14ac:dyDescent="0.25">
      <c r="B1" s="4" t="s">
        <v>5584</v>
      </c>
    </row>
    <row r="3" spans="2:3" x14ac:dyDescent="0.25">
      <c r="B3" s="3" t="s">
        <v>5583</v>
      </c>
    </row>
    <row r="4" spans="2:3" x14ac:dyDescent="0.25">
      <c r="B4" s="3" t="s">
        <v>5582</v>
      </c>
    </row>
    <row r="5" spans="2:3" x14ac:dyDescent="0.25">
      <c r="B5" s="3" t="s">
        <v>5581</v>
      </c>
    </row>
    <row r="6" spans="2:3" x14ac:dyDescent="0.25">
      <c r="C6" s="3" t="s">
        <v>5580</v>
      </c>
    </row>
    <row r="7" spans="2:3" x14ac:dyDescent="0.25">
      <c r="C7" s="3" t="s">
        <v>5579</v>
      </c>
    </row>
  </sheetData>
  <hyperlinks>
    <hyperlink ref="C6" r:id="rId1" xr:uid="{1A9904DB-426C-024C-8FA0-CF8DD12E97C9}"/>
    <hyperlink ref="C7" r:id="rId2" xr:uid="{57962044-8A68-AA45-90A9-5B697C42E8BF}"/>
    <hyperlink ref="B5" r:id="rId3" xr:uid="{5B8257B1-63C1-E044-8E81-F2A08081DAC3}"/>
    <hyperlink ref="B4" r:id="rId4" xr:uid="{6CCB6958-7D37-3544-A8CC-AF278C76D9A3}"/>
    <hyperlink ref="B3" r:id="rId5" xr:uid="{123216E6-51E0-E74C-BD7D-37C5FD6DF1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kunal plots</vt:lpstr>
      <vt:lpstr>adam plots</vt:lpstr>
      <vt:lpstr>paul plots</vt:lpstr>
      <vt:lpstr>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2022-07-08T00:15:07Z</dcterms:created>
  <dcterms:modified xsi:type="dcterms:W3CDTF">2022-07-10T03:08:31Z</dcterms:modified>
</cp:coreProperties>
</file>